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400"/>
  </bookViews>
  <sheets>
    <sheet name="Exh. JDT-7 (Delivery Rev)" sheetId="1" r:id="rId1"/>
    <sheet name="Exh. JDT-7 (Allowed RPC)" sheetId="2" r:id="rId2"/>
    <sheet name="Exh. JDT-7 (Del Rev Rates)" sheetId="3" r:id="rId3"/>
    <sheet name="Exh. JDT-7 (Monthly Allow RPC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4" l="1"/>
  <c r="AQ33" i="4" s="1"/>
  <c r="W32" i="4"/>
  <c r="AP32" i="4" s="1"/>
  <c r="D32" i="4"/>
  <c r="B31" i="4"/>
  <c r="U31" i="4" s="1"/>
  <c r="AN31" i="4" s="1"/>
  <c r="AQ29" i="4"/>
  <c r="X29" i="4"/>
  <c r="D28" i="4"/>
  <c r="W28" i="4" s="1"/>
  <c r="AP28" i="4" s="1"/>
  <c r="U27" i="4"/>
  <c r="AN27" i="4" s="1"/>
  <c r="B27" i="4"/>
  <c r="X25" i="4"/>
  <c r="AQ25" i="4" s="1"/>
  <c r="AP24" i="4"/>
  <c r="W24" i="4"/>
  <c r="U23" i="4"/>
  <c r="AN23" i="4" s="1"/>
  <c r="B23" i="4"/>
  <c r="AH20" i="4"/>
  <c r="AK19" i="4"/>
  <c r="AD20" i="4" s="1"/>
  <c r="C19" i="4"/>
  <c r="AN18" i="4"/>
  <c r="U18" i="4"/>
  <c r="D15" i="4"/>
  <c r="D19" i="4" s="1"/>
  <c r="C15" i="4"/>
  <c r="U14" i="4"/>
  <c r="AN14" i="4" s="1"/>
  <c r="T12" i="4"/>
  <c r="T13" i="4" s="1"/>
  <c r="T14" i="4" s="1"/>
  <c r="T15" i="4" s="1"/>
  <c r="T16" i="4" s="1"/>
  <c r="AM11" i="4"/>
  <c r="AM12" i="4" s="1"/>
  <c r="AM13" i="4" s="1"/>
  <c r="AM14" i="4" s="1"/>
  <c r="AM15" i="4" s="1"/>
  <c r="AM16" i="4" s="1"/>
  <c r="W11" i="4"/>
  <c r="V11" i="4"/>
  <c r="V19" i="4" s="1"/>
  <c r="T11" i="4"/>
  <c r="A11" i="4"/>
  <c r="A12" i="4" s="1"/>
  <c r="U10" i="4"/>
  <c r="AN10" i="4" s="1"/>
  <c r="AM5" i="4"/>
  <c r="T5" i="4"/>
  <c r="A5" i="4"/>
  <c r="T4" i="4"/>
  <c r="AM4" i="4" s="1"/>
  <c r="AM3" i="4"/>
  <c r="T3" i="4"/>
  <c r="A2" i="4"/>
  <c r="T2" i="4" s="1"/>
  <c r="AM2" i="4" s="1"/>
  <c r="T1" i="4"/>
  <c r="AM1" i="4" s="1"/>
  <c r="AC54" i="3"/>
  <c r="AR54" i="3" s="1"/>
  <c r="J54" i="3"/>
  <c r="L54" i="3" s="1"/>
  <c r="V54" i="3"/>
  <c r="AK54" i="3" s="1"/>
  <c r="AC53" i="3"/>
  <c r="AR53" i="3" s="1"/>
  <c r="J53" i="3"/>
  <c r="V53" i="3"/>
  <c r="AR50" i="3"/>
  <c r="AC50" i="3"/>
  <c r="Y50" i="3"/>
  <c r="V50" i="3"/>
  <c r="AK50" i="3" s="1"/>
  <c r="AN50" i="3" s="1"/>
  <c r="Q49" i="3"/>
  <c r="AF49" i="3" s="1"/>
  <c r="AR47" i="3"/>
  <c r="AC47" i="3"/>
  <c r="V47" i="3"/>
  <c r="J47" i="3"/>
  <c r="U47" i="3" s="1"/>
  <c r="AR45" i="3"/>
  <c r="AC45" i="3"/>
  <c r="J45" i="3"/>
  <c r="V45" i="3"/>
  <c r="AC44" i="3"/>
  <c r="AR44" i="3" s="1"/>
  <c r="Y44" i="3"/>
  <c r="AA44" i="3" s="1"/>
  <c r="V44" i="3"/>
  <c r="AK44" i="3" s="1"/>
  <c r="AN44" i="3" s="1"/>
  <c r="U44" i="3"/>
  <c r="J44" i="3"/>
  <c r="L44" i="3" s="1"/>
  <c r="AR41" i="3"/>
  <c r="AK41" i="3"/>
  <c r="AN41" i="3" s="1"/>
  <c r="AJ41" i="3"/>
  <c r="AC41" i="3"/>
  <c r="V41" i="3"/>
  <c r="Y41" i="3" s="1"/>
  <c r="AF40" i="3"/>
  <c r="Q40" i="3"/>
  <c r="AR38" i="3"/>
  <c r="AK38" i="3"/>
  <c r="AN38" i="3" s="1"/>
  <c r="AC38" i="3"/>
  <c r="Y38" i="3"/>
  <c r="J38" i="3"/>
  <c r="V38" i="3"/>
  <c r="AR37" i="3"/>
  <c r="AC37" i="3"/>
  <c r="V37" i="3"/>
  <c r="J37" i="3"/>
  <c r="AK34" i="3"/>
  <c r="AN34" i="3" s="1"/>
  <c r="AC34" i="3"/>
  <c r="AR34" i="3" s="1"/>
  <c r="V34" i="3"/>
  <c r="Y34" i="3" s="1"/>
  <c r="AJ34" i="3" s="1"/>
  <c r="AF33" i="3"/>
  <c r="Q33" i="3"/>
  <c r="AR31" i="3"/>
  <c r="AC31" i="3"/>
  <c r="J31" i="3"/>
  <c r="U31" i="3" s="1"/>
  <c r="AR29" i="3"/>
  <c r="AC29" i="3"/>
  <c r="V29" i="3"/>
  <c r="J29" i="3"/>
  <c r="AC28" i="3"/>
  <c r="AR28" i="3" s="1"/>
  <c r="V28" i="3"/>
  <c r="AK28" i="3" s="1"/>
  <c r="AN28" i="3" s="1"/>
  <c r="J28" i="3"/>
  <c r="AR25" i="3"/>
  <c r="AC25" i="3"/>
  <c r="AF24" i="3"/>
  <c r="Q24" i="3"/>
  <c r="AC22" i="3"/>
  <c r="AR22" i="3" s="1"/>
  <c r="J22" i="3"/>
  <c r="L22" i="3" s="1"/>
  <c r="V22" i="3"/>
  <c r="AK22" i="3" s="1"/>
  <c r="Q21" i="3"/>
  <c r="AF21" i="3" s="1"/>
  <c r="AC19" i="3"/>
  <c r="AR19" i="3" s="1"/>
  <c r="V19" i="3"/>
  <c r="Y19" i="3" s="1"/>
  <c r="J19" i="3"/>
  <c r="AK17" i="3"/>
  <c r="AN17" i="3" s="1"/>
  <c r="AC17" i="3"/>
  <c r="AR17" i="3" s="1"/>
  <c r="V17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F16" i="3"/>
  <c r="Q16" i="3"/>
  <c r="AR14" i="3"/>
  <c r="AK14" i="3"/>
  <c r="AC14" i="3"/>
  <c r="Y14" i="3"/>
  <c r="J14" i="3"/>
  <c r="V14" i="3"/>
  <c r="E14" i="3"/>
  <c r="E17" i="3" s="1"/>
  <c r="E19" i="3" s="1"/>
  <c r="E22" i="3" s="1"/>
  <c r="E25" i="3" s="1"/>
  <c r="E28" i="3" s="1"/>
  <c r="E29" i="3" s="1"/>
  <c r="E31" i="3" s="1"/>
  <c r="E34" i="3" s="1"/>
  <c r="E37" i="3" s="1"/>
  <c r="E38" i="3" s="1"/>
  <c r="E41" i="3" s="1"/>
  <c r="E44" i="3" s="1"/>
  <c r="E45" i="3" s="1"/>
  <c r="E47" i="3" s="1"/>
  <c r="E50" i="3" s="1"/>
  <c r="E53" i="3" s="1"/>
  <c r="E54" i="3" s="1"/>
  <c r="AF13" i="3"/>
  <c r="Q13" i="3"/>
  <c r="P12" i="3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A12" i="3"/>
  <c r="A13" i="3" s="1"/>
  <c r="A14" i="3" s="1"/>
  <c r="A15" i="3" s="1"/>
  <c r="A16" i="3" s="1"/>
  <c r="AR11" i="3"/>
  <c r="AE11" i="3"/>
  <c r="AE12" i="3" s="1"/>
  <c r="AE13" i="3" s="1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E27" i="3" s="1"/>
  <c r="AE28" i="3" s="1"/>
  <c r="AE29" i="3" s="1"/>
  <c r="AE30" i="3" s="1"/>
  <c r="AE31" i="3" s="1"/>
  <c r="AE32" i="3" s="1"/>
  <c r="AE33" i="3" s="1"/>
  <c r="AE34" i="3" s="1"/>
  <c r="AE35" i="3" s="1"/>
  <c r="AE36" i="3" s="1"/>
  <c r="AE37" i="3" s="1"/>
  <c r="AE38" i="3" s="1"/>
  <c r="AE39" i="3" s="1"/>
  <c r="AE40" i="3" s="1"/>
  <c r="AE41" i="3" s="1"/>
  <c r="AE42" i="3" s="1"/>
  <c r="AE43" i="3" s="1"/>
  <c r="AE44" i="3" s="1"/>
  <c r="AE45" i="3" s="1"/>
  <c r="AE46" i="3" s="1"/>
  <c r="AE47" i="3" s="1"/>
  <c r="AE48" i="3" s="1"/>
  <c r="AE49" i="3" s="1"/>
  <c r="AE50" i="3" s="1"/>
  <c r="AE51" i="3" s="1"/>
  <c r="AE52" i="3" s="1"/>
  <c r="AE53" i="3" s="1"/>
  <c r="AE54" i="3" s="1"/>
  <c r="AC11" i="3"/>
  <c r="V11" i="3"/>
  <c r="T11" i="3"/>
  <c r="P11" i="3"/>
  <c r="A11" i="3"/>
  <c r="AF10" i="3"/>
  <c r="Q10" i="3"/>
  <c r="AE5" i="3"/>
  <c r="P5" i="3"/>
  <c r="A5" i="3"/>
  <c r="P4" i="3"/>
  <c r="AE4" i="3" s="1"/>
  <c r="AE3" i="3"/>
  <c r="P3" i="3"/>
  <c r="P2" i="3"/>
  <c r="AE2" i="3" s="1"/>
  <c r="A2" i="3"/>
  <c r="AE1" i="3"/>
  <c r="P1" i="3"/>
  <c r="C63" i="2"/>
  <c r="E58" i="2"/>
  <c r="C58" i="2"/>
  <c r="A57" i="2"/>
  <c r="A58" i="2" s="1"/>
  <c r="A59" i="2" s="1"/>
  <c r="A60" i="2" s="1"/>
  <c r="A61" i="2" s="1"/>
  <c r="A62" i="2" s="1"/>
  <c r="A51" i="2"/>
  <c r="A50" i="2"/>
  <c r="A47" i="2"/>
  <c r="F58" i="2"/>
  <c r="D58" i="2"/>
  <c r="C40" i="2"/>
  <c r="F35" i="2"/>
  <c r="E35" i="2"/>
  <c r="C35" i="2"/>
  <c r="C34" i="2"/>
  <c r="A34" i="2"/>
  <c r="A28" i="2"/>
  <c r="A27" i="2"/>
  <c r="A26" i="2"/>
  <c r="A49" i="2" s="1"/>
  <c r="A24" i="2"/>
  <c r="D35" i="2"/>
  <c r="A17" i="2"/>
  <c r="A18" i="2" s="1"/>
  <c r="A19" i="2" s="1"/>
  <c r="A20" i="2" s="1"/>
  <c r="C16" i="2"/>
  <c r="C39" i="2" s="1"/>
  <c r="A16" i="2"/>
  <c r="C13" i="2"/>
  <c r="A12" i="2"/>
  <c r="A13" i="2" s="1"/>
  <c r="A14" i="2" s="1"/>
  <c r="A15" i="2" s="1"/>
  <c r="A11" i="2"/>
  <c r="A5" i="2"/>
  <c r="A2" i="2"/>
  <c r="A25" i="2" s="1"/>
  <c r="A48" i="2" s="1"/>
  <c r="K103" i="1"/>
  <c r="H103" i="1"/>
  <c r="O103" i="1"/>
  <c r="F102" i="1"/>
  <c r="E102" i="1"/>
  <c r="D102" i="1"/>
  <c r="N103" i="1"/>
  <c r="E101" i="1"/>
  <c r="E103" i="1" s="1"/>
  <c r="I103" i="1"/>
  <c r="D101" i="1"/>
  <c r="D103" i="1" s="1"/>
  <c r="O99" i="1"/>
  <c r="O105" i="1" s="1"/>
  <c r="N99" i="1"/>
  <c r="N105" i="1" s="1"/>
  <c r="F98" i="1"/>
  <c r="E98" i="1"/>
  <c r="D98" i="1"/>
  <c r="F97" i="1"/>
  <c r="E97" i="1"/>
  <c r="D97" i="1"/>
  <c r="C97" i="1"/>
  <c r="M99" i="1"/>
  <c r="L99" i="1"/>
  <c r="K99" i="1"/>
  <c r="K105" i="1" s="1"/>
  <c r="J99" i="1"/>
  <c r="E99" i="1" s="1"/>
  <c r="E105" i="1" s="1"/>
  <c r="I99" i="1"/>
  <c r="I105" i="1" s="1"/>
  <c r="E96" i="1"/>
  <c r="C96" i="1"/>
  <c r="G94" i="1"/>
  <c r="O90" i="1"/>
  <c r="O91" i="1" s="1"/>
  <c r="N90" i="1"/>
  <c r="K90" i="1"/>
  <c r="J90" i="1"/>
  <c r="I90" i="1"/>
  <c r="H90" i="1"/>
  <c r="D90" i="1" s="1"/>
  <c r="O89" i="1"/>
  <c r="L89" i="1"/>
  <c r="K89" i="1"/>
  <c r="H89" i="1"/>
  <c r="H91" i="1" s="1"/>
  <c r="C89" i="1"/>
  <c r="O86" i="1"/>
  <c r="N86" i="1"/>
  <c r="K86" i="1"/>
  <c r="E86" i="1" s="1"/>
  <c r="J86" i="1"/>
  <c r="H86" i="1"/>
  <c r="D86" i="1" s="1"/>
  <c r="A86" i="1"/>
  <c r="A87" i="1" s="1"/>
  <c r="O85" i="1"/>
  <c r="L85" i="1"/>
  <c r="K85" i="1"/>
  <c r="I85" i="1"/>
  <c r="D85" i="1" s="1"/>
  <c r="H85" i="1"/>
  <c r="C85" i="1"/>
  <c r="A85" i="1"/>
  <c r="M84" i="1"/>
  <c r="L84" i="1"/>
  <c r="J84" i="1"/>
  <c r="J87" i="1" s="1"/>
  <c r="I84" i="1"/>
  <c r="H84" i="1"/>
  <c r="D84" i="1"/>
  <c r="C84" i="1"/>
  <c r="A84" i="1"/>
  <c r="C87" i="1" s="1"/>
  <c r="A77" i="1"/>
  <c r="A76" i="1"/>
  <c r="A75" i="1"/>
  <c r="A74" i="1"/>
  <c r="O65" i="1"/>
  <c r="K65" i="1"/>
  <c r="H65" i="1"/>
  <c r="M90" i="1"/>
  <c r="L65" i="1"/>
  <c r="E64" i="1"/>
  <c r="D64" i="1"/>
  <c r="C64" i="1"/>
  <c r="E63" i="1"/>
  <c r="E65" i="1" s="1"/>
  <c r="C63" i="1"/>
  <c r="C101" i="1" s="1"/>
  <c r="M86" i="1"/>
  <c r="F60" i="1"/>
  <c r="E60" i="1"/>
  <c r="I86" i="1"/>
  <c r="H61" i="1"/>
  <c r="C60" i="1"/>
  <c r="C98" i="1" s="1"/>
  <c r="N85" i="1"/>
  <c r="M85" i="1"/>
  <c r="F59" i="1"/>
  <c r="J85" i="1"/>
  <c r="E85" i="1" s="1"/>
  <c r="D59" i="1"/>
  <c r="C59" i="1"/>
  <c r="O84" i="1"/>
  <c r="O87" i="1" s="1"/>
  <c r="O93" i="1" s="1"/>
  <c r="M61" i="1"/>
  <c r="K84" i="1"/>
  <c r="K87" i="1" s="1"/>
  <c r="I61" i="1"/>
  <c r="F58" i="1"/>
  <c r="D58" i="1"/>
  <c r="C58" i="1"/>
  <c r="G56" i="1"/>
  <c r="H53" i="1"/>
  <c r="O52" i="1"/>
  <c r="M52" i="1"/>
  <c r="L52" i="1"/>
  <c r="K52" i="1"/>
  <c r="E52" i="1" s="1"/>
  <c r="J52" i="1"/>
  <c r="I52" i="1"/>
  <c r="D52" i="1" s="1"/>
  <c r="H52" i="1"/>
  <c r="C52" i="1"/>
  <c r="N51" i="1"/>
  <c r="N53" i="1" s="1"/>
  <c r="M51" i="1"/>
  <c r="L51" i="1"/>
  <c r="J51" i="1"/>
  <c r="J53" i="1" s="1"/>
  <c r="I51" i="1"/>
  <c r="I53" i="1" s="1"/>
  <c r="H51" i="1"/>
  <c r="C51" i="1"/>
  <c r="A49" i="1"/>
  <c r="O48" i="1"/>
  <c r="K48" i="1"/>
  <c r="C48" i="1"/>
  <c r="M47" i="1"/>
  <c r="L47" i="1"/>
  <c r="H47" i="1"/>
  <c r="C47" i="1"/>
  <c r="N46" i="1"/>
  <c r="M46" i="1"/>
  <c r="J46" i="1"/>
  <c r="I46" i="1"/>
  <c r="C46" i="1"/>
  <c r="A46" i="1"/>
  <c r="A47" i="1" s="1"/>
  <c r="A48" i="1" s="1"/>
  <c r="A39" i="1"/>
  <c r="A38" i="1"/>
  <c r="A37" i="1"/>
  <c r="A36" i="1"/>
  <c r="L27" i="1"/>
  <c r="I27" i="1"/>
  <c r="H27" i="1"/>
  <c r="N52" i="1"/>
  <c r="M27" i="1"/>
  <c r="F26" i="1"/>
  <c r="E26" i="1"/>
  <c r="D26" i="1"/>
  <c r="D27" i="1" s="1"/>
  <c r="C26" i="1"/>
  <c r="J27" i="1"/>
  <c r="F25" i="1"/>
  <c r="F27" i="1" s="1"/>
  <c r="D25" i="1"/>
  <c r="C25" i="1"/>
  <c r="I23" i="1"/>
  <c r="I29" i="1" s="1"/>
  <c r="I31" i="1" s="1"/>
  <c r="N48" i="1"/>
  <c r="M48" i="1"/>
  <c r="J48" i="1"/>
  <c r="E48" i="1" s="1"/>
  <c r="I48" i="1"/>
  <c r="D22" i="1"/>
  <c r="E22" i="1"/>
  <c r="C22" i="1"/>
  <c r="O47" i="1"/>
  <c r="N47" i="1"/>
  <c r="K47" i="1"/>
  <c r="J47" i="1"/>
  <c r="E47" i="1" s="1"/>
  <c r="I47" i="1"/>
  <c r="D47" i="1" s="1"/>
  <c r="D21" i="1"/>
  <c r="C21" i="1"/>
  <c r="O23" i="1"/>
  <c r="L46" i="1"/>
  <c r="K23" i="1"/>
  <c r="F20" i="1"/>
  <c r="M17" i="1"/>
  <c r="I17" i="1"/>
  <c r="D17" i="1"/>
  <c r="D11" i="2" s="1"/>
  <c r="D13" i="2" s="1"/>
  <c r="O15" i="1"/>
  <c r="O17" i="1" s="1"/>
  <c r="N15" i="1"/>
  <c r="N17" i="1" s="1"/>
  <c r="M15" i="1"/>
  <c r="L15" i="1"/>
  <c r="L17" i="1" s="1"/>
  <c r="K15" i="1"/>
  <c r="K17" i="1" s="1"/>
  <c r="J15" i="1"/>
  <c r="J17" i="1" s="1"/>
  <c r="I15" i="1"/>
  <c r="H15" i="1"/>
  <c r="H17" i="1" s="1"/>
  <c r="E15" i="1"/>
  <c r="F14" i="1"/>
  <c r="F15" i="1" s="1"/>
  <c r="E14" i="1"/>
  <c r="D14" i="1"/>
  <c r="C14" i="1"/>
  <c r="F13" i="1"/>
  <c r="E13" i="1"/>
  <c r="D13" i="1"/>
  <c r="D15" i="1" s="1"/>
  <c r="C13" i="1"/>
  <c r="F11" i="1"/>
  <c r="E11" i="1"/>
  <c r="E17" i="1" s="1"/>
  <c r="E11" i="2" s="1"/>
  <c r="E13" i="2" s="1"/>
  <c r="D11" i="1"/>
  <c r="A11" i="1"/>
  <c r="E87" i="1" l="1"/>
  <c r="I67" i="1"/>
  <c r="A88" i="1"/>
  <c r="A89" i="1" s="1"/>
  <c r="K29" i="1"/>
  <c r="H67" i="1"/>
  <c r="D61" i="1"/>
  <c r="A12" i="1"/>
  <c r="A13" i="1" s="1"/>
  <c r="E21" i="1"/>
  <c r="O27" i="1"/>
  <c r="O29" i="1" s="1"/>
  <c r="O51" i="1"/>
  <c r="O53" i="1" s="1"/>
  <c r="O61" i="1"/>
  <c r="O67" i="1" s="1"/>
  <c r="E90" i="1"/>
  <c r="K91" i="1"/>
  <c r="K93" i="1" s="1"/>
  <c r="K107" i="1" s="1"/>
  <c r="H46" i="1"/>
  <c r="D20" i="1"/>
  <c r="F21" i="1"/>
  <c r="F22" i="1"/>
  <c r="L23" i="1"/>
  <c r="I49" i="1"/>
  <c r="I55" i="1" s="1"/>
  <c r="I56" i="1" s="1"/>
  <c r="N49" i="1"/>
  <c r="N55" i="1" s="1"/>
  <c r="F47" i="1"/>
  <c r="L48" i="1"/>
  <c r="F48" i="1" s="1"/>
  <c r="C49" i="1"/>
  <c r="D51" i="1"/>
  <c r="D53" i="1" s="1"/>
  <c r="D60" i="1"/>
  <c r="F63" i="1"/>
  <c r="C102" i="1"/>
  <c r="C90" i="1"/>
  <c r="E84" i="1"/>
  <c r="K27" i="1"/>
  <c r="K51" i="1"/>
  <c r="M49" i="1"/>
  <c r="F64" i="1"/>
  <c r="L90" i="1"/>
  <c r="F90" i="1" s="1"/>
  <c r="J49" i="1"/>
  <c r="H48" i="1"/>
  <c r="D48" i="1" s="1"/>
  <c r="K61" i="1"/>
  <c r="K67" i="1" s="1"/>
  <c r="I65" i="1"/>
  <c r="I89" i="1"/>
  <c r="M65" i="1"/>
  <c r="M67" i="1" s="1"/>
  <c r="M89" i="1"/>
  <c r="M91" i="1" s="1"/>
  <c r="H87" i="1"/>
  <c r="M87" i="1"/>
  <c r="F85" i="1"/>
  <c r="C86" i="1"/>
  <c r="D96" i="1"/>
  <c r="E62" i="2"/>
  <c r="E64" i="2" s="1"/>
  <c r="J105" i="1"/>
  <c r="AI11" i="3"/>
  <c r="AI14" i="3" s="1"/>
  <c r="AI17" i="3" s="1"/>
  <c r="AI19" i="3" s="1"/>
  <c r="AI22" i="3" s="1"/>
  <c r="AI25" i="3" s="1"/>
  <c r="AI28" i="3" s="1"/>
  <c r="AI29" i="3" s="1"/>
  <c r="AI31" i="3" s="1"/>
  <c r="AI34" i="3" s="1"/>
  <c r="AI37" i="3" s="1"/>
  <c r="AI38" i="3" s="1"/>
  <c r="AI41" i="3" s="1"/>
  <c r="AI44" i="3" s="1"/>
  <c r="AI45" i="3" s="1"/>
  <c r="AI47" i="3" s="1"/>
  <c r="AI50" i="3" s="1"/>
  <c r="AI53" i="3" s="1"/>
  <c r="AI54" i="3" s="1"/>
  <c r="T14" i="3"/>
  <c r="T17" i="3" s="1"/>
  <c r="T19" i="3" s="1"/>
  <c r="T22" i="3" s="1"/>
  <c r="T25" i="3" s="1"/>
  <c r="T28" i="3" s="1"/>
  <c r="T29" i="3" s="1"/>
  <c r="T31" i="3" s="1"/>
  <c r="T34" i="3" s="1"/>
  <c r="T37" i="3" s="1"/>
  <c r="T38" i="3" s="1"/>
  <c r="T41" i="3" s="1"/>
  <c r="T44" i="3" s="1"/>
  <c r="T45" i="3" s="1"/>
  <c r="T47" i="3" s="1"/>
  <c r="T50" i="3" s="1"/>
  <c r="T53" i="3" s="1"/>
  <c r="T54" i="3" s="1"/>
  <c r="U29" i="3"/>
  <c r="L29" i="3"/>
  <c r="F99" i="1"/>
  <c r="A63" i="2"/>
  <c r="A64" i="2" s="1"/>
  <c r="A65" i="2" s="1"/>
  <c r="A66" i="2" s="1"/>
  <c r="L14" i="3"/>
  <c r="U14" i="3"/>
  <c r="M23" i="1"/>
  <c r="M29" i="1" s="1"/>
  <c r="O46" i="1"/>
  <c r="F51" i="1"/>
  <c r="F17" i="1"/>
  <c r="F11" i="2" s="1"/>
  <c r="F13" i="2" s="1"/>
  <c r="E20" i="1"/>
  <c r="J23" i="1"/>
  <c r="N23" i="1"/>
  <c r="H23" i="1"/>
  <c r="E25" i="1"/>
  <c r="E27" i="1" s="1"/>
  <c r="N27" i="1"/>
  <c r="K46" i="1"/>
  <c r="K49" i="1" s="1"/>
  <c r="A50" i="1"/>
  <c r="A51" i="1" s="1"/>
  <c r="M53" i="1"/>
  <c r="F52" i="1"/>
  <c r="L53" i="1"/>
  <c r="E58" i="1"/>
  <c r="J61" i="1"/>
  <c r="N61" i="1"/>
  <c r="N67" i="1" s="1"/>
  <c r="E59" i="1"/>
  <c r="L61" i="1"/>
  <c r="D63" i="1"/>
  <c r="D65" i="1" s="1"/>
  <c r="J65" i="1"/>
  <c r="J89" i="1"/>
  <c r="N65" i="1"/>
  <c r="N89" i="1"/>
  <c r="N91" i="1" s="1"/>
  <c r="I87" i="1"/>
  <c r="N84" i="1"/>
  <c r="N87" i="1" s="1"/>
  <c r="L86" i="1"/>
  <c r="F86" i="1" s="1"/>
  <c r="H99" i="1"/>
  <c r="J103" i="1"/>
  <c r="AJ14" i="3"/>
  <c r="AA14" i="3"/>
  <c r="L38" i="3"/>
  <c r="U38" i="3"/>
  <c r="AA38" i="3" s="1"/>
  <c r="O107" i="1"/>
  <c r="C59" i="2"/>
  <c r="AK11" i="3"/>
  <c r="AN11" i="3" s="1"/>
  <c r="Y11" i="3"/>
  <c r="AJ38" i="3"/>
  <c r="T17" i="4"/>
  <c r="T18" i="4" s="1"/>
  <c r="T19" i="4" s="1"/>
  <c r="T20" i="4" s="1"/>
  <c r="C18" i="2"/>
  <c r="AK29" i="3"/>
  <c r="AN29" i="3" s="1"/>
  <c r="Y29" i="3"/>
  <c r="U37" i="3"/>
  <c r="L37" i="3"/>
  <c r="F84" i="1"/>
  <c r="F96" i="1"/>
  <c r="F101" i="1"/>
  <c r="F103" i="1" s="1"/>
  <c r="L103" i="1"/>
  <c r="L105" i="1" s="1"/>
  <c r="C57" i="2"/>
  <c r="C62" i="2"/>
  <c r="U22" i="3"/>
  <c r="L28" i="3"/>
  <c r="U28" i="3"/>
  <c r="AK37" i="3"/>
  <c r="AN37" i="3" s="1"/>
  <c r="Y37" i="3"/>
  <c r="AP44" i="3"/>
  <c r="AW16" i="4"/>
  <c r="M103" i="1"/>
  <c r="M105" i="1" s="1"/>
  <c r="J11" i="3"/>
  <c r="AN14" i="3"/>
  <c r="AP14" i="3" s="1"/>
  <c r="L19" i="3"/>
  <c r="U19" i="3"/>
  <c r="AA19" i="3" s="1"/>
  <c r="AN22" i="3"/>
  <c r="V25" i="3"/>
  <c r="J25" i="3"/>
  <c r="AP34" i="3"/>
  <c r="AP38" i="3"/>
  <c r="AJ44" i="3"/>
  <c r="AK53" i="3"/>
  <c r="AN53" i="3" s="1"/>
  <c r="Y53" i="3"/>
  <c r="AP11" i="4"/>
  <c r="W19" i="4"/>
  <c r="W15" i="4"/>
  <c r="C36" i="2"/>
  <c r="A35" i="2"/>
  <c r="A36" i="2" s="1"/>
  <c r="A37" i="2" s="1"/>
  <c r="A38" i="2" s="1"/>
  <c r="A39" i="2" s="1"/>
  <c r="Y17" i="3"/>
  <c r="Y28" i="3"/>
  <c r="V31" i="3"/>
  <c r="AP41" i="3"/>
  <c r="AK45" i="3"/>
  <c r="AN45" i="3" s="1"/>
  <c r="Y45" i="3"/>
  <c r="AJ50" i="3"/>
  <c r="AP50" i="3" s="1"/>
  <c r="AI16" i="4"/>
  <c r="AJ19" i="3"/>
  <c r="L31" i="3"/>
  <c r="L47" i="3"/>
  <c r="L53" i="3"/>
  <c r="U53" i="3"/>
  <c r="U54" i="3"/>
  <c r="AV12" i="4"/>
  <c r="BD11" i="4"/>
  <c r="BC12" i="4" s="1"/>
  <c r="M16" i="4"/>
  <c r="AJ20" i="4"/>
  <c r="J17" i="3"/>
  <c r="AK19" i="3"/>
  <c r="AN19" i="3" s="1"/>
  <c r="AP19" i="3" s="1"/>
  <c r="Y22" i="3"/>
  <c r="J34" i="3"/>
  <c r="J41" i="3"/>
  <c r="L45" i="3"/>
  <c r="U45" i="3"/>
  <c r="AK47" i="3"/>
  <c r="AN47" i="3" s="1"/>
  <c r="Y47" i="3"/>
  <c r="AN54" i="3"/>
  <c r="A13" i="4"/>
  <c r="A14" i="4" s="1"/>
  <c r="A15" i="4" s="1"/>
  <c r="A16" i="4" s="1"/>
  <c r="AM17" i="4"/>
  <c r="AM18" i="4" s="1"/>
  <c r="AM19" i="4" s="1"/>
  <c r="AM20" i="4" s="1"/>
  <c r="Z20" i="4"/>
  <c r="Y20" i="4"/>
  <c r="AF20" i="4"/>
  <c r="AV20" i="4"/>
  <c r="BD19" i="4"/>
  <c r="BA20" i="4" s="1"/>
  <c r="J12" i="4"/>
  <c r="R11" i="4"/>
  <c r="Q12" i="4" s="1"/>
  <c r="AK11" i="4"/>
  <c r="AB12" i="4" s="1"/>
  <c r="BA12" i="4"/>
  <c r="M20" i="4"/>
  <c r="AS20" i="4"/>
  <c r="J50" i="3"/>
  <c r="K12" i="4"/>
  <c r="BB12" i="4"/>
  <c r="AC16" i="4"/>
  <c r="AY16" i="4"/>
  <c r="AB20" i="4"/>
  <c r="Y54" i="3"/>
  <c r="AU12" i="4"/>
  <c r="H16" i="4"/>
  <c r="L16" i="4"/>
  <c r="AD16" i="4"/>
  <c r="BD15" i="4"/>
  <c r="AS16" i="4" s="1"/>
  <c r="AC20" i="4"/>
  <c r="AG20" i="4"/>
  <c r="R15" i="4"/>
  <c r="AT16" i="4"/>
  <c r="BB16" i="4"/>
  <c r="J20" i="4"/>
  <c r="R19" i="4"/>
  <c r="I20" i="4" s="1"/>
  <c r="AE12" i="4"/>
  <c r="AO11" i="4"/>
  <c r="V15" i="4"/>
  <c r="AA20" i="4"/>
  <c r="AE20" i="4"/>
  <c r="AI20" i="4"/>
  <c r="AK15" i="4"/>
  <c r="O31" i="1" l="1"/>
  <c r="U17" i="3"/>
  <c r="L17" i="3"/>
  <c r="Y12" i="4"/>
  <c r="AJ17" i="3"/>
  <c r="AP17" i="3" s="1"/>
  <c r="AA17" i="3"/>
  <c r="AF12" i="4"/>
  <c r="U11" i="3"/>
  <c r="AA11" i="3" s="1"/>
  <c r="L11" i="3"/>
  <c r="AJ37" i="3"/>
  <c r="AA37" i="3"/>
  <c r="E61" i="1"/>
  <c r="E67" i="1" s="1"/>
  <c r="J67" i="1"/>
  <c r="K94" i="1"/>
  <c r="O94" i="1"/>
  <c r="D67" i="1"/>
  <c r="K31" i="1"/>
  <c r="I94" i="1"/>
  <c r="I69" i="1"/>
  <c r="AE16" i="4"/>
  <c r="AA16" i="4"/>
  <c r="Z16" i="4"/>
  <c r="AF16" i="4"/>
  <c r="AA12" i="4"/>
  <c r="F20" i="4"/>
  <c r="N16" i="4"/>
  <c r="G16" i="4"/>
  <c r="O16" i="4"/>
  <c r="K16" i="4"/>
  <c r="J16" i="4"/>
  <c r="F16" i="4"/>
  <c r="Q16" i="4"/>
  <c r="P16" i="4"/>
  <c r="L12" i="4"/>
  <c r="AG16" i="4"/>
  <c r="Z12" i="4"/>
  <c r="AW20" i="4"/>
  <c r="AB16" i="4"/>
  <c r="AG12" i="4"/>
  <c r="F12" i="4"/>
  <c r="AR20" i="4"/>
  <c r="AM21" i="4"/>
  <c r="AM22" i="4" s="1"/>
  <c r="AM23" i="4" s="1"/>
  <c r="AM24" i="4" s="1"/>
  <c r="L34" i="3"/>
  <c r="U34" i="3"/>
  <c r="AA34" i="3" s="1"/>
  <c r="I16" i="4"/>
  <c r="AR12" i="4"/>
  <c r="A40" i="2"/>
  <c r="A41" i="2" s="1"/>
  <c r="A42" i="2" s="1"/>
  <c r="A43" i="2" s="1"/>
  <c r="AJ53" i="3"/>
  <c r="AA53" i="3"/>
  <c r="AP37" i="3"/>
  <c r="AJ29" i="3"/>
  <c r="AP29" i="3" s="1"/>
  <c r="AA29" i="3"/>
  <c r="L67" i="1"/>
  <c r="F61" i="1"/>
  <c r="A52" i="1"/>
  <c r="A53" i="1" s="1"/>
  <c r="M31" i="1"/>
  <c r="M56" i="1"/>
  <c r="C64" i="2"/>
  <c r="BD28" i="4"/>
  <c r="M94" i="1"/>
  <c r="M69" i="1"/>
  <c r="M55" i="1"/>
  <c r="L87" i="1"/>
  <c r="F65" i="1"/>
  <c r="F23" i="1"/>
  <c r="F29" i="1" s="1"/>
  <c r="L29" i="1"/>
  <c r="D46" i="1"/>
  <c r="H49" i="1"/>
  <c r="H94" i="1"/>
  <c r="L50" i="3"/>
  <c r="U50" i="3"/>
  <c r="AA50" i="3" s="1"/>
  <c r="L41" i="3"/>
  <c r="U41" i="3"/>
  <c r="AA41" i="3" s="1"/>
  <c r="AO19" i="4"/>
  <c r="AO15" i="4"/>
  <c r="P12" i="4"/>
  <c r="H12" i="4"/>
  <c r="O12" i="4"/>
  <c r="A17" i="4"/>
  <c r="A18" i="4" s="1"/>
  <c r="A19" i="4" s="1"/>
  <c r="A20" i="4" s="1"/>
  <c r="AJ22" i="3"/>
  <c r="AA22" i="3"/>
  <c r="M12" i="4"/>
  <c r="AK31" i="3"/>
  <c r="AN31" i="3" s="1"/>
  <c r="Y31" i="3"/>
  <c r="AP53" i="3"/>
  <c r="L25" i="3"/>
  <c r="U25" i="3"/>
  <c r="T21" i="4"/>
  <c r="T22" i="4" s="1"/>
  <c r="T23" i="4" s="1"/>
  <c r="T24" i="4" s="1"/>
  <c r="AJ11" i="3"/>
  <c r="N93" i="1"/>
  <c r="N107" i="1" s="1"/>
  <c r="E89" i="1"/>
  <c r="E91" i="1" s="1"/>
  <c r="E93" i="1" s="1"/>
  <c r="E107" i="1" s="1"/>
  <c r="J91" i="1"/>
  <c r="J93" i="1" s="1"/>
  <c r="H29" i="1"/>
  <c r="D23" i="1"/>
  <c r="D29" i="1" s="1"/>
  <c r="M93" i="1"/>
  <c r="M107" i="1" s="1"/>
  <c r="I91" i="1"/>
  <c r="D89" i="1"/>
  <c r="D91" i="1" s="1"/>
  <c r="E49" i="1"/>
  <c r="E55" i="1" s="1"/>
  <c r="J55" i="1"/>
  <c r="K53" i="1"/>
  <c r="K55" i="1" s="1"/>
  <c r="E51" i="1"/>
  <c r="E53" i="1" s="1"/>
  <c r="C15" i="1"/>
  <c r="A14" i="1"/>
  <c r="A15" i="1" s="1"/>
  <c r="AH12" i="4"/>
  <c r="AD12" i="4"/>
  <c r="AJ47" i="3"/>
  <c r="AP47" i="3" s="1"/>
  <c r="AA47" i="3"/>
  <c r="AP19" i="4"/>
  <c r="AP15" i="4"/>
  <c r="AP22" i="3"/>
  <c r="E23" i="1"/>
  <c r="E29" i="1" s="1"/>
  <c r="J29" i="1"/>
  <c r="O49" i="1"/>
  <c r="O55" i="1" s="1"/>
  <c r="O56" i="1" s="1"/>
  <c r="F46" i="1"/>
  <c r="J107" i="1"/>
  <c r="F89" i="1"/>
  <c r="F91" i="1" s="1"/>
  <c r="H20" i="4"/>
  <c r="L20" i="4"/>
  <c r="G20" i="4"/>
  <c r="K20" i="4"/>
  <c r="P20" i="4"/>
  <c r="O20" i="4"/>
  <c r="BC16" i="4"/>
  <c r="AR16" i="4"/>
  <c r="AU16" i="4"/>
  <c r="AZ16" i="4"/>
  <c r="AV16" i="4"/>
  <c r="AJ54" i="3"/>
  <c r="AP54" i="3" s="1"/>
  <c r="AA54" i="3"/>
  <c r="AX20" i="4"/>
  <c r="BB20" i="4"/>
  <c r="AY20" i="4"/>
  <c r="AU20" i="4"/>
  <c r="AT20" i="4"/>
  <c r="AS12" i="4"/>
  <c r="AY12" i="4"/>
  <c r="AX12" i="4"/>
  <c r="AT12" i="4"/>
  <c r="AI12" i="4"/>
  <c r="N20" i="4"/>
  <c r="AX16" i="4"/>
  <c r="BC20" i="4"/>
  <c r="AH16" i="4"/>
  <c r="Y16" i="4"/>
  <c r="G12" i="4"/>
  <c r="Q20" i="4"/>
  <c r="AW12" i="4"/>
  <c r="N12" i="4"/>
  <c r="AZ20" i="4"/>
  <c r="AK20" i="4"/>
  <c r="AJ16" i="4"/>
  <c r="AZ12" i="4"/>
  <c r="AC12" i="4"/>
  <c r="I12" i="4"/>
  <c r="AJ45" i="3"/>
  <c r="AP45" i="3" s="1"/>
  <c r="AA45" i="3"/>
  <c r="AA28" i="3"/>
  <c r="AJ28" i="3"/>
  <c r="AP28" i="3" s="1"/>
  <c r="AJ12" i="4"/>
  <c r="Y25" i="3"/>
  <c r="AK25" i="3"/>
  <c r="AN25" i="3" s="1"/>
  <c r="BA16" i="4"/>
  <c r="AP11" i="3"/>
  <c r="D99" i="1"/>
  <c r="D105" i="1" s="1"/>
  <c r="H105" i="1"/>
  <c r="I93" i="1"/>
  <c r="I107" i="1" s="1"/>
  <c r="N94" i="1"/>
  <c r="N69" i="1"/>
  <c r="E46" i="1"/>
  <c r="N29" i="1"/>
  <c r="F53" i="1"/>
  <c r="F105" i="1"/>
  <c r="D87" i="1"/>
  <c r="H93" i="1"/>
  <c r="L91" i="1"/>
  <c r="C91" i="1"/>
  <c r="A90" i="1"/>
  <c r="A91" i="1" s="1"/>
  <c r="L49" i="1"/>
  <c r="K69" i="1" l="1"/>
  <c r="K56" i="1"/>
  <c r="AA25" i="3"/>
  <c r="AJ25" i="3"/>
  <c r="AP25" i="3" s="1"/>
  <c r="D16" i="2"/>
  <c r="D31" i="1"/>
  <c r="A21" i="4"/>
  <c r="A22" i="4" s="1"/>
  <c r="A23" i="4" s="1"/>
  <c r="A24" i="4" s="1"/>
  <c r="J94" i="1"/>
  <c r="J69" i="1"/>
  <c r="AK16" i="4"/>
  <c r="H31" i="1"/>
  <c r="H55" i="1"/>
  <c r="H69" i="1" s="1"/>
  <c r="D49" i="1"/>
  <c r="D55" i="1" s="1"/>
  <c r="D69" i="1" s="1"/>
  <c r="C41" i="2"/>
  <c r="BD20" i="4"/>
  <c r="R20" i="4"/>
  <c r="O69" i="1"/>
  <c r="E94" i="1"/>
  <c r="E69" i="1"/>
  <c r="E39" i="2"/>
  <c r="L55" i="1"/>
  <c r="L56" i="1" s="1"/>
  <c r="F49" i="1"/>
  <c r="F55" i="1" s="1"/>
  <c r="N56" i="1"/>
  <c r="N31" i="1"/>
  <c r="E16" i="2"/>
  <c r="E31" i="1"/>
  <c r="E56" i="1"/>
  <c r="AJ31" i="3"/>
  <c r="AA31" i="3"/>
  <c r="L93" i="1"/>
  <c r="L107" i="1" s="1"/>
  <c r="F87" i="1"/>
  <c r="F93" i="1" s="1"/>
  <c r="L94" i="1"/>
  <c r="L69" i="1"/>
  <c r="BD12" i="4"/>
  <c r="R12" i="4"/>
  <c r="F62" i="2"/>
  <c r="F64" i="2" s="1"/>
  <c r="F107" i="1"/>
  <c r="D62" i="2"/>
  <c r="D64" i="2" s="1"/>
  <c r="F16" i="2"/>
  <c r="F56" i="1"/>
  <c r="F31" i="1"/>
  <c r="A54" i="1"/>
  <c r="A55" i="1" s="1"/>
  <c r="A56" i="1" s="1"/>
  <c r="A57" i="1" s="1"/>
  <c r="A58" i="1" s="1"/>
  <c r="C55" i="1"/>
  <c r="AM25" i="4"/>
  <c r="AM26" i="4" s="1"/>
  <c r="AM27" i="4" s="1"/>
  <c r="AM28" i="4" s="1"/>
  <c r="AP25" i="4"/>
  <c r="BD16" i="4"/>
  <c r="J56" i="1"/>
  <c r="J31" i="1"/>
  <c r="T25" i="4"/>
  <c r="T26" i="4" s="1"/>
  <c r="T27" i="4" s="1"/>
  <c r="T28" i="4" s="1"/>
  <c r="W25" i="4"/>
  <c r="F67" i="1"/>
  <c r="AK12" i="4"/>
  <c r="A92" i="1"/>
  <c r="A93" i="1" s="1"/>
  <c r="A94" i="1" s="1"/>
  <c r="A95" i="1" s="1"/>
  <c r="A96" i="1" s="1"/>
  <c r="C93" i="1"/>
  <c r="D93" i="1"/>
  <c r="D107" i="1" s="1"/>
  <c r="F108" i="1" s="1"/>
  <c r="H107" i="1"/>
  <c r="A16" i="1"/>
  <c r="A17" i="1" s="1"/>
  <c r="A18" i="1" s="1"/>
  <c r="A19" i="1" s="1"/>
  <c r="A20" i="1" s="1"/>
  <c r="C17" i="1"/>
  <c r="AP31" i="3"/>
  <c r="L31" i="1"/>
  <c r="AZ29" i="4"/>
  <c r="AV29" i="4"/>
  <c r="AR29" i="4"/>
  <c r="BA29" i="4"/>
  <c r="AU29" i="4"/>
  <c r="AY29" i="4"/>
  <c r="AT29" i="4"/>
  <c r="AW29" i="4"/>
  <c r="BC29" i="4"/>
  <c r="AS29" i="4"/>
  <c r="BB29" i="4"/>
  <c r="AX29" i="4"/>
  <c r="C53" i="1"/>
  <c r="R16" i="4"/>
  <c r="D39" i="2"/>
  <c r="AM29" i="4" l="1"/>
  <c r="AM30" i="4" s="1"/>
  <c r="AM31" i="4" s="1"/>
  <c r="AM32" i="4" s="1"/>
  <c r="AP29" i="4"/>
  <c r="E34" i="2"/>
  <c r="E36" i="2" s="1"/>
  <c r="E18" i="2"/>
  <c r="F39" i="2"/>
  <c r="F94" i="1"/>
  <c r="F69" i="1"/>
  <c r="F70" i="1" s="1"/>
  <c r="F18" i="2"/>
  <c r="F34" i="2"/>
  <c r="F36" i="2" s="1"/>
  <c r="BD32" i="4"/>
  <c r="E41" i="2"/>
  <c r="E57" i="2"/>
  <c r="E59" i="2" s="1"/>
  <c r="E66" i="2" s="1"/>
  <c r="D56" i="1"/>
  <c r="D94" i="1"/>
  <c r="A21" i="1"/>
  <c r="A22" i="1" s="1"/>
  <c r="A23" i="1" s="1"/>
  <c r="A59" i="1"/>
  <c r="A60" i="1" s="1"/>
  <c r="A61" i="1" s="1"/>
  <c r="C61" i="1"/>
  <c r="H56" i="1"/>
  <c r="F32" i="1"/>
  <c r="D57" i="2"/>
  <c r="D59" i="2" s="1"/>
  <c r="D66" i="2" s="1"/>
  <c r="D41" i="2"/>
  <c r="BD29" i="4"/>
  <c r="A97" i="1"/>
  <c r="A98" i="1" s="1"/>
  <c r="A99" i="1" s="1"/>
  <c r="C99" i="1"/>
  <c r="T29" i="4"/>
  <c r="T30" i="4" s="1"/>
  <c r="T31" i="4" s="1"/>
  <c r="T32" i="4" s="1"/>
  <c r="W29" i="4"/>
  <c r="BD24" i="4"/>
  <c r="A25" i="4"/>
  <c r="A26" i="4" s="1"/>
  <c r="A27" i="4" s="1"/>
  <c r="A28" i="4" s="1"/>
  <c r="D25" i="4"/>
  <c r="D18" i="2"/>
  <c r="D34" i="2"/>
  <c r="D36" i="2" s="1"/>
  <c r="A29" i="4" l="1"/>
  <c r="A30" i="4" s="1"/>
  <c r="A31" i="4" s="1"/>
  <c r="A32" i="4" s="1"/>
  <c r="D29" i="4"/>
  <c r="AK24" i="4"/>
  <c r="D43" i="2"/>
  <c r="A62" i="1"/>
  <c r="A63" i="1" s="1"/>
  <c r="BC33" i="4"/>
  <c r="AY33" i="4"/>
  <c r="AU33" i="4"/>
  <c r="AX33" i="4"/>
  <c r="AS33" i="4"/>
  <c r="BB33" i="4"/>
  <c r="AW33" i="4"/>
  <c r="AR33" i="4"/>
  <c r="BA33" i="4"/>
  <c r="AZ33" i="4"/>
  <c r="AV33" i="4"/>
  <c r="AT33" i="4"/>
  <c r="T33" i="4"/>
  <c r="W33" i="4"/>
  <c r="R24" i="4"/>
  <c r="D20" i="2"/>
  <c r="BA25" i="4"/>
  <c r="AW25" i="4"/>
  <c r="AS25" i="4"/>
  <c r="BC25" i="4"/>
  <c r="AX25" i="4"/>
  <c r="AR25" i="4"/>
  <c r="BB25" i="4"/>
  <c r="AV25" i="4"/>
  <c r="AZ25" i="4"/>
  <c r="AY25" i="4"/>
  <c r="AU25" i="4"/>
  <c r="AT25" i="4"/>
  <c r="A100" i="1"/>
  <c r="A101" i="1" s="1"/>
  <c r="A24" i="1"/>
  <c r="A25" i="1" s="1"/>
  <c r="F41" i="2"/>
  <c r="F57" i="2"/>
  <c r="F59" i="2" s="1"/>
  <c r="F66" i="2" s="1"/>
  <c r="AM33" i="4"/>
  <c r="AP33" i="4"/>
  <c r="C23" i="1"/>
  <c r="AK28" i="4"/>
  <c r="E43" i="2"/>
  <c r="R32" i="4"/>
  <c r="F20" i="2"/>
  <c r="R28" i="4"/>
  <c r="E20" i="2"/>
  <c r="BD25" i="4" l="1"/>
  <c r="A102" i="1"/>
  <c r="A103" i="1" s="1"/>
  <c r="C103" i="1"/>
  <c r="Q33" i="4"/>
  <c r="M33" i="4"/>
  <c r="I33" i="4"/>
  <c r="N33" i="4"/>
  <c r="H33" i="4"/>
  <c r="L33" i="4"/>
  <c r="G33" i="4"/>
  <c r="P33" i="4"/>
  <c r="F33" i="4"/>
  <c r="R33" i="4" s="1"/>
  <c r="O33" i="4"/>
  <c r="K33" i="4"/>
  <c r="J33" i="4"/>
  <c r="A26" i="1"/>
  <c r="A27" i="1" s="1"/>
  <c r="BD33" i="4"/>
  <c r="A64" i="1"/>
  <c r="A65" i="1" s="1"/>
  <c r="C65" i="1"/>
  <c r="N29" i="4"/>
  <c r="J29" i="4"/>
  <c r="F29" i="4"/>
  <c r="O29" i="4"/>
  <c r="I29" i="4"/>
  <c r="M29" i="4"/>
  <c r="H29" i="4"/>
  <c r="K29" i="4"/>
  <c r="Q29" i="4"/>
  <c r="G29" i="4"/>
  <c r="P29" i="4"/>
  <c r="L29" i="4"/>
  <c r="AG29" i="4"/>
  <c r="AC29" i="4"/>
  <c r="Y29" i="4"/>
  <c r="AH29" i="4"/>
  <c r="AB29" i="4"/>
  <c r="AF29" i="4"/>
  <c r="AA29" i="4"/>
  <c r="AI29" i="4"/>
  <c r="AE29" i="4"/>
  <c r="AD29" i="4"/>
  <c r="AJ29" i="4"/>
  <c r="Z29" i="4"/>
  <c r="AK32" i="4"/>
  <c r="F43" i="2"/>
  <c r="AH25" i="4"/>
  <c r="AD25" i="4"/>
  <c r="Z25" i="4"/>
  <c r="AJ25" i="4"/>
  <c r="AE25" i="4"/>
  <c r="Y25" i="4"/>
  <c r="AK25" i="4" s="1"/>
  <c r="AI25" i="4"/>
  <c r="AC25" i="4"/>
  <c r="AB25" i="4"/>
  <c r="AA25" i="4"/>
  <c r="AG25" i="4"/>
  <c r="AF25" i="4"/>
  <c r="O25" i="4"/>
  <c r="K25" i="4"/>
  <c r="G25" i="4"/>
  <c r="Q25" i="4"/>
  <c r="L25" i="4"/>
  <c r="F25" i="4"/>
  <c r="R25" i="4" s="1"/>
  <c r="P25" i="4"/>
  <c r="J25" i="4"/>
  <c r="H25" i="4"/>
  <c r="N25" i="4"/>
  <c r="M25" i="4"/>
  <c r="I25" i="4"/>
  <c r="A33" i="4"/>
  <c r="D33" i="4"/>
  <c r="AK29" i="4" l="1"/>
  <c r="R29" i="4"/>
  <c r="A66" i="1"/>
  <c r="A67" i="1" s="1"/>
  <c r="A68" i="1" s="1"/>
  <c r="A69" i="1" s="1"/>
  <c r="A70" i="1" s="1"/>
  <c r="C67" i="1"/>
  <c r="A104" i="1"/>
  <c r="A105" i="1" s="1"/>
  <c r="A106" i="1" s="1"/>
  <c r="A107" i="1" s="1"/>
  <c r="A108" i="1" s="1"/>
  <c r="C105" i="1"/>
  <c r="A28" i="1"/>
  <c r="A29" i="1" s="1"/>
  <c r="A30" i="1" s="1"/>
  <c r="A31" i="1" s="1"/>
  <c r="A32" i="1" s="1"/>
  <c r="C29" i="1"/>
  <c r="AJ33" i="4"/>
  <c r="AF33" i="4"/>
  <c r="AB33" i="4"/>
  <c r="AE33" i="4"/>
  <c r="Z33" i="4"/>
  <c r="AI33" i="4"/>
  <c r="AD33" i="4"/>
  <c r="Y33" i="4"/>
  <c r="AC33" i="4"/>
  <c r="AA33" i="4"/>
  <c r="AH33" i="4"/>
  <c r="AG33" i="4"/>
  <c r="C27" i="1"/>
  <c r="AK33" i="4" l="1"/>
</calcChain>
</file>

<file path=xl/sharedStrings.xml><?xml version="1.0" encoding="utf-8"?>
<sst xmlns="http://schemas.openxmlformats.org/spreadsheetml/2006/main" count="636" uniqueCount="131">
  <si>
    <t>Puget Sound Energy</t>
  </si>
  <si>
    <t>2022 General Rate Case (GRC)</t>
  </si>
  <si>
    <t>Gas Decoupling Mechanism (Schedule 142)</t>
  </si>
  <si>
    <t>Development of Decoupled Delivery Revenue by Decoupling Group</t>
  </si>
  <si>
    <t>Proposed Effective January 1, 2023</t>
  </si>
  <si>
    <t>Line</t>
  </si>
  <si>
    <t>Schedules</t>
  </si>
  <si>
    <t>No.</t>
  </si>
  <si>
    <t>Source</t>
  </si>
  <si>
    <t>23 (23D1, 23D2) &amp; 53</t>
  </si>
  <si>
    <t>31 &amp; 31T</t>
  </si>
  <si>
    <t>41, 41T, 86 &amp; 86T</t>
  </si>
  <si>
    <t>Schedule 23 (23D1, 23D2)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</si>
  <si>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</si>
  <si>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</si>
  <si>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</si>
  <si>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</si>
  <si>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</si>
  <si>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</si>
  <si>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</si>
  <si>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</si>
  <si>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</si>
  <si>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</si>
  <si>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</si>
  <si>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</si>
  <si>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</si>
  <si>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</si>
  <si>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</si>
  <si>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</si>
  <si>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</si>
  <si>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</si>
  <si>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</si>
  <si>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</si>
  <si>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Current:</t>
  </si>
  <si>
    <t>Total Revenue</t>
  </si>
  <si>
    <t>2019 GRC PLR filing (UE-190529), Exhibit JAP-13, Page 1</t>
  </si>
  <si>
    <t xml:space="preserve">   Basic Charge Revenue</t>
  </si>
  <si>
    <t xml:space="preserve">   Minimum Charge Revenue</t>
  </si>
  <si>
    <t>Total Basic &amp; Minimum Charge Revenue</t>
  </si>
  <si>
    <t>Net Delivery Revenue</t>
  </si>
  <si>
    <t>Proposed:</t>
  </si>
  <si>
    <t xml:space="preserve">   Base Revenue </t>
  </si>
  <si>
    <t>Exhibit JDT-5, GAS RATE SPREAD DESIGN</t>
  </si>
  <si>
    <t xml:space="preserve">   Non-Refundable: SCH 141N Base Revenue</t>
  </si>
  <si>
    <t xml:space="preserve">   Refundable: SCH 141R Base Revenue</t>
  </si>
  <si>
    <t>Change in Net Delivery Revenue</t>
  </si>
  <si>
    <t>TOTAL Change in Net Delivery Revenue</t>
  </si>
  <si>
    <t>Proposed Effective January 1, 2024</t>
  </si>
  <si>
    <t>Cross checks</t>
  </si>
  <si>
    <t xml:space="preserve">   Non-Refundable: SCH 141N Base Charge Revenue</t>
  </si>
  <si>
    <t xml:space="preserve">   Refundable: SCH 141R Base Charge Revenue</t>
  </si>
  <si>
    <t>Proposed Effective January 1, 2025</t>
  </si>
  <si>
    <t>Development of Allowed Delivery Revenue Per Customer</t>
  </si>
  <si>
    <t>(c)</t>
  </si>
  <si>
    <t>(d)</t>
  </si>
  <si>
    <t>(e)</t>
  </si>
  <si>
    <t>Test Year Delivery Revenue</t>
  </si>
  <si>
    <t>Exhibit JDT-7, Page 1</t>
  </si>
  <si>
    <t>Test Year Customers</t>
  </si>
  <si>
    <t>2020 GRC PLR filing (UE-190529), Exhibit JAP-13, Page 2</t>
  </si>
  <si>
    <t>Annual Allowed Delivery Revenue Per Customer</t>
  </si>
  <si>
    <t>F2021 Forecasted Customers (Average)</t>
  </si>
  <si>
    <t>Work Papers, Billing Determinants</t>
  </si>
  <si>
    <t>Change in Annual Allowed Delivery Revenue Per Customer</t>
  </si>
  <si>
    <t>F2021 Forecasted Customers</t>
  </si>
  <si>
    <t>Summary of Delivery Revenue Per Unit Rates ($/therm)</t>
  </si>
  <si>
    <t>Current 2019 GRC PLR Rates:</t>
  </si>
  <si>
    <t>Change</t>
  </si>
  <si>
    <t>Delivery Revenue</t>
  </si>
  <si>
    <t>Base Delivery Revenue</t>
  </si>
  <si>
    <t>141N Delivery Revenue</t>
  </si>
  <si>
    <t>141R Delivery Revenue</t>
  </si>
  <si>
    <t>TOTAL Delivery Revenue</t>
  </si>
  <si>
    <t>Units</t>
  </si>
  <si>
    <t>Per Unit Rates</t>
  </si>
  <si>
    <t>Tariff</t>
  </si>
  <si>
    <t>Schedule 23 (23D1, 23D2) Residential</t>
  </si>
  <si>
    <t>= (e) + (f) + (g)</t>
  </si>
  <si>
    <t>= (h) - (d)</t>
  </si>
  <si>
    <t>Delivery Charge</t>
  </si>
  <si>
    <t>$/Therm</t>
  </si>
  <si>
    <t>Sheet No. 1142-A</t>
  </si>
  <si>
    <t>Schedule 53 Residential Propane</t>
  </si>
  <si>
    <t>Schedule 31 Commercial &amp; Industrial - Sales</t>
  </si>
  <si>
    <t>Procurement Charge</t>
  </si>
  <si>
    <t>Schedule 31 Commercial &amp; Industrial - Transportation</t>
  </si>
  <si>
    <t>Schedule 41 Large Volume High Load Factor - Sales</t>
  </si>
  <si>
    <t>Demand Charge</t>
  </si>
  <si>
    <t>Sheet No. 1142-B</t>
  </si>
  <si>
    <t>Delivery Charge:</t>
  </si>
  <si>
    <t>901 to 5,000 therms</t>
  </si>
  <si>
    <t>All over 5,000 therms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</si>
  <si>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</si>
  <si>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</si>
  <si>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</si>
  <si>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</si>
  <si>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</si>
  <si>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</si>
  <si>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</si>
  <si>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</si>
  <si>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</si>
  <si>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</si>
  <si>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</si>
  <si>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</si>
  <si>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</si>
  <si>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</si>
  <si>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</si>
  <si>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</si>
  <si>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</si>
  <si>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</si>
  <si>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</si>
  <si>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</si>
  <si>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</si>
  <si>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</si>
  <si>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(p)</t>
  </si>
  <si>
    <t>Sales</t>
  </si>
  <si>
    <t>Schedules 23 (23D1, 23D2) &amp; 53</t>
  </si>
  <si>
    <t>Forecasted Delivered Volumes</t>
  </si>
  <si>
    <t>Exhibit JDT-3, Gas Normalized Revenue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</si>
  <si>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</si>
  <si>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</si>
  <si>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</si>
  <si>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</si>
  <si>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</si>
  <si>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</si>
  <si>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</si>
  <si>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</si>
  <si>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Exhibit JDT-7, Page 2</t>
  </si>
  <si>
    <t>Sheet No. 1142-C</t>
  </si>
  <si>
    <t>Sheet No. 1142-D</t>
  </si>
  <si>
    <t>Sheet No. 1142-D1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</si>
</sst>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\(&quot;$&quot;#,##0.00000\)"/>
    <numFmt numFmtId="167" formatCode="[$-409]mmm\-yy;@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u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2" fillId="0" borderId="1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/>
    <xf numFmtId="164" fontId="2" fillId="0" borderId="3" xfId="0" applyNumberFormat="1" applyFont="1" applyBorder="1"/>
    <xf numFmtId="0" fontId="2" fillId="2" borderId="0" xfId="0" applyFont="1" applyFill="1"/>
    <xf numFmtId="0" fontId="2" fillId="0" borderId="1" xfId="0" applyFont="1" applyFill="1" applyBorder="1"/>
    <xf numFmtId="165" fontId="2" fillId="0" borderId="0" xfId="0" applyNumberFormat="1" applyFont="1" applyFill="1" applyBorder="1"/>
    <xf numFmtId="44" fontId="2" fillId="0" borderId="3" xfId="0" applyNumberFormat="1" applyFont="1" applyFill="1" applyBorder="1"/>
    <xf numFmtId="0" fontId="3" fillId="0" borderId="0" xfId="0" applyFont="1" applyAlignment="1"/>
    <xf numFmtId="0" fontId="2" fillId="3" borderId="0" xfId="0" applyFont="1" applyFill="1"/>
    <xf numFmtId="0" fontId="1" fillId="3" borderId="0" xfId="0" applyFont="1" applyFill="1"/>
    <xf numFmtId="0" fontId="1" fillId="0" borderId="0" xfId="0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4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1" fillId="0" borderId="0" xfId="0" applyFont="1" applyBorder="1" applyProtection="1">
      <protection locked="0"/>
    </xf>
    <xf numFmtId="0" fontId="2" fillId="0" borderId="0" xfId="0" applyFont="1" applyBorder="1"/>
    <xf numFmtId="166" fontId="2" fillId="0" borderId="0" xfId="0" applyNumberFormat="1" applyFont="1" applyFill="1" applyAlignment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7" fontId="2" fillId="0" borderId="0" xfId="0" applyNumberFormat="1" applyFont="1" applyFill="1" applyAlignment="1"/>
    <xf numFmtId="167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3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FX110"/>
  <sheetViews>
    <sheetView tabSelected="1" zoomScaleNormal="100" workbookViewId="0">
      <pane ySplit="8" topLeftCell="A9" activePane="bottomLeft" state="frozen"/>
      <selection sqref="A1:R1"/>
      <selection pane="bottomLeft" activeCell="Q24" sqref="Q24"/>
    </sheetView>
  </sheetViews>
  <sheetFormatPr defaultColWidth="9.140625" defaultRowHeight="11.25" x14ac:dyDescent="0.2"/>
  <cols>
    <col min="1" max="1" width="5.28515625" style="2" customWidth="1"/>
    <col min="2" max="2" width="38.28515625" style="2" bestFit="1" customWidth="1"/>
    <col min="3" max="3" width="41.140625" style="2" bestFit="1" customWidth="1"/>
    <col min="4" max="4" width="16.140625" style="2" bestFit="1" customWidth="1"/>
    <col min="5" max="5" width="11.5703125" style="2" bestFit="1" customWidth="1"/>
    <col min="6" max="6" width="13.7109375" style="2" bestFit="1" customWidth="1"/>
    <col min="7" max="7" width="0.7109375" style="2" customWidth="1"/>
    <col min="8" max="8" width="20.28515625" style="2" bestFit="1" customWidth="1"/>
    <col min="9" max="9" width="10.42578125" style="2" bestFit="1" customWidth="1"/>
    <col min="10" max="10" width="11.5703125" style="2" bestFit="1" customWidth="1"/>
    <col min="11" max="11" width="11.42578125" style="2" bestFit="1" customWidth="1"/>
    <col min="12" max="12" width="11.28515625" style="2" bestFit="1" customWidth="1"/>
    <col min="13" max="13" width="11.42578125" style="2" bestFit="1" customWidth="1"/>
    <col min="14" max="14" width="10.42578125" style="2" bestFit="1" customWidth="1"/>
    <col min="15" max="15" width="11.42578125" style="2" bestFit="1" customWidth="1"/>
    <col min="16" max="16384" width="9.140625" style="2"/>
  </cols>
  <sheetData>
    <row r="1" spans="1:1572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72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728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728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728" s="5" customFormat="1" ht="15" x14ac:dyDescent="0.25">
      <c r="A5" s="1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</row>
    <row r="6" spans="1:1572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728" s="8" customFormat="1" x14ac:dyDescent="0.2">
      <c r="A7" s="6" t="s">
        <v>5</v>
      </c>
      <c r="B7" s="7"/>
      <c r="C7" s="7"/>
      <c r="D7" s="6" t="s">
        <v>6</v>
      </c>
      <c r="E7" s="6" t="s">
        <v>6</v>
      </c>
      <c r="F7" s="6" t="s">
        <v>6</v>
      </c>
      <c r="G7" s="7"/>
      <c r="H7" s="7"/>
      <c r="I7" s="7"/>
      <c r="J7" s="7"/>
      <c r="K7" s="7"/>
      <c r="L7" s="7"/>
      <c r="M7" s="7"/>
      <c r="N7" s="7"/>
      <c r="O7" s="7"/>
    </row>
    <row r="8" spans="1:15728" s="8" customFormat="1" x14ac:dyDescent="0.2">
      <c r="A8" s="9" t="s">
        <v>7</v>
      </c>
      <c r="B8" s="10"/>
      <c r="C8" s="9" t="s">
        <v>8</v>
      </c>
      <c r="D8" s="9" t="s">
        <v>9</v>
      </c>
      <c r="E8" s="9" t="s">
        <v>10</v>
      </c>
      <c r="F8" s="9" t="s">
        <v>11</v>
      </c>
      <c r="G8" s="9"/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</row>
    <row r="9" spans="1:15728" s="8" customFormat="1" x14ac:dyDescent="0.2"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/>
      <c r="H9" s="11" t="s">
        <v>25</v>
      </c>
      <c r="I9" s="11" t="s">
        <v>26</v>
      </c>
      <c r="J9" s="11" t="s">
        <v>27</v>
      </c>
      <c r="K9" s="11" t="s">
        <v>28</v>
      </c>
      <c r="L9" s="11" t="s">
        <v>29</v>
      </c>
      <c r="M9" s="11" t="s">
        <v>30</v>
      </c>
      <c r="N9" s="11" t="s">
        <v>31</v>
      </c>
      <c r="O9" s="11" t="s">
        <v>32</v>
      </c>
    </row>
    <row r="10" spans="1:15728" s="8" customFormat="1" x14ac:dyDescent="0.2">
      <c r="A10" s="11">
        <v>1</v>
      </c>
      <c r="B10" s="12" t="s">
        <v>33</v>
      </c>
      <c r="C10" s="11"/>
      <c r="D10" s="11"/>
      <c r="J10" s="11"/>
      <c r="K10" s="11"/>
      <c r="L10" s="11"/>
      <c r="M10" s="11"/>
      <c r="N10" s="11"/>
      <c r="O10" s="11"/>
    </row>
    <row r="11" spans="1:15728" s="8" customFormat="1" x14ac:dyDescent="0.2">
      <c r="A11" s="11">
        <f>A10+1</f>
        <v>2</v>
      </c>
      <c r="B11" s="8" t="s">
        <v>34</v>
      </c>
      <c r="C11" s="13" t="s">
        <v>35</v>
      </c>
      <c r="D11" s="14">
        <f>SUM(H11:I11)</f>
        <v>363968434.35868043</v>
      </c>
      <c r="E11" s="14">
        <f>SUM(J11:K11)</f>
        <v>115542872.56999999</v>
      </c>
      <c r="F11" s="14">
        <f>SUM(L11:O11)</f>
        <v>23083403.753333468</v>
      </c>
      <c r="G11" s="14"/>
      <c r="H11" s="14">
        <v>363968382.27624404</v>
      </c>
      <c r="I11" s="14">
        <v>52.082436363636361</v>
      </c>
      <c r="J11" s="14">
        <v>115517786.53999999</v>
      </c>
      <c r="K11" s="14">
        <v>25086.03</v>
      </c>
      <c r="L11" s="14">
        <v>16636904.087507829</v>
      </c>
      <c r="M11" s="14">
        <v>4384305.3758256389</v>
      </c>
      <c r="N11" s="14">
        <v>1991938.09</v>
      </c>
      <c r="O11" s="14">
        <v>70256.2</v>
      </c>
    </row>
    <row r="12" spans="1:15728" s="8" customFormat="1" x14ac:dyDescent="0.2">
      <c r="A12" s="11">
        <f t="shared" ref="A12:A32" si="0">A11+1</f>
        <v>3</v>
      </c>
      <c r="C12" s="1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728" s="8" customFormat="1" x14ac:dyDescent="0.2">
      <c r="A13" s="11">
        <f>A12+1</f>
        <v>4</v>
      </c>
      <c r="B13" s="8" t="s">
        <v>36</v>
      </c>
      <c r="C13" s="11" t="str">
        <f>C11</f>
        <v>2019 GRC PLR filing (UE-190529), Exhibit JAP-13, Page 1</v>
      </c>
      <c r="D13" s="14">
        <f t="shared" ref="D13:D14" si="1">SUM(H13:I13)</f>
        <v>108303471.3886804</v>
      </c>
      <c r="E13" s="14">
        <f t="shared" ref="E13:E14" si="2">SUM(J13:K13)</f>
        <v>23448771.809999999</v>
      </c>
      <c r="F13" s="14">
        <f t="shared" ref="F13:F14" si="3">SUM(L13:O13)</f>
        <v>2739539.2499999995</v>
      </c>
      <c r="G13" s="14"/>
      <c r="H13" s="15">
        <v>108303454.27624403</v>
      </c>
      <c r="I13" s="15">
        <v>17.112436363636363</v>
      </c>
      <c r="J13" s="15">
        <v>23437486.57</v>
      </c>
      <c r="K13" s="15">
        <v>11285.24</v>
      </c>
      <c r="L13" s="15">
        <v>1811918.46</v>
      </c>
      <c r="M13" s="15">
        <v>521441.97</v>
      </c>
      <c r="N13" s="15">
        <v>396092.84</v>
      </c>
      <c r="O13" s="15">
        <v>10085.98</v>
      </c>
    </row>
    <row r="14" spans="1:15728" s="8" customFormat="1" x14ac:dyDescent="0.2">
      <c r="A14" s="11">
        <f t="shared" si="0"/>
        <v>5</v>
      </c>
      <c r="B14" s="8" t="s">
        <v>37</v>
      </c>
      <c r="C14" s="11" t="str">
        <f>C11</f>
        <v>2019 GRC PLR filing (UE-190529), Exhibit JAP-13, Page 1</v>
      </c>
      <c r="D14" s="14">
        <f t="shared" si="1"/>
        <v>0</v>
      </c>
      <c r="E14" s="14">
        <f t="shared" si="2"/>
        <v>0</v>
      </c>
      <c r="F14" s="14">
        <f t="shared" si="3"/>
        <v>2166419.6</v>
      </c>
      <c r="G14" s="14"/>
      <c r="H14" s="15">
        <v>0</v>
      </c>
      <c r="I14" s="15">
        <v>0</v>
      </c>
      <c r="J14" s="15">
        <v>0</v>
      </c>
      <c r="K14" s="15">
        <v>0</v>
      </c>
      <c r="L14" s="15">
        <v>1978410.44</v>
      </c>
      <c r="M14" s="15">
        <v>152711.62</v>
      </c>
      <c r="N14" s="15">
        <v>35297.54</v>
      </c>
      <c r="O14" s="15">
        <v>0</v>
      </c>
    </row>
    <row r="15" spans="1:15728" s="8" customFormat="1" x14ac:dyDescent="0.2">
      <c r="A15" s="11">
        <f t="shared" si="0"/>
        <v>6</v>
      </c>
      <c r="B15" s="8" t="s">
        <v>38</v>
      </c>
      <c r="C15" s="11" t="str">
        <f>"("&amp;A13&amp;") + ("&amp;A14&amp;")"</f>
        <v>(4) + (5)</v>
      </c>
      <c r="D15" s="16">
        <f>SUM(D13:D14)</f>
        <v>108303471.3886804</v>
      </c>
      <c r="E15" s="16">
        <f>SUM(E13:E14)</f>
        <v>23448771.809999999</v>
      </c>
      <c r="F15" s="16">
        <f>SUM(F13:F14)</f>
        <v>4905958.8499999996</v>
      </c>
      <c r="G15" s="14"/>
      <c r="H15" s="16">
        <f t="shared" ref="H15:O15" si="4">SUM(H13:H14)</f>
        <v>108303454.27624403</v>
      </c>
      <c r="I15" s="16">
        <f t="shared" si="4"/>
        <v>17.112436363636363</v>
      </c>
      <c r="J15" s="16">
        <f t="shared" si="4"/>
        <v>23437486.57</v>
      </c>
      <c r="K15" s="16">
        <f t="shared" si="4"/>
        <v>11285.24</v>
      </c>
      <c r="L15" s="16">
        <f t="shared" si="4"/>
        <v>3790328.9</v>
      </c>
      <c r="M15" s="16">
        <f t="shared" si="4"/>
        <v>674153.59</v>
      </c>
      <c r="N15" s="16">
        <f t="shared" si="4"/>
        <v>431390.38</v>
      </c>
      <c r="O15" s="16">
        <f t="shared" si="4"/>
        <v>10085.98</v>
      </c>
    </row>
    <row r="16" spans="1:15728" s="8" customFormat="1" x14ac:dyDescent="0.2">
      <c r="A16" s="11">
        <f t="shared" si="0"/>
        <v>7</v>
      </c>
      <c r="C16" s="11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</row>
    <row r="17" spans="1:15" s="8" customFormat="1" ht="12" thickBot="1" x14ac:dyDescent="0.25">
      <c r="A17" s="11">
        <f t="shared" si="0"/>
        <v>8</v>
      </c>
      <c r="B17" s="8" t="s">
        <v>39</v>
      </c>
      <c r="C17" s="11" t="str">
        <f>"("&amp;A11&amp;") - ("&amp;A15&amp;")"</f>
        <v>(2) - (6)</v>
      </c>
      <c r="D17" s="17">
        <f>D11-D15</f>
        <v>255664962.97000003</v>
      </c>
      <c r="E17" s="17">
        <f>E11-E15</f>
        <v>92094100.75999999</v>
      </c>
      <c r="F17" s="17">
        <f>F11-F15</f>
        <v>18177444.90333347</v>
      </c>
      <c r="G17" s="15"/>
      <c r="H17" s="17">
        <f t="shared" ref="H17:O17" si="5">H11-H15</f>
        <v>255664928</v>
      </c>
      <c r="I17" s="17">
        <f t="shared" si="5"/>
        <v>34.97</v>
      </c>
      <c r="J17" s="17">
        <f t="shared" si="5"/>
        <v>92080299.969999999</v>
      </c>
      <c r="K17" s="17">
        <f t="shared" si="5"/>
        <v>13800.789999999999</v>
      </c>
      <c r="L17" s="17">
        <f t="shared" si="5"/>
        <v>12846575.187507829</v>
      </c>
      <c r="M17" s="17">
        <f t="shared" si="5"/>
        <v>3710151.785825639</v>
      </c>
      <c r="N17" s="17">
        <f t="shared" si="5"/>
        <v>1560547.71</v>
      </c>
      <c r="O17" s="17">
        <f t="shared" si="5"/>
        <v>60170.22</v>
      </c>
    </row>
    <row r="18" spans="1:15" s="8" customFormat="1" ht="12" thickTop="1" x14ac:dyDescent="0.2">
      <c r="A18" s="11">
        <f t="shared" si="0"/>
        <v>9</v>
      </c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s="8" customFormat="1" x14ac:dyDescent="0.2">
      <c r="A19" s="11">
        <f t="shared" si="0"/>
        <v>10</v>
      </c>
      <c r="B19" s="12" t="s">
        <v>40</v>
      </c>
      <c r="C19" s="11"/>
      <c r="D19" s="11"/>
      <c r="J19" s="11"/>
      <c r="K19" s="11"/>
      <c r="L19" s="11"/>
      <c r="M19" s="11"/>
      <c r="N19" s="11"/>
      <c r="O19" s="11"/>
    </row>
    <row r="20" spans="1:15" s="8" customFormat="1" x14ac:dyDescent="0.2">
      <c r="A20" s="11">
        <f t="shared" si="0"/>
        <v>11</v>
      </c>
      <c r="B20" s="8" t="s">
        <v>41</v>
      </c>
      <c r="C20" s="11" t="s">
        <v>42</v>
      </c>
      <c r="D20" s="14">
        <f t="shared" ref="D20" si="6">SUM(H20:I20)</f>
        <v>422479026.61500001</v>
      </c>
      <c r="E20" s="14">
        <f t="shared" ref="E20:E22" si="7">SUM(J20:K20)</f>
        <v>137645638.55791998</v>
      </c>
      <c r="F20" s="14">
        <f t="shared" ref="F20:F22" si="8">SUM(L20:O20)</f>
        <v>26200005.351254586</v>
      </c>
      <c r="G20" s="14"/>
      <c r="H20" s="15">
        <v>422479026.61500001</v>
      </c>
      <c r="I20" s="15">
        <v>0</v>
      </c>
      <c r="J20" s="15">
        <v>137621860.47775999</v>
      </c>
      <c r="K20" s="15">
        <v>23778.080160000001</v>
      </c>
      <c r="L20" s="15">
        <v>19567103.469349999</v>
      </c>
      <c r="M20" s="15">
        <v>5385231.8399999999</v>
      </c>
      <c r="N20" s="15">
        <v>1104054.2549881795</v>
      </c>
      <c r="O20" s="15">
        <v>143615.78691640819</v>
      </c>
    </row>
    <row r="21" spans="1:15" s="8" customFormat="1" x14ac:dyDescent="0.2">
      <c r="A21" s="11">
        <f t="shared" si="0"/>
        <v>12</v>
      </c>
      <c r="B21" s="8" t="s">
        <v>43</v>
      </c>
      <c r="C21" s="11" t="str">
        <f>C20</f>
        <v>Exhibit JDT-5, GAS RATE SPREAD DESIGN</v>
      </c>
      <c r="D21" s="15">
        <f t="shared" ref="D21:D22" si="9">SUM(H21:I21)</f>
        <v>12568294.87975</v>
      </c>
      <c r="E21" s="15">
        <f t="shared" si="7"/>
        <v>5260992.3313499996</v>
      </c>
      <c r="F21" s="15">
        <f t="shared" si="8"/>
        <v>888659.15215999982</v>
      </c>
      <c r="G21" s="15"/>
      <c r="H21" s="15">
        <v>12568294.87975</v>
      </c>
      <c r="I21" s="15">
        <v>0</v>
      </c>
      <c r="J21" s="15">
        <v>5260248.32424</v>
      </c>
      <c r="K21" s="15">
        <v>744.00711000000001</v>
      </c>
      <c r="L21" s="15">
        <v>613013.62659999996</v>
      </c>
      <c r="M21" s="15">
        <v>233255.01235999999</v>
      </c>
      <c r="N21" s="15">
        <v>38702.131999999998</v>
      </c>
      <c r="O21" s="15">
        <v>3688.3811999999998</v>
      </c>
    </row>
    <row r="22" spans="1:15" s="8" customFormat="1" x14ac:dyDescent="0.2">
      <c r="A22" s="11">
        <f t="shared" si="0"/>
        <v>13</v>
      </c>
      <c r="B22" s="8" t="s">
        <v>44</v>
      </c>
      <c r="C22" s="11" t="str">
        <f>C21</f>
        <v>Exhibit JDT-5, GAS RATE SPREAD DESIGN</v>
      </c>
      <c r="D22" s="18">
        <f t="shared" si="9"/>
        <v>52131378.053120002</v>
      </c>
      <c r="E22" s="18">
        <f t="shared" si="7"/>
        <v>21819862.322950002</v>
      </c>
      <c r="F22" s="18">
        <f t="shared" si="8"/>
        <v>3687378.91487</v>
      </c>
      <c r="G22" s="18"/>
      <c r="H22" s="18">
        <v>52131378.053120002</v>
      </c>
      <c r="I22" s="18">
        <v>0</v>
      </c>
      <c r="J22" s="18">
        <v>21816776.568080001</v>
      </c>
      <c r="K22" s="18">
        <v>3085.7548699999998</v>
      </c>
      <c r="L22" s="18">
        <v>2543738.85885</v>
      </c>
      <c r="M22" s="18">
        <v>967906.44321000006</v>
      </c>
      <c r="N22" s="18">
        <v>160443.10310000001</v>
      </c>
      <c r="O22" s="18">
        <v>15290.50971</v>
      </c>
    </row>
    <row r="23" spans="1:15" s="8" customFormat="1" x14ac:dyDescent="0.2">
      <c r="A23" s="11">
        <f t="shared" si="0"/>
        <v>14</v>
      </c>
      <c r="B23" s="8" t="s">
        <v>34</v>
      </c>
      <c r="C23" s="11" t="str">
        <f>"("&amp;A20&amp;") +("&amp;A21&amp;") + ("&amp;A22&amp;")"</f>
        <v>(11) +(12) + (13)</v>
      </c>
      <c r="D23" s="14">
        <f>SUM(H23:I23)</f>
        <v>487178699.54787004</v>
      </c>
      <c r="E23" s="14">
        <f>SUM(J23:K23)</f>
        <v>164726493.21221998</v>
      </c>
      <c r="F23" s="14">
        <f>SUM(L23:O23)</f>
        <v>30776043.418284588</v>
      </c>
      <c r="G23" s="14"/>
      <c r="H23" s="15">
        <f t="shared" ref="H23:O23" si="10">SUM(H20:H22)</f>
        <v>487178699.54787004</v>
      </c>
      <c r="I23" s="15">
        <f t="shared" si="10"/>
        <v>0</v>
      </c>
      <c r="J23" s="15">
        <f t="shared" si="10"/>
        <v>164698885.37007999</v>
      </c>
      <c r="K23" s="15">
        <f t="shared" si="10"/>
        <v>27607.842140000001</v>
      </c>
      <c r="L23" s="15">
        <f t="shared" si="10"/>
        <v>22723855.954799999</v>
      </c>
      <c r="M23" s="15">
        <f t="shared" si="10"/>
        <v>6586393.2955700001</v>
      </c>
      <c r="N23" s="15">
        <f t="shared" si="10"/>
        <v>1303199.4900881795</v>
      </c>
      <c r="O23" s="15">
        <f t="shared" si="10"/>
        <v>162594.67782640821</v>
      </c>
    </row>
    <row r="24" spans="1:15" s="8" customFormat="1" x14ac:dyDescent="0.2">
      <c r="A24" s="11">
        <f t="shared" si="0"/>
        <v>15</v>
      </c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8" customFormat="1" x14ac:dyDescent="0.2">
      <c r="A25" s="11">
        <f t="shared" si="0"/>
        <v>16</v>
      </c>
      <c r="B25" s="8" t="s">
        <v>36</v>
      </c>
      <c r="C25" s="11" t="str">
        <f>C20</f>
        <v>Exhibit JDT-5, GAS RATE SPREAD DESIGN</v>
      </c>
      <c r="D25" s="14">
        <f t="shared" ref="D25:D26" si="11">SUM(H25:I25)</f>
        <v>126567273.75</v>
      </c>
      <c r="E25" s="14">
        <f t="shared" ref="E25:E26" si="12">SUM(J25:K25)</f>
        <v>27617720.210000001</v>
      </c>
      <c r="F25" s="14">
        <f t="shared" ref="F25:F26" si="13">SUM(L25:O25)</f>
        <v>2692276.29</v>
      </c>
      <c r="G25" s="14"/>
      <c r="H25" s="15">
        <v>126567273.75</v>
      </c>
      <c r="I25" s="15">
        <v>0</v>
      </c>
      <c r="J25" s="15">
        <v>27608983.25</v>
      </c>
      <c r="K25" s="15">
        <v>8736.9600000000009</v>
      </c>
      <c r="L25" s="15">
        <v>2034320.9700000002</v>
      </c>
      <c r="M25" s="15">
        <v>436319.28</v>
      </c>
      <c r="N25" s="15">
        <v>177691.08</v>
      </c>
      <c r="O25" s="15">
        <v>43944.959999999999</v>
      </c>
    </row>
    <row r="26" spans="1:15" s="8" customFormat="1" x14ac:dyDescent="0.2">
      <c r="A26" s="11">
        <f t="shared" si="0"/>
        <v>17</v>
      </c>
      <c r="B26" s="8" t="s">
        <v>37</v>
      </c>
      <c r="C26" s="11" t="str">
        <f t="shared" ref="C26" si="14">C25</f>
        <v>Exhibit JDT-5, GAS RATE SPREAD DESIGN</v>
      </c>
      <c r="D26" s="14">
        <f t="shared" si="11"/>
        <v>0</v>
      </c>
      <c r="E26" s="14">
        <f t="shared" si="12"/>
        <v>0</v>
      </c>
      <c r="F26" s="14">
        <f t="shared" si="13"/>
        <v>2396428.3200000003</v>
      </c>
      <c r="G26" s="14"/>
      <c r="H26" s="15">
        <v>0</v>
      </c>
      <c r="I26" s="15">
        <v>0</v>
      </c>
      <c r="J26" s="15">
        <v>0</v>
      </c>
      <c r="K26" s="15">
        <v>0</v>
      </c>
      <c r="L26" s="15">
        <v>2240671.9500000002</v>
      </c>
      <c r="M26" s="15">
        <v>148143.6</v>
      </c>
      <c r="N26" s="15">
        <v>7612.77</v>
      </c>
      <c r="O26" s="15">
        <v>0</v>
      </c>
    </row>
    <row r="27" spans="1:15" s="8" customFormat="1" x14ac:dyDescent="0.2">
      <c r="A27" s="11">
        <f t="shared" si="0"/>
        <v>18</v>
      </c>
      <c r="B27" s="8" t="s">
        <v>38</v>
      </c>
      <c r="C27" s="11" t="str">
        <f>"("&amp;A25&amp;") + ("&amp;A26&amp;")"</f>
        <v>(16) + (17)</v>
      </c>
      <c r="D27" s="16">
        <f>SUM(D25:D26)</f>
        <v>126567273.75</v>
      </c>
      <c r="E27" s="16">
        <f>SUM(E25:E26)</f>
        <v>27617720.210000001</v>
      </c>
      <c r="F27" s="16">
        <f>SUM(F25:F26)</f>
        <v>5088704.6100000003</v>
      </c>
      <c r="G27" s="14"/>
      <c r="H27" s="16">
        <f t="shared" ref="H27:O27" si="15">SUM(H25:H26)</f>
        <v>126567273.75</v>
      </c>
      <c r="I27" s="16">
        <f t="shared" si="15"/>
        <v>0</v>
      </c>
      <c r="J27" s="16">
        <f t="shared" si="15"/>
        <v>27608983.25</v>
      </c>
      <c r="K27" s="16">
        <f t="shared" si="15"/>
        <v>8736.9600000000009</v>
      </c>
      <c r="L27" s="16">
        <f t="shared" si="15"/>
        <v>4274992.92</v>
      </c>
      <c r="M27" s="16">
        <f t="shared" si="15"/>
        <v>584462.88</v>
      </c>
      <c r="N27" s="16">
        <f t="shared" si="15"/>
        <v>185303.84999999998</v>
      </c>
      <c r="O27" s="16">
        <f t="shared" si="15"/>
        <v>43944.959999999999</v>
      </c>
    </row>
    <row r="28" spans="1:15" s="8" customFormat="1" x14ac:dyDescent="0.2">
      <c r="A28" s="11">
        <f t="shared" si="0"/>
        <v>19</v>
      </c>
      <c r="C28" s="11"/>
      <c r="D28" s="14"/>
      <c r="E28" s="14"/>
      <c r="F28" s="14"/>
      <c r="G28" s="15"/>
      <c r="H28" s="15"/>
      <c r="I28" s="15"/>
      <c r="J28" s="15"/>
      <c r="K28" s="15"/>
      <c r="L28" s="15"/>
      <c r="M28" s="15"/>
      <c r="N28" s="15"/>
      <c r="O28" s="15"/>
    </row>
    <row r="29" spans="1:15" s="8" customFormat="1" ht="12" thickBot="1" x14ac:dyDescent="0.25">
      <c r="A29" s="11">
        <f t="shared" si="0"/>
        <v>20</v>
      </c>
      <c r="B29" s="8" t="s">
        <v>39</v>
      </c>
      <c r="C29" s="11" t="str">
        <f>"("&amp;A23&amp;") - ("&amp;A27&amp;")"</f>
        <v>(14) - (18)</v>
      </c>
      <c r="D29" s="17">
        <f>D23-D27</f>
        <v>360611425.79787004</v>
      </c>
      <c r="E29" s="17">
        <f>E23-E27</f>
        <v>137108773.00221997</v>
      </c>
      <c r="F29" s="17">
        <f>F23-F27</f>
        <v>25687338.808284588</v>
      </c>
      <c r="G29" s="15"/>
      <c r="H29" s="17">
        <f t="shared" ref="H29:O29" si="16">H23-H27</f>
        <v>360611425.79787004</v>
      </c>
      <c r="I29" s="17">
        <f t="shared" si="16"/>
        <v>0</v>
      </c>
      <c r="J29" s="17">
        <f t="shared" si="16"/>
        <v>137089902.12007999</v>
      </c>
      <c r="K29" s="17">
        <f t="shared" si="16"/>
        <v>18870.882140000002</v>
      </c>
      <c r="L29" s="17">
        <f t="shared" si="16"/>
        <v>18448863.0348</v>
      </c>
      <c r="M29" s="17">
        <f t="shared" si="16"/>
        <v>6001930.4155700002</v>
      </c>
      <c r="N29" s="17">
        <f t="shared" si="16"/>
        <v>1117895.6400881796</v>
      </c>
      <c r="O29" s="17">
        <f t="shared" si="16"/>
        <v>118649.71782640822</v>
      </c>
    </row>
    <row r="30" spans="1:15" s="8" customFormat="1" ht="12" thickTop="1" x14ac:dyDescent="0.2">
      <c r="A30" s="11">
        <f t="shared" si="0"/>
        <v>21</v>
      </c>
      <c r="G30" s="19"/>
    </row>
    <row r="31" spans="1:15" s="8" customFormat="1" x14ac:dyDescent="0.2">
      <c r="A31" s="11">
        <f t="shared" si="0"/>
        <v>22</v>
      </c>
      <c r="B31" s="8" t="s">
        <v>45</v>
      </c>
      <c r="D31" s="14">
        <f>D29-D17</f>
        <v>104946462.82787001</v>
      </c>
      <c r="E31" s="14">
        <f>E29-E17</f>
        <v>45014672.242219985</v>
      </c>
      <c r="F31" s="14">
        <f>F29-F17</f>
        <v>7509893.9049511179</v>
      </c>
      <c r="H31" s="14">
        <f t="shared" ref="H31:O31" si="17">H29-H17</f>
        <v>104946497.79787004</v>
      </c>
      <c r="I31" s="14">
        <f t="shared" si="17"/>
        <v>-34.97</v>
      </c>
      <c r="J31" s="14">
        <f t="shared" si="17"/>
        <v>45009602.150079995</v>
      </c>
      <c r="K31" s="14">
        <f t="shared" si="17"/>
        <v>5070.0921400000025</v>
      </c>
      <c r="L31" s="14">
        <f t="shared" si="17"/>
        <v>5602287.8472921718</v>
      </c>
      <c r="M31" s="14">
        <f t="shared" si="17"/>
        <v>2291778.6297443612</v>
      </c>
      <c r="N31" s="14">
        <f t="shared" si="17"/>
        <v>-442652.06991182035</v>
      </c>
      <c r="O31" s="14">
        <f t="shared" si="17"/>
        <v>58479.497826408216</v>
      </c>
    </row>
    <row r="32" spans="1:15" ht="12" thickBot="1" x14ac:dyDescent="0.25">
      <c r="A32" s="11">
        <f t="shared" si="0"/>
        <v>23</v>
      </c>
      <c r="B32" s="2" t="s">
        <v>46</v>
      </c>
      <c r="D32" s="20"/>
      <c r="E32" s="20"/>
      <c r="F32" s="21">
        <f>SUM(D31:F31)</f>
        <v>157471028.97504112</v>
      </c>
      <c r="H32" s="20"/>
      <c r="I32" s="20"/>
      <c r="J32" s="20"/>
      <c r="K32" s="20"/>
      <c r="L32" s="20"/>
      <c r="M32" s="20"/>
      <c r="N32" s="20"/>
      <c r="O32" s="20"/>
    </row>
    <row r="33" spans="1:15" ht="12" thickTop="1" x14ac:dyDescent="0.2"/>
    <row r="34" spans="1:15" ht="4.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6" spans="1:15" x14ac:dyDescent="0.2">
      <c r="A36" s="1" t="str">
        <f>A1</f>
        <v>Puget Sound Energy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 t="str">
        <f>A2</f>
        <v>2022 General Rate Case (GRC)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 t="str">
        <f>A3</f>
        <v>Gas Decoupling Mechanism (Schedule 142)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 t="str">
        <f>A4</f>
        <v>Development of Decoupled Delivery Revenue by Decoupling Group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x14ac:dyDescent="0.25">
      <c r="A40" s="1" t="s">
        <v>47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">
      <c r="A42" s="6" t="s">
        <v>5</v>
      </c>
      <c r="B42" s="7"/>
      <c r="C42" s="7"/>
      <c r="D42" s="6" t="s">
        <v>6</v>
      </c>
      <c r="E42" s="6" t="s">
        <v>6</v>
      </c>
      <c r="F42" s="6" t="s">
        <v>6</v>
      </c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">
      <c r="A43" s="9" t="s">
        <v>7</v>
      </c>
      <c r="B43" s="10"/>
      <c r="C43" s="9" t="s">
        <v>8</v>
      </c>
      <c r="D43" s="9" t="s">
        <v>9</v>
      </c>
      <c r="E43" s="9" t="s">
        <v>10</v>
      </c>
      <c r="F43" s="9" t="s">
        <v>11</v>
      </c>
      <c r="G43" s="9"/>
      <c r="H43" s="9" t="s">
        <v>12</v>
      </c>
      <c r="I43" s="9" t="s">
        <v>13</v>
      </c>
      <c r="J43" s="9" t="s">
        <v>14</v>
      </c>
      <c r="K43" s="9" t="s">
        <v>15</v>
      </c>
      <c r="L43" s="9" t="s">
        <v>16</v>
      </c>
      <c r="M43" s="9" t="s">
        <v>17</v>
      </c>
      <c r="N43" s="9" t="s">
        <v>18</v>
      </c>
      <c r="O43" s="9" t="s">
        <v>19</v>
      </c>
    </row>
    <row r="44" spans="1:15" x14ac:dyDescent="0.2">
      <c r="A44" s="8"/>
      <c r="B44" s="11" t="s">
        <v>20</v>
      </c>
      <c r="C44" s="11" t="s">
        <v>21</v>
      </c>
      <c r="D44" s="11" t="s">
        <v>22</v>
      </c>
      <c r="E44" s="11" t="s">
        <v>23</v>
      </c>
      <c r="F44" s="11" t="s">
        <v>24</v>
      </c>
      <c r="G44" s="11"/>
      <c r="H44" s="11" t="s">
        <v>25</v>
      </c>
      <c r="I44" s="11" t="s">
        <v>26</v>
      </c>
      <c r="J44" s="11" t="s">
        <v>27</v>
      </c>
      <c r="K44" s="11" t="s">
        <v>28</v>
      </c>
      <c r="L44" s="11" t="s">
        <v>29</v>
      </c>
      <c r="M44" s="11" t="s">
        <v>30</v>
      </c>
      <c r="N44" s="11" t="s">
        <v>31</v>
      </c>
      <c r="O44" s="11" t="s">
        <v>32</v>
      </c>
    </row>
    <row r="45" spans="1:15" x14ac:dyDescent="0.2">
      <c r="A45" s="11">
        <v>1</v>
      </c>
      <c r="B45" s="12" t="s">
        <v>33</v>
      </c>
      <c r="C45" s="11"/>
      <c r="D45" s="11"/>
      <c r="E45" s="8"/>
      <c r="F45" s="8"/>
      <c r="G45" s="8"/>
      <c r="H45" s="8"/>
      <c r="I45" s="8"/>
      <c r="J45" s="11"/>
      <c r="K45" s="11"/>
      <c r="L45" s="11"/>
      <c r="M45" s="11"/>
      <c r="N45" s="11"/>
      <c r="O45" s="11"/>
    </row>
    <row r="46" spans="1:15" x14ac:dyDescent="0.2">
      <c r="A46" s="11">
        <f>A45+1</f>
        <v>2</v>
      </c>
      <c r="B46" s="8" t="s">
        <v>41</v>
      </c>
      <c r="C46" s="11" t="str">
        <f>C20</f>
        <v>Exhibit JDT-5, GAS RATE SPREAD DESIGN</v>
      </c>
      <c r="D46" s="14">
        <f t="shared" ref="D46:D48" si="18">SUM(H46:I46)</f>
        <v>422479026.61500001</v>
      </c>
      <c r="E46" s="14">
        <f t="shared" ref="E46:E48" si="19">SUM(J46:K46)</f>
        <v>137645638.55791998</v>
      </c>
      <c r="F46" s="14">
        <f t="shared" ref="F46:F48" si="20">SUM(L46:O46)</f>
        <v>26200005.351254586</v>
      </c>
      <c r="G46" s="14"/>
      <c r="H46" s="15">
        <f>H20</f>
        <v>422479026.61500001</v>
      </c>
      <c r="I46" s="15">
        <f t="shared" ref="I46:O46" si="21">I20</f>
        <v>0</v>
      </c>
      <c r="J46" s="15">
        <f t="shared" si="21"/>
        <v>137621860.47775999</v>
      </c>
      <c r="K46" s="15">
        <f t="shared" si="21"/>
        <v>23778.080160000001</v>
      </c>
      <c r="L46" s="15">
        <f t="shared" si="21"/>
        <v>19567103.469349999</v>
      </c>
      <c r="M46" s="15">
        <f t="shared" si="21"/>
        <v>5385231.8399999999</v>
      </c>
      <c r="N46" s="15">
        <f t="shared" si="21"/>
        <v>1104054.2549881795</v>
      </c>
      <c r="O46" s="15">
        <f t="shared" si="21"/>
        <v>143615.78691640819</v>
      </c>
    </row>
    <row r="47" spans="1:15" x14ac:dyDescent="0.2">
      <c r="A47" s="11">
        <f t="shared" ref="A47:A70" si="22">A46+1</f>
        <v>3</v>
      </c>
      <c r="B47" s="8" t="s">
        <v>43</v>
      </c>
      <c r="C47" s="11" t="str">
        <f t="shared" ref="C47:C48" si="23">C21</f>
        <v>Exhibit JDT-5, GAS RATE SPREAD DESIGN</v>
      </c>
      <c r="D47" s="15">
        <f t="shared" si="18"/>
        <v>12568294.87975</v>
      </c>
      <c r="E47" s="15">
        <f t="shared" si="19"/>
        <v>5260992.3313499996</v>
      </c>
      <c r="F47" s="15">
        <f t="shared" si="20"/>
        <v>888659.15215999982</v>
      </c>
      <c r="G47" s="15"/>
      <c r="H47" s="15">
        <f t="shared" ref="H47:O48" si="24">H21</f>
        <v>12568294.87975</v>
      </c>
      <c r="I47" s="15">
        <f t="shared" si="24"/>
        <v>0</v>
      </c>
      <c r="J47" s="15">
        <f t="shared" si="24"/>
        <v>5260248.32424</v>
      </c>
      <c r="K47" s="15">
        <f t="shared" si="24"/>
        <v>744.00711000000001</v>
      </c>
      <c r="L47" s="15">
        <f t="shared" si="24"/>
        <v>613013.62659999996</v>
      </c>
      <c r="M47" s="15">
        <f t="shared" si="24"/>
        <v>233255.01235999999</v>
      </c>
      <c r="N47" s="15">
        <f t="shared" si="24"/>
        <v>38702.131999999998</v>
      </c>
      <c r="O47" s="15">
        <f t="shared" si="24"/>
        <v>3688.3811999999998</v>
      </c>
    </row>
    <row r="48" spans="1:15" x14ac:dyDescent="0.2">
      <c r="A48" s="11">
        <f t="shared" si="22"/>
        <v>4</v>
      </c>
      <c r="B48" s="8" t="s">
        <v>44</v>
      </c>
      <c r="C48" s="11" t="str">
        <f t="shared" si="23"/>
        <v>Exhibit JDT-5, GAS RATE SPREAD DESIGN</v>
      </c>
      <c r="D48" s="18">
        <f t="shared" si="18"/>
        <v>52131378.053120002</v>
      </c>
      <c r="E48" s="18">
        <f t="shared" si="19"/>
        <v>21819862.322950002</v>
      </c>
      <c r="F48" s="18">
        <f t="shared" si="20"/>
        <v>3687378.91487</v>
      </c>
      <c r="G48" s="18"/>
      <c r="H48" s="18">
        <f t="shared" si="24"/>
        <v>52131378.053120002</v>
      </c>
      <c r="I48" s="18">
        <f t="shared" si="24"/>
        <v>0</v>
      </c>
      <c r="J48" s="18">
        <f t="shared" si="24"/>
        <v>21816776.568080001</v>
      </c>
      <c r="K48" s="18">
        <f t="shared" si="24"/>
        <v>3085.7548699999998</v>
      </c>
      <c r="L48" s="18">
        <f t="shared" si="24"/>
        <v>2543738.85885</v>
      </c>
      <c r="M48" s="18">
        <f t="shared" si="24"/>
        <v>967906.44321000006</v>
      </c>
      <c r="N48" s="18">
        <f t="shared" si="24"/>
        <v>160443.10310000001</v>
      </c>
      <c r="O48" s="18">
        <f t="shared" si="24"/>
        <v>15290.50971</v>
      </c>
    </row>
    <row r="49" spans="1:15" x14ac:dyDescent="0.2">
      <c r="A49" s="11">
        <f t="shared" si="22"/>
        <v>5</v>
      </c>
      <c r="B49" s="8" t="s">
        <v>34</v>
      </c>
      <c r="C49" s="11" t="str">
        <f>"("&amp;A46&amp;") +("&amp;A47&amp;") + ("&amp;A48&amp;")"</f>
        <v>(2) +(3) + (4)</v>
      </c>
      <c r="D49" s="14">
        <f>SUM(H49:I49)</f>
        <v>487178699.54787004</v>
      </c>
      <c r="E49" s="14">
        <f>SUM(J49:K49)</f>
        <v>164726493.21221998</v>
      </c>
      <c r="F49" s="14">
        <f>SUM(L49:O49)</f>
        <v>30776043.418284588</v>
      </c>
      <c r="G49" s="14"/>
      <c r="H49" s="15">
        <f>SUM(H46:H48)</f>
        <v>487178699.54787004</v>
      </c>
      <c r="I49" s="15">
        <f t="shared" ref="I49:O49" si="25">SUM(I46:I48)</f>
        <v>0</v>
      </c>
      <c r="J49" s="15">
        <f t="shared" si="25"/>
        <v>164698885.37007999</v>
      </c>
      <c r="K49" s="15">
        <f t="shared" si="25"/>
        <v>27607.842140000001</v>
      </c>
      <c r="L49" s="15">
        <f t="shared" si="25"/>
        <v>22723855.954799999</v>
      </c>
      <c r="M49" s="15">
        <f t="shared" si="25"/>
        <v>6586393.2955700001</v>
      </c>
      <c r="N49" s="15">
        <f t="shared" si="25"/>
        <v>1303199.4900881795</v>
      </c>
      <c r="O49" s="15">
        <f t="shared" si="25"/>
        <v>162594.67782640821</v>
      </c>
    </row>
    <row r="50" spans="1:15" x14ac:dyDescent="0.2">
      <c r="A50" s="11">
        <f t="shared" si="22"/>
        <v>6</v>
      </c>
      <c r="B50" s="8"/>
      <c r="C50" s="1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x14ac:dyDescent="0.2">
      <c r="A51" s="11">
        <f t="shared" si="22"/>
        <v>7</v>
      </c>
      <c r="B51" s="8" t="s">
        <v>36</v>
      </c>
      <c r="C51" s="11" t="str">
        <f t="shared" ref="C51:C52" si="26">C25</f>
        <v>Exhibit JDT-5, GAS RATE SPREAD DESIGN</v>
      </c>
      <c r="D51" s="14">
        <f t="shared" ref="D51:D52" si="27">SUM(H51:I51)</f>
        <v>126567273.75</v>
      </c>
      <c r="E51" s="14">
        <f t="shared" ref="E51:E52" si="28">SUM(J51:K51)</f>
        <v>27617720.210000001</v>
      </c>
      <c r="F51" s="14">
        <f t="shared" ref="F51:F52" si="29">SUM(L51:O51)</f>
        <v>2692276.29</v>
      </c>
      <c r="G51" s="14"/>
      <c r="H51" s="15">
        <f t="shared" ref="H51:O52" si="30">H25</f>
        <v>126567273.75</v>
      </c>
      <c r="I51" s="15">
        <f t="shared" si="30"/>
        <v>0</v>
      </c>
      <c r="J51" s="15">
        <f t="shared" si="30"/>
        <v>27608983.25</v>
      </c>
      <c r="K51" s="15">
        <f t="shared" si="30"/>
        <v>8736.9600000000009</v>
      </c>
      <c r="L51" s="15">
        <f t="shared" si="30"/>
        <v>2034320.9700000002</v>
      </c>
      <c r="M51" s="15">
        <f t="shared" si="30"/>
        <v>436319.28</v>
      </c>
      <c r="N51" s="15">
        <f t="shared" si="30"/>
        <v>177691.08</v>
      </c>
      <c r="O51" s="15">
        <f t="shared" si="30"/>
        <v>43944.959999999999</v>
      </c>
    </row>
    <row r="52" spans="1:15" x14ac:dyDescent="0.2">
      <c r="A52" s="11">
        <f t="shared" si="22"/>
        <v>8</v>
      </c>
      <c r="B52" s="8" t="s">
        <v>37</v>
      </c>
      <c r="C52" s="11" t="str">
        <f t="shared" si="26"/>
        <v>Exhibit JDT-5, GAS RATE SPREAD DESIGN</v>
      </c>
      <c r="D52" s="14">
        <f t="shared" si="27"/>
        <v>0</v>
      </c>
      <c r="E52" s="14">
        <f t="shared" si="28"/>
        <v>0</v>
      </c>
      <c r="F52" s="14">
        <f t="shared" si="29"/>
        <v>2396428.3200000003</v>
      </c>
      <c r="G52" s="14"/>
      <c r="H52" s="15">
        <f t="shared" si="30"/>
        <v>0</v>
      </c>
      <c r="I52" s="15">
        <f t="shared" si="30"/>
        <v>0</v>
      </c>
      <c r="J52" s="15">
        <f t="shared" si="30"/>
        <v>0</v>
      </c>
      <c r="K52" s="15">
        <f t="shared" si="30"/>
        <v>0</v>
      </c>
      <c r="L52" s="15">
        <f t="shared" si="30"/>
        <v>2240671.9500000002</v>
      </c>
      <c r="M52" s="15">
        <f t="shared" si="30"/>
        <v>148143.6</v>
      </c>
      <c r="N52" s="15">
        <f t="shared" si="30"/>
        <v>7612.77</v>
      </c>
      <c r="O52" s="15">
        <f t="shared" si="30"/>
        <v>0</v>
      </c>
    </row>
    <row r="53" spans="1:15" x14ac:dyDescent="0.2">
      <c r="A53" s="11">
        <f t="shared" si="22"/>
        <v>9</v>
      </c>
      <c r="B53" s="8" t="s">
        <v>38</v>
      </c>
      <c r="C53" s="11" t="str">
        <f>"("&amp;A51&amp;") + ("&amp;A52&amp;")"</f>
        <v>(7) + (8)</v>
      </c>
      <c r="D53" s="16">
        <f>SUM(D51:D52)</f>
        <v>126567273.75</v>
      </c>
      <c r="E53" s="16">
        <f>SUM(E51:E52)</f>
        <v>27617720.210000001</v>
      </c>
      <c r="F53" s="16">
        <f>SUM(F51:F52)</f>
        <v>5088704.6100000003</v>
      </c>
      <c r="G53" s="14"/>
      <c r="H53" s="16">
        <f t="shared" ref="H53:O53" si="31">SUM(H51:H52)</f>
        <v>126567273.75</v>
      </c>
      <c r="I53" s="16">
        <f t="shared" si="31"/>
        <v>0</v>
      </c>
      <c r="J53" s="16">
        <f t="shared" si="31"/>
        <v>27608983.25</v>
      </c>
      <c r="K53" s="16">
        <f t="shared" si="31"/>
        <v>8736.9600000000009</v>
      </c>
      <c r="L53" s="16">
        <f t="shared" si="31"/>
        <v>4274992.92</v>
      </c>
      <c r="M53" s="16">
        <f t="shared" si="31"/>
        <v>584462.88</v>
      </c>
      <c r="N53" s="16">
        <f t="shared" si="31"/>
        <v>185303.84999999998</v>
      </c>
      <c r="O53" s="16">
        <f t="shared" si="31"/>
        <v>43944.959999999999</v>
      </c>
    </row>
    <row r="54" spans="1:15" x14ac:dyDescent="0.2">
      <c r="A54" s="11">
        <f t="shared" si="22"/>
        <v>10</v>
      </c>
      <c r="B54" s="8"/>
      <c r="C54" s="11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2" thickBot="1" x14ac:dyDescent="0.25">
      <c r="A55" s="11">
        <f t="shared" si="22"/>
        <v>11</v>
      </c>
      <c r="B55" s="8" t="s">
        <v>39</v>
      </c>
      <c r="C55" s="11" t="str">
        <f>"("&amp;A49&amp;") - ("&amp;A53&amp;")"</f>
        <v>(5) - (9)</v>
      </c>
      <c r="D55" s="17">
        <f>D49-D53</f>
        <v>360611425.79787004</v>
      </c>
      <c r="E55" s="17">
        <f>E49-E53</f>
        <v>137108773.00221997</v>
      </c>
      <c r="F55" s="17">
        <f>F49-F53</f>
        <v>25687338.808284588</v>
      </c>
      <c r="G55" s="15"/>
      <c r="H55" s="17">
        <f t="shared" ref="H55:O55" si="32">H49-H53</f>
        <v>360611425.79787004</v>
      </c>
      <c r="I55" s="17">
        <f t="shared" si="32"/>
        <v>0</v>
      </c>
      <c r="J55" s="17">
        <f t="shared" si="32"/>
        <v>137089902.12007999</v>
      </c>
      <c r="K55" s="17">
        <f t="shared" si="32"/>
        <v>18870.882140000002</v>
      </c>
      <c r="L55" s="17">
        <f t="shared" si="32"/>
        <v>18448863.0348</v>
      </c>
      <c r="M55" s="17">
        <f t="shared" si="32"/>
        <v>6001930.4155700002</v>
      </c>
      <c r="N55" s="17">
        <f t="shared" si="32"/>
        <v>1117895.6400881796</v>
      </c>
      <c r="O55" s="17">
        <f t="shared" si="32"/>
        <v>118649.71782640822</v>
      </c>
    </row>
    <row r="56" spans="1:15" s="8" customFormat="1" ht="12" thickTop="1" x14ac:dyDescent="0.2">
      <c r="A56" s="11">
        <f t="shared" si="22"/>
        <v>12</v>
      </c>
      <c r="C56" s="11" t="s">
        <v>48</v>
      </c>
      <c r="D56" s="14">
        <f>D29-D55</f>
        <v>0</v>
      </c>
      <c r="E56" s="14">
        <f t="shared" ref="E56:O56" si="33">E29-E55</f>
        <v>0</v>
      </c>
      <c r="F56" s="14">
        <f t="shared" si="33"/>
        <v>0</v>
      </c>
      <c r="G56" s="14">
        <f t="shared" si="33"/>
        <v>0</v>
      </c>
      <c r="H56" s="14">
        <f t="shared" si="33"/>
        <v>0</v>
      </c>
      <c r="I56" s="14">
        <f t="shared" si="33"/>
        <v>0</v>
      </c>
      <c r="J56" s="14">
        <f t="shared" si="33"/>
        <v>0</v>
      </c>
      <c r="K56" s="14">
        <f t="shared" si="33"/>
        <v>0</v>
      </c>
      <c r="L56" s="14">
        <f t="shared" si="33"/>
        <v>0</v>
      </c>
      <c r="M56" s="14">
        <f t="shared" si="33"/>
        <v>0</v>
      </c>
      <c r="N56" s="14">
        <f t="shared" si="33"/>
        <v>0</v>
      </c>
      <c r="O56" s="14">
        <f t="shared" si="33"/>
        <v>0</v>
      </c>
    </row>
    <row r="57" spans="1:15" s="8" customFormat="1" x14ac:dyDescent="0.2">
      <c r="A57" s="11">
        <f t="shared" si="22"/>
        <v>13</v>
      </c>
      <c r="B57" s="12" t="s">
        <v>40</v>
      </c>
      <c r="C57" s="11"/>
      <c r="D57" s="11"/>
      <c r="J57" s="11"/>
      <c r="K57" s="11"/>
      <c r="L57" s="11"/>
      <c r="M57" s="11"/>
      <c r="N57" s="11"/>
      <c r="O57" s="11"/>
    </row>
    <row r="58" spans="1:15" s="8" customFormat="1" x14ac:dyDescent="0.2">
      <c r="A58" s="11">
        <f t="shared" si="22"/>
        <v>14</v>
      </c>
      <c r="B58" s="8" t="s">
        <v>41</v>
      </c>
      <c r="C58" s="11" t="str">
        <f>C20</f>
        <v>Exhibit JDT-5, GAS RATE SPREAD DESIGN</v>
      </c>
      <c r="D58" s="14">
        <f t="shared" ref="D58:D60" si="34">SUM(H58:I58)</f>
        <v>425384500.78500003</v>
      </c>
      <c r="E58" s="14">
        <f t="shared" ref="E58:E60" si="35">SUM(J58:K58)</f>
        <v>139033439.78767002</v>
      </c>
      <c r="F58" s="14">
        <f t="shared" ref="F58:F60" si="36">SUM(L58:O58)</f>
        <v>26288845.197267324</v>
      </c>
      <c r="G58" s="14"/>
      <c r="H58" s="15">
        <v>425384500.78500003</v>
      </c>
      <c r="I58" s="15">
        <v>0</v>
      </c>
      <c r="J58" s="15">
        <v>139009893.46591002</v>
      </c>
      <c r="K58" s="15">
        <v>23546.321759999999</v>
      </c>
      <c r="L58" s="15">
        <v>19559463.828709997</v>
      </c>
      <c r="M58" s="15">
        <v>5517395.5899999999</v>
      </c>
      <c r="N58" s="15">
        <v>1063448.274998907</v>
      </c>
      <c r="O58" s="15">
        <v>148537.5035584204</v>
      </c>
    </row>
    <row r="59" spans="1:15" s="8" customFormat="1" x14ac:dyDescent="0.2">
      <c r="A59" s="11">
        <f t="shared" si="22"/>
        <v>15</v>
      </c>
      <c r="B59" s="8" t="s">
        <v>49</v>
      </c>
      <c r="C59" s="11" t="str">
        <f t="shared" ref="C59:C60" si="37">C21</f>
        <v>Exhibit JDT-5, GAS RATE SPREAD DESIGN</v>
      </c>
      <c r="D59" s="15">
        <f t="shared" si="34"/>
        <v>-3063035.1897100001</v>
      </c>
      <c r="E59" s="15">
        <f t="shared" si="35"/>
        <v>-1281504.2731000001</v>
      </c>
      <c r="F59" s="15">
        <f t="shared" si="36"/>
        <v>-216731.49974999999</v>
      </c>
      <c r="G59" s="15"/>
      <c r="H59" s="15">
        <v>-3063035.1897100001</v>
      </c>
      <c r="I59" s="15">
        <v>0</v>
      </c>
      <c r="J59" s="15">
        <v>-1281327.8260300001</v>
      </c>
      <c r="K59" s="15">
        <v>-176.44707</v>
      </c>
      <c r="L59" s="15">
        <v>-147828.09561000002</v>
      </c>
      <c r="M59" s="15">
        <v>-58587.617140000002</v>
      </c>
      <c r="N59" s="15">
        <v>-9331.9935999999998</v>
      </c>
      <c r="O59" s="15">
        <v>-983.79339999999979</v>
      </c>
    </row>
    <row r="60" spans="1:15" s="8" customFormat="1" x14ac:dyDescent="0.2">
      <c r="A60" s="11">
        <f t="shared" si="22"/>
        <v>16</v>
      </c>
      <c r="B60" s="8" t="s">
        <v>50</v>
      </c>
      <c r="C60" s="11" t="str">
        <f t="shared" si="37"/>
        <v>Exhibit JDT-5, GAS RATE SPREAD DESIGN</v>
      </c>
      <c r="D60" s="18">
        <f t="shared" si="34"/>
        <v>86628262.453030005</v>
      </c>
      <c r="E60" s="18">
        <f t="shared" si="35"/>
        <v>36260913.616199993</v>
      </c>
      <c r="F60" s="18">
        <f t="shared" si="36"/>
        <v>6127738.5563000003</v>
      </c>
      <c r="G60" s="18"/>
      <c r="H60" s="18">
        <v>86628262.453030005</v>
      </c>
      <c r="I60" s="18">
        <v>0</v>
      </c>
      <c r="J60" s="18">
        <v>36255920.943059996</v>
      </c>
      <c r="K60" s="18">
        <v>4992.6731399999999</v>
      </c>
      <c r="L60" s="18">
        <v>4179321.0016800007</v>
      </c>
      <c r="M60" s="18">
        <v>1656359.42032</v>
      </c>
      <c r="N60" s="18">
        <v>264205.20704000001</v>
      </c>
      <c r="O60" s="18">
        <v>27852.927259999993</v>
      </c>
    </row>
    <row r="61" spans="1:15" s="8" customFormat="1" x14ac:dyDescent="0.2">
      <c r="A61" s="11">
        <f t="shared" si="22"/>
        <v>17</v>
      </c>
      <c r="B61" s="8" t="s">
        <v>34</v>
      </c>
      <c r="C61" s="11" t="str">
        <f>"("&amp;A58&amp;") +("&amp;A59&amp;") + ("&amp;A60&amp;")"</f>
        <v>(14) +(15) + (16)</v>
      </c>
      <c r="D61" s="14">
        <f>SUM(H61:I61)</f>
        <v>508949728.04832</v>
      </c>
      <c r="E61" s="14">
        <f>SUM(J61:K61)</f>
        <v>174012849.13077003</v>
      </c>
      <c r="F61" s="14">
        <f>SUM(L61:O61)</f>
        <v>32199852.253817324</v>
      </c>
      <c r="G61" s="14"/>
      <c r="H61" s="15">
        <f t="shared" ref="H61:O61" si="38">SUM(H58:H60)</f>
        <v>508949728.04832</v>
      </c>
      <c r="I61" s="15">
        <f t="shared" si="38"/>
        <v>0</v>
      </c>
      <c r="J61" s="15">
        <f t="shared" si="38"/>
        <v>173984486.58294004</v>
      </c>
      <c r="K61" s="15">
        <f t="shared" si="38"/>
        <v>28362.54783</v>
      </c>
      <c r="L61" s="15">
        <f t="shared" si="38"/>
        <v>23590956.734779999</v>
      </c>
      <c r="M61" s="15">
        <f t="shared" si="38"/>
        <v>7115167.3931799997</v>
      </c>
      <c r="N61" s="15">
        <f t="shared" si="38"/>
        <v>1318321.4884389071</v>
      </c>
      <c r="O61" s="15">
        <f t="shared" si="38"/>
        <v>175406.6374184204</v>
      </c>
    </row>
    <row r="62" spans="1:15" s="8" customFormat="1" x14ac:dyDescent="0.2">
      <c r="A62" s="11">
        <f t="shared" si="22"/>
        <v>18</v>
      </c>
      <c r="C62" s="1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s="8" customFormat="1" x14ac:dyDescent="0.2">
      <c r="A63" s="11">
        <f t="shared" si="22"/>
        <v>19</v>
      </c>
      <c r="B63" s="8" t="s">
        <v>36</v>
      </c>
      <c r="C63" s="11" t="str">
        <f t="shared" ref="C63:C64" si="39">C25</f>
        <v>Exhibit JDT-5, GAS RATE SPREAD DESIGN</v>
      </c>
      <c r="D63" s="14">
        <f t="shared" ref="D63:D64" si="40">SUM(H63:I63)</f>
        <v>128033485.5</v>
      </c>
      <c r="E63" s="14">
        <f t="shared" ref="E63:E64" si="41">SUM(J63:K63)</f>
        <v>27764452.18</v>
      </c>
      <c r="F63" s="14">
        <f t="shared" ref="F63:F64" si="42">SUM(L63:O63)</f>
        <v>2681672.1900000004</v>
      </c>
      <c r="G63" s="14"/>
      <c r="H63" s="15">
        <v>128033485.5</v>
      </c>
      <c r="I63" s="15">
        <v>0</v>
      </c>
      <c r="J63" s="15">
        <v>27755715.219999999</v>
      </c>
      <c r="K63" s="15">
        <v>8736.9600000000009</v>
      </c>
      <c r="L63" s="15">
        <v>2033538.9900000002</v>
      </c>
      <c r="M63" s="15">
        <v>436319.28</v>
      </c>
      <c r="N63" s="15">
        <v>167868.96</v>
      </c>
      <c r="O63" s="15">
        <v>43944.959999999999</v>
      </c>
    </row>
    <row r="64" spans="1:15" s="8" customFormat="1" x14ac:dyDescent="0.2">
      <c r="A64" s="11">
        <f t="shared" si="22"/>
        <v>20</v>
      </c>
      <c r="B64" s="8" t="s">
        <v>37</v>
      </c>
      <c r="C64" s="11" t="str">
        <f t="shared" si="39"/>
        <v>Exhibit JDT-5, GAS RATE SPREAD DESIGN</v>
      </c>
      <c r="D64" s="14">
        <f t="shared" si="40"/>
        <v>0</v>
      </c>
      <c r="E64" s="14">
        <f t="shared" si="41"/>
        <v>0</v>
      </c>
      <c r="F64" s="14">
        <f t="shared" si="42"/>
        <v>2395567.0200000005</v>
      </c>
      <c r="G64" s="14"/>
      <c r="H64" s="15">
        <v>0</v>
      </c>
      <c r="I64" s="15">
        <v>0</v>
      </c>
      <c r="J64" s="15">
        <v>0</v>
      </c>
      <c r="K64" s="15">
        <v>0</v>
      </c>
      <c r="L64" s="15">
        <v>2239810.6500000004</v>
      </c>
      <c r="M64" s="15">
        <v>148143.6</v>
      </c>
      <c r="N64" s="15">
        <v>7612.77</v>
      </c>
      <c r="O64" s="15">
        <v>0</v>
      </c>
    </row>
    <row r="65" spans="1:15" s="8" customFormat="1" x14ac:dyDescent="0.2">
      <c r="A65" s="11">
        <f t="shared" si="22"/>
        <v>21</v>
      </c>
      <c r="B65" s="8" t="s">
        <v>38</v>
      </c>
      <c r="C65" s="11" t="str">
        <f>"("&amp;A63&amp;") + ("&amp;A64&amp;")"</f>
        <v>(19) + (20)</v>
      </c>
      <c r="D65" s="16">
        <f>SUM(D63:D64)</f>
        <v>128033485.5</v>
      </c>
      <c r="E65" s="16">
        <f>SUM(E63:E64)</f>
        <v>27764452.18</v>
      </c>
      <c r="F65" s="16">
        <f>SUM(F63:F64)</f>
        <v>5077239.2100000009</v>
      </c>
      <c r="G65" s="14"/>
      <c r="H65" s="16">
        <f t="shared" ref="H65:O65" si="43">SUM(H63:H64)</f>
        <v>128033485.5</v>
      </c>
      <c r="I65" s="16">
        <f t="shared" si="43"/>
        <v>0</v>
      </c>
      <c r="J65" s="16">
        <f t="shared" si="43"/>
        <v>27755715.219999999</v>
      </c>
      <c r="K65" s="16">
        <f t="shared" si="43"/>
        <v>8736.9600000000009</v>
      </c>
      <c r="L65" s="16">
        <f t="shared" si="43"/>
        <v>4273349.6400000006</v>
      </c>
      <c r="M65" s="16">
        <f t="shared" si="43"/>
        <v>584462.88</v>
      </c>
      <c r="N65" s="16">
        <f t="shared" si="43"/>
        <v>175481.72999999998</v>
      </c>
      <c r="O65" s="16">
        <f t="shared" si="43"/>
        <v>43944.959999999999</v>
      </c>
    </row>
    <row r="66" spans="1:15" s="8" customFormat="1" x14ac:dyDescent="0.2">
      <c r="A66" s="11">
        <f t="shared" si="22"/>
        <v>22</v>
      </c>
      <c r="C66" s="11"/>
      <c r="D66" s="14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8" customFormat="1" ht="12" thickBot="1" x14ac:dyDescent="0.25">
      <c r="A67" s="11">
        <f t="shared" si="22"/>
        <v>23</v>
      </c>
      <c r="B67" s="8" t="s">
        <v>39</v>
      </c>
      <c r="C67" s="11" t="str">
        <f>"("&amp;A61&amp;") - ("&amp;A65&amp;")"</f>
        <v>(17) - (21)</v>
      </c>
      <c r="D67" s="17">
        <f>D61-D65</f>
        <v>380916242.54832</v>
      </c>
      <c r="E67" s="17">
        <f>E61-E65</f>
        <v>146248396.95077002</v>
      </c>
      <c r="F67" s="17">
        <f>F61-F65</f>
        <v>27122613.043817323</v>
      </c>
      <c r="G67" s="15"/>
      <c r="H67" s="17">
        <f t="shared" ref="H67:O67" si="44">H61-H65</f>
        <v>380916242.54832</v>
      </c>
      <c r="I67" s="17">
        <f t="shared" si="44"/>
        <v>0</v>
      </c>
      <c r="J67" s="17">
        <f t="shared" si="44"/>
        <v>146228771.36294004</v>
      </c>
      <c r="K67" s="17">
        <f t="shared" si="44"/>
        <v>19625.587829999997</v>
      </c>
      <c r="L67" s="17">
        <f t="shared" si="44"/>
        <v>19317607.094779998</v>
      </c>
      <c r="M67" s="17">
        <f t="shared" si="44"/>
        <v>6530704.5131799998</v>
      </c>
      <c r="N67" s="17">
        <f t="shared" si="44"/>
        <v>1142839.7584389071</v>
      </c>
      <c r="O67" s="17">
        <f t="shared" si="44"/>
        <v>131461.67741842041</v>
      </c>
    </row>
    <row r="68" spans="1:15" s="8" customFormat="1" ht="12" thickTop="1" x14ac:dyDescent="0.2">
      <c r="A68" s="11">
        <f t="shared" si="22"/>
        <v>24</v>
      </c>
      <c r="G68" s="19"/>
    </row>
    <row r="69" spans="1:15" s="8" customFormat="1" x14ac:dyDescent="0.2">
      <c r="A69" s="11">
        <f t="shared" si="22"/>
        <v>25</v>
      </c>
      <c r="B69" s="8" t="s">
        <v>45</v>
      </c>
      <c r="D69" s="14">
        <f>D67-D55</f>
        <v>20304816.750449955</v>
      </c>
      <c r="E69" s="14">
        <f>E67-E55</f>
        <v>9139623.9485500455</v>
      </c>
      <c r="F69" s="14">
        <f>F67-F55</f>
        <v>1435274.2355327345</v>
      </c>
      <c r="H69" s="14">
        <f t="shared" ref="H69:O69" si="45">H67-H55</f>
        <v>20304816.750449955</v>
      </c>
      <c r="I69" s="14">
        <f t="shared" si="45"/>
        <v>0</v>
      </c>
      <c r="J69" s="14">
        <f t="shared" si="45"/>
        <v>9138869.242860049</v>
      </c>
      <c r="K69" s="14">
        <f t="shared" si="45"/>
        <v>754.70568999999523</v>
      </c>
      <c r="L69" s="14">
        <f t="shared" si="45"/>
        <v>868744.05997999758</v>
      </c>
      <c r="M69" s="14">
        <f t="shared" si="45"/>
        <v>528774.09760999959</v>
      </c>
      <c r="N69" s="14">
        <f t="shared" si="45"/>
        <v>24944.118350727484</v>
      </c>
      <c r="O69" s="14">
        <f t="shared" si="45"/>
        <v>12811.959592012194</v>
      </c>
    </row>
    <row r="70" spans="1:15" ht="12" thickBot="1" x14ac:dyDescent="0.25">
      <c r="A70" s="11">
        <f t="shared" si="22"/>
        <v>26</v>
      </c>
      <c r="B70" s="2" t="s">
        <v>46</v>
      </c>
      <c r="D70" s="20"/>
      <c r="E70" s="20"/>
      <c r="F70" s="21">
        <f>SUM(D69:F69)</f>
        <v>30879714.934532735</v>
      </c>
      <c r="H70" s="20"/>
      <c r="I70" s="20"/>
      <c r="J70" s="20"/>
      <c r="K70" s="20"/>
      <c r="L70" s="20"/>
      <c r="M70" s="20"/>
      <c r="N70" s="20"/>
      <c r="O70" s="20"/>
    </row>
    <row r="71" spans="1:15" ht="12" thickTop="1" x14ac:dyDescent="0.2"/>
    <row r="72" spans="1:15" ht="4.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4" spans="1:15" x14ac:dyDescent="0.2">
      <c r="A74" s="1" t="str">
        <f>A1</f>
        <v>Puget Sound Energy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 t="str">
        <f t="shared" ref="A75:A77" si="46">A2</f>
        <v>2022 General Rate Case (GRC)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 t="str">
        <f t="shared" si="46"/>
        <v>Gas Decoupling Mechanism (Schedule 142)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 t="str">
        <f t="shared" si="46"/>
        <v>Development of Decoupled Delivery Revenue by Decoupling Group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" x14ac:dyDescent="0.25">
      <c r="A78" s="1" t="s">
        <v>51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">
      <c r="A80" s="6" t="s">
        <v>5</v>
      </c>
      <c r="B80" s="7"/>
      <c r="C80" s="7"/>
      <c r="D80" s="6" t="s">
        <v>6</v>
      </c>
      <c r="E80" s="6" t="s">
        <v>6</v>
      </c>
      <c r="F80" s="6" t="s">
        <v>6</v>
      </c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">
      <c r="A81" s="9" t="s">
        <v>7</v>
      </c>
      <c r="B81" s="10"/>
      <c r="C81" s="9" t="s">
        <v>8</v>
      </c>
      <c r="D81" s="9" t="s">
        <v>9</v>
      </c>
      <c r="E81" s="9" t="s">
        <v>10</v>
      </c>
      <c r="F81" s="9" t="s">
        <v>11</v>
      </c>
      <c r="G81" s="9"/>
      <c r="H81" s="9" t="s">
        <v>12</v>
      </c>
      <c r="I81" s="9" t="s">
        <v>13</v>
      </c>
      <c r="J81" s="9" t="s">
        <v>14</v>
      </c>
      <c r="K81" s="9" t="s">
        <v>15</v>
      </c>
      <c r="L81" s="9" t="s">
        <v>16</v>
      </c>
      <c r="M81" s="9" t="s">
        <v>17</v>
      </c>
      <c r="N81" s="9" t="s">
        <v>18</v>
      </c>
      <c r="O81" s="9" t="s">
        <v>19</v>
      </c>
    </row>
    <row r="82" spans="1:15" x14ac:dyDescent="0.2">
      <c r="A82" s="8"/>
      <c r="B82" s="11" t="s">
        <v>20</v>
      </c>
      <c r="C82" s="11" t="s">
        <v>21</v>
      </c>
      <c r="D82" s="11" t="s">
        <v>22</v>
      </c>
      <c r="E82" s="11" t="s">
        <v>23</v>
      </c>
      <c r="F82" s="11" t="s">
        <v>24</v>
      </c>
      <c r="G82" s="11"/>
      <c r="H82" s="11" t="s">
        <v>25</v>
      </c>
      <c r="I82" s="11" t="s">
        <v>26</v>
      </c>
      <c r="J82" s="11" t="s">
        <v>27</v>
      </c>
      <c r="K82" s="11" t="s">
        <v>28</v>
      </c>
      <c r="L82" s="11" t="s">
        <v>29</v>
      </c>
      <c r="M82" s="11" t="s">
        <v>30</v>
      </c>
      <c r="N82" s="11" t="s">
        <v>31</v>
      </c>
      <c r="O82" s="11" t="s">
        <v>32</v>
      </c>
    </row>
    <row r="83" spans="1:15" x14ac:dyDescent="0.2">
      <c r="A83" s="11">
        <v>1</v>
      </c>
      <c r="B83" s="12" t="s">
        <v>33</v>
      </c>
      <c r="C83" s="11"/>
      <c r="D83" s="11"/>
      <c r="E83" s="8"/>
      <c r="F83" s="8"/>
      <c r="G83" s="8"/>
      <c r="H83" s="8"/>
      <c r="I83" s="8"/>
      <c r="J83" s="11"/>
      <c r="K83" s="11"/>
      <c r="L83" s="11"/>
      <c r="M83" s="11"/>
      <c r="N83" s="11"/>
      <c r="O83" s="11"/>
    </row>
    <row r="84" spans="1:15" x14ac:dyDescent="0.2">
      <c r="A84" s="11">
        <f>A83+1</f>
        <v>2</v>
      </c>
      <c r="B84" s="8" t="s">
        <v>41</v>
      </c>
      <c r="C84" s="11" t="str">
        <f>C58</f>
        <v>Exhibit JDT-5, GAS RATE SPREAD DESIGN</v>
      </c>
      <c r="D84" s="14">
        <f t="shared" ref="D84:D86" si="47">SUM(H84:I84)</f>
        <v>425384500.78500003</v>
      </c>
      <c r="E84" s="14">
        <f t="shared" ref="E84:E86" si="48">SUM(J84:K84)</f>
        <v>139033439.78767002</v>
      </c>
      <c r="F84" s="14">
        <f t="shared" ref="F84:F86" si="49">SUM(L84:O84)</f>
        <v>26288845.197267324</v>
      </c>
      <c r="G84" s="14"/>
      <c r="H84" s="15">
        <f>H58</f>
        <v>425384500.78500003</v>
      </c>
      <c r="I84" s="15">
        <f t="shared" ref="I84:O84" si="50">I58</f>
        <v>0</v>
      </c>
      <c r="J84" s="15">
        <f t="shared" si="50"/>
        <v>139009893.46591002</v>
      </c>
      <c r="K84" s="15">
        <f t="shared" si="50"/>
        <v>23546.321759999999</v>
      </c>
      <c r="L84" s="15">
        <f t="shared" si="50"/>
        <v>19559463.828709997</v>
      </c>
      <c r="M84" s="15">
        <f t="shared" si="50"/>
        <v>5517395.5899999999</v>
      </c>
      <c r="N84" s="15">
        <f t="shared" si="50"/>
        <v>1063448.274998907</v>
      </c>
      <c r="O84" s="15">
        <f t="shared" si="50"/>
        <v>148537.5035584204</v>
      </c>
    </row>
    <row r="85" spans="1:15" x14ac:dyDescent="0.2">
      <c r="A85" s="11">
        <f t="shared" ref="A85:A108" si="51">A84+1</f>
        <v>3</v>
      </c>
      <c r="B85" s="8" t="s">
        <v>43</v>
      </c>
      <c r="C85" s="11" t="str">
        <f t="shared" ref="C85:C86" si="52">C59</f>
        <v>Exhibit JDT-5, GAS RATE SPREAD DESIGN</v>
      </c>
      <c r="D85" s="15">
        <f t="shared" si="47"/>
        <v>-3063035.1897100001</v>
      </c>
      <c r="E85" s="15">
        <f t="shared" si="48"/>
        <v>-1281504.2731000001</v>
      </c>
      <c r="F85" s="15">
        <f t="shared" si="49"/>
        <v>-216731.49974999999</v>
      </c>
      <c r="G85" s="15"/>
      <c r="H85" s="15">
        <f t="shared" ref="H85:O86" si="53">H59</f>
        <v>-3063035.1897100001</v>
      </c>
      <c r="I85" s="15">
        <f t="shared" si="53"/>
        <v>0</v>
      </c>
      <c r="J85" s="15">
        <f t="shared" si="53"/>
        <v>-1281327.8260300001</v>
      </c>
      <c r="K85" s="15">
        <f t="shared" si="53"/>
        <v>-176.44707</v>
      </c>
      <c r="L85" s="15">
        <f t="shared" si="53"/>
        <v>-147828.09561000002</v>
      </c>
      <c r="M85" s="15">
        <f t="shared" si="53"/>
        <v>-58587.617140000002</v>
      </c>
      <c r="N85" s="15">
        <f t="shared" si="53"/>
        <v>-9331.9935999999998</v>
      </c>
      <c r="O85" s="15">
        <f t="shared" si="53"/>
        <v>-983.79339999999979</v>
      </c>
    </row>
    <row r="86" spans="1:15" x14ac:dyDescent="0.2">
      <c r="A86" s="11">
        <f t="shared" si="51"/>
        <v>4</v>
      </c>
      <c r="B86" s="8" t="s">
        <v>44</v>
      </c>
      <c r="C86" s="11" t="str">
        <f t="shared" si="52"/>
        <v>Exhibit JDT-5, GAS RATE SPREAD DESIGN</v>
      </c>
      <c r="D86" s="18">
        <f t="shared" si="47"/>
        <v>86628262.453030005</v>
      </c>
      <c r="E86" s="18">
        <f t="shared" si="48"/>
        <v>36260913.616199993</v>
      </c>
      <c r="F86" s="18">
        <f t="shared" si="49"/>
        <v>6127738.5563000003</v>
      </c>
      <c r="G86" s="18"/>
      <c r="H86" s="18">
        <f t="shared" si="53"/>
        <v>86628262.453030005</v>
      </c>
      <c r="I86" s="18">
        <f t="shared" si="53"/>
        <v>0</v>
      </c>
      <c r="J86" s="18">
        <f t="shared" si="53"/>
        <v>36255920.943059996</v>
      </c>
      <c r="K86" s="18">
        <f t="shared" si="53"/>
        <v>4992.6731399999999</v>
      </c>
      <c r="L86" s="18">
        <f t="shared" si="53"/>
        <v>4179321.0016800007</v>
      </c>
      <c r="M86" s="18">
        <f t="shared" si="53"/>
        <v>1656359.42032</v>
      </c>
      <c r="N86" s="18">
        <f t="shared" si="53"/>
        <v>264205.20704000001</v>
      </c>
      <c r="O86" s="18">
        <f t="shared" si="53"/>
        <v>27852.927259999993</v>
      </c>
    </row>
    <row r="87" spans="1:15" x14ac:dyDescent="0.2">
      <c r="A87" s="11">
        <f t="shared" si="51"/>
        <v>5</v>
      </c>
      <c r="B87" s="8" t="s">
        <v>34</v>
      </c>
      <c r="C87" s="11" t="str">
        <f>"("&amp;A84&amp;") +("&amp;A85&amp;") + ("&amp;A86&amp;")"</f>
        <v>(2) +(3) + (4)</v>
      </c>
      <c r="D87" s="14">
        <f>SUM(H87:I87)</f>
        <v>508949728.04832</v>
      </c>
      <c r="E87" s="14">
        <f>SUM(J87:K87)</f>
        <v>174012849.13077003</v>
      </c>
      <c r="F87" s="14">
        <f>SUM(L87:O87)</f>
        <v>32199852.253817324</v>
      </c>
      <c r="G87" s="14"/>
      <c r="H87" s="15">
        <f>SUM(H84:H86)</f>
        <v>508949728.04832</v>
      </c>
      <c r="I87" s="15">
        <f t="shared" ref="I87:O87" si="54">SUM(I84:I86)</f>
        <v>0</v>
      </c>
      <c r="J87" s="15">
        <f t="shared" si="54"/>
        <v>173984486.58294004</v>
      </c>
      <c r="K87" s="15">
        <f t="shared" si="54"/>
        <v>28362.54783</v>
      </c>
      <c r="L87" s="15">
        <f t="shared" si="54"/>
        <v>23590956.734779999</v>
      </c>
      <c r="M87" s="15">
        <f t="shared" si="54"/>
        <v>7115167.3931799997</v>
      </c>
      <c r="N87" s="15">
        <f t="shared" si="54"/>
        <v>1318321.4884389071</v>
      </c>
      <c r="O87" s="15">
        <f t="shared" si="54"/>
        <v>175406.6374184204</v>
      </c>
    </row>
    <row r="88" spans="1:15" x14ac:dyDescent="0.2">
      <c r="A88" s="11">
        <f t="shared" si="51"/>
        <v>6</v>
      </c>
      <c r="B88" s="8"/>
      <c r="C88" s="1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2">
      <c r="A89" s="11">
        <f t="shared" si="51"/>
        <v>7</v>
      </c>
      <c r="B89" s="8" t="s">
        <v>36</v>
      </c>
      <c r="C89" s="11" t="str">
        <f t="shared" ref="C89:C90" si="55">C63</f>
        <v>Exhibit JDT-5, GAS RATE SPREAD DESIGN</v>
      </c>
      <c r="D89" s="14">
        <f t="shared" ref="D89:D90" si="56">SUM(H89:I89)</f>
        <v>128033485.5</v>
      </c>
      <c r="E89" s="14">
        <f t="shared" ref="E89:E90" si="57">SUM(J89:K89)</f>
        <v>27764452.18</v>
      </c>
      <c r="F89" s="14">
        <f t="shared" ref="F89:F90" si="58">SUM(L89:O89)</f>
        <v>2681672.1900000004</v>
      </c>
      <c r="G89" s="14"/>
      <c r="H89" s="15">
        <f t="shared" ref="H89:O90" si="59">H63</f>
        <v>128033485.5</v>
      </c>
      <c r="I89" s="15">
        <f t="shared" si="59"/>
        <v>0</v>
      </c>
      <c r="J89" s="15">
        <f t="shared" si="59"/>
        <v>27755715.219999999</v>
      </c>
      <c r="K89" s="15">
        <f t="shared" si="59"/>
        <v>8736.9600000000009</v>
      </c>
      <c r="L89" s="15">
        <f t="shared" si="59"/>
        <v>2033538.9900000002</v>
      </c>
      <c r="M89" s="15">
        <f t="shared" si="59"/>
        <v>436319.28</v>
      </c>
      <c r="N89" s="15">
        <f t="shared" si="59"/>
        <v>167868.96</v>
      </c>
      <c r="O89" s="15">
        <f t="shared" si="59"/>
        <v>43944.959999999999</v>
      </c>
    </row>
    <row r="90" spans="1:15" x14ac:dyDescent="0.2">
      <c r="A90" s="11">
        <f t="shared" si="51"/>
        <v>8</v>
      </c>
      <c r="B90" s="8" t="s">
        <v>37</v>
      </c>
      <c r="C90" s="11" t="str">
        <f t="shared" si="55"/>
        <v>Exhibit JDT-5, GAS RATE SPREAD DESIGN</v>
      </c>
      <c r="D90" s="14">
        <f t="shared" si="56"/>
        <v>0</v>
      </c>
      <c r="E90" s="14">
        <f t="shared" si="57"/>
        <v>0</v>
      </c>
      <c r="F90" s="14">
        <f t="shared" si="58"/>
        <v>2395567.0200000005</v>
      </c>
      <c r="G90" s="14"/>
      <c r="H90" s="15">
        <f t="shared" si="59"/>
        <v>0</v>
      </c>
      <c r="I90" s="15">
        <f t="shared" si="59"/>
        <v>0</v>
      </c>
      <c r="J90" s="15">
        <f t="shared" si="59"/>
        <v>0</v>
      </c>
      <c r="K90" s="15">
        <f t="shared" si="59"/>
        <v>0</v>
      </c>
      <c r="L90" s="15">
        <f t="shared" si="59"/>
        <v>2239810.6500000004</v>
      </c>
      <c r="M90" s="15">
        <f t="shared" si="59"/>
        <v>148143.6</v>
      </c>
      <c r="N90" s="15">
        <f t="shared" si="59"/>
        <v>7612.77</v>
      </c>
      <c r="O90" s="15">
        <f t="shared" si="59"/>
        <v>0</v>
      </c>
    </row>
    <row r="91" spans="1:15" x14ac:dyDescent="0.2">
      <c r="A91" s="11">
        <f t="shared" si="51"/>
        <v>9</v>
      </c>
      <c r="B91" s="8" t="s">
        <v>38</v>
      </c>
      <c r="C91" s="11" t="str">
        <f>"("&amp;A89&amp;") + ("&amp;A90&amp;")"</f>
        <v>(7) + (8)</v>
      </c>
      <c r="D91" s="16">
        <f>SUM(D89:D90)</f>
        <v>128033485.5</v>
      </c>
      <c r="E91" s="16">
        <f>SUM(E89:E90)</f>
        <v>27764452.18</v>
      </c>
      <c r="F91" s="16">
        <f>SUM(F89:F90)</f>
        <v>5077239.2100000009</v>
      </c>
      <c r="G91" s="14"/>
      <c r="H91" s="16">
        <f t="shared" ref="H91:O91" si="60">SUM(H89:H90)</f>
        <v>128033485.5</v>
      </c>
      <c r="I91" s="16">
        <f t="shared" si="60"/>
        <v>0</v>
      </c>
      <c r="J91" s="16">
        <f t="shared" si="60"/>
        <v>27755715.219999999</v>
      </c>
      <c r="K91" s="16">
        <f t="shared" si="60"/>
        <v>8736.9600000000009</v>
      </c>
      <c r="L91" s="16">
        <f t="shared" si="60"/>
        <v>4273349.6400000006</v>
      </c>
      <c r="M91" s="16">
        <f t="shared" si="60"/>
        <v>584462.88</v>
      </c>
      <c r="N91" s="16">
        <f t="shared" si="60"/>
        <v>175481.72999999998</v>
      </c>
      <c r="O91" s="16">
        <f t="shared" si="60"/>
        <v>43944.959999999999</v>
      </c>
    </row>
    <row r="92" spans="1:15" x14ac:dyDescent="0.2">
      <c r="A92" s="11">
        <f t="shared" si="51"/>
        <v>10</v>
      </c>
      <c r="B92" s="8"/>
      <c r="C92" s="11"/>
      <c r="D92" s="14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</row>
    <row r="93" spans="1:15" ht="12" thickBot="1" x14ac:dyDescent="0.25">
      <c r="A93" s="11">
        <f t="shared" si="51"/>
        <v>11</v>
      </c>
      <c r="B93" s="8" t="s">
        <v>39</v>
      </c>
      <c r="C93" s="11" t="str">
        <f>"("&amp;A87&amp;") - ("&amp;A91&amp;")"</f>
        <v>(5) - (9)</v>
      </c>
      <c r="D93" s="17">
        <f>D87-D91</f>
        <v>380916242.54832</v>
      </c>
      <c r="E93" s="17">
        <f>E87-E91</f>
        <v>146248396.95077002</v>
      </c>
      <c r="F93" s="17">
        <f>F87-F91</f>
        <v>27122613.043817323</v>
      </c>
      <c r="G93" s="15"/>
      <c r="H93" s="17">
        <f t="shared" ref="H93:O93" si="61">H87-H91</f>
        <v>380916242.54832</v>
      </c>
      <c r="I93" s="17">
        <f t="shared" si="61"/>
        <v>0</v>
      </c>
      <c r="J93" s="17">
        <f t="shared" si="61"/>
        <v>146228771.36294004</v>
      </c>
      <c r="K93" s="17">
        <f t="shared" si="61"/>
        <v>19625.587829999997</v>
      </c>
      <c r="L93" s="17">
        <f t="shared" si="61"/>
        <v>19317607.094779998</v>
      </c>
      <c r="M93" s="17">
        <f t="shared" si="61"/>
        <v>6530704.5131799998</v>
      </c>
      <c r="N93" s="17">
        <f t="shared" si="61"/>
        <v>1142839.7584389071</v>
      </c>
      <c r="O93" s="17">
        <f t="shared" si="61"/>
        <v>131461.67741842041</v>
      </c>
    </row>
    <row r="94" spans="1:15" s="8" customFormat="1" ht="12" thickTop="1" x14ac:dyDescent="0.2">
      <c r="A94" s="11">
        <f t="shared" si="51"/>
        <v>12</v>
      </c>
      <c r="C94" s="11" t="s">
        <v>48</v>
      </c>
      <c r="D94" s="14">
        <f>D67-D93</f>
        <v>0</v>
      </c>
      <c r="E94" s="14">
        <f t="shared" ref="E94:O94" si="62">E67-E93</f>
        <v>0</v>
      </c>
      <c r="F94" s="14">
        <f t="shared" si="62"/>
        <v>0</v>
      </c>
      <c r="G94" s="14">
        <f t="shared" si="62"/>
        <v>0</v>
      </c>
      <c r="H94" s="14">
        <f t="shared" si="62"/>
        <v>0</v>
      </c>
      <c r="I94" s="14">
        <f t="shared" si="62"/>
        <v>0</v>
      </c>
      <c r="J94" s="14">
        <f t="shared" si="62"/>
        <v>0</v>
      </c>
      <c r="K94" s="14">
        <f t="shared" si="62"/>
        <v>0</v>
      </c>
      <c r="L94" s="14">
        <f t="shared" si="62"/>
        <v>0</v>
      </c>
      <c r="M94" s="14">
        <f t="shared" si="62"/>
        <v>0</v>
      </c>
      <c r="N94" s="14">
        <f t="shared" si="62"/>
        <v>0</v>
      </c>
      <c r="O94" s="14">
        <f t="shared" si="62"/>
        <v>0</v>
      </c>
    </row>
    <row r="95" spans="1:15" s="8" customFormat="1" x14ac:dyDescent="0.2">
      <c r="A95" s="11">
        <f t="shared" si="51"/>
        <v>13</v>
      </c>
      <c r="B95" s="12" t="s">
        <v>40</v>
      </c>
      <c r="C95" s="11"/>
      <c r="D95" s="11"/>
      <c r="J95" s="11"/>
      <c r="K95" s="11"/>
      <c r="L95" s="11"/>
      <c r="M95" s="11"/>
      <c r="N95" s="11"/>
      <c r="O95" s="11"/>
    </row>
    <row r="96" spans="1:15" s="8" customFormat="1" x14ac:dyDescent="0.2">
      <c r="A96" s="11">
        <f t="shared" si="51"/>
        <v>14</v>
      </c>
      <c r="B96" s="8" t="s">
        <v>41</v>
      </c>
      <c r="C96" s="11" t="str">
        <f t="shared" ref="C96:C98" si="63">C58</f>
        <v>Exhibit JDT-5, GAS RATE SPREAD DESIGN</v>
      </c>
      <c r="D96" s="14">
        <f t="shared" ref="D96:D98" si="64">SUM(H96:I96)</f>
        <v>426273771.04500002</v>
      </c>
      <c r="E96" s="14">
        <f t="shared" ref="E96:E98" si="65">SUM(J96:K96)</f>
        <v>139109658.62086001</v>
      </c>
      <c r="F96" s="14">
        <f t="shared" ref="F96:F98" si="66">SUM(L96:O96)</f>
        <v>26246696.506032813</v>
      </c>
      <c r="G96" s="14"/>
      <c r="H96" s="15">
        <v>426273771.04500002</v>
      </c>
      <c r="I96" s="15">
        <v>0</v>
      </c>
      <c r="J96" s="15">
        <v>139086436.76086</v>
      </c>
      <c r="K96" s="15">
        <v>23221.86</v>
      </c>
      <c r="L96" s="15">
        <v>19454912.084539998</v>
      </c>
      <c r="M96" s="15">
        <v>5626798.4100000001</v>
      </c>
      <c r="N96" s="15">
        <v>1011865.9534812791</v>
      </c>
      <c r="O96" s="15">
        <v>153120.05801153468</v>
      </c>
    </row>
    <row r="97" spans="1:15" s="8" customFormat="1" x14ac:dyDescent="0.2">
      <c r="A97" s="11">
        <f t="shared" si="51"/>
        <v>15</v>
      </c>
      <c r="B97" s="8" t="s">
        <v>49</v>
      </c>
      <c r="C97" s="11" t="str">
        <f t="shared" si="63"/>
        <v>Exhibit JDT-5, GAS RATE SPREAD DESIGN</v>
      </c>
      <c r="D97" s="15">
        <f t="shared" si="64"/>
        <v>-13780199.923670001</v>
      </c>
      <c r="E97" s="15">
        <f t="shared" si="65"/>
        <v>-5769001.7503800001</v>
      </c>
      <c r="F97" s="15">
        <f t="shared" si="66"/>
        <v>-975162.2426900001</v>
      </c>
      <c r="G97" s="15"/>
      <c r="H97" s="15">
        <v>-13780199.923670001</v>
      </c>
      <c r="I97" s="15">
        <v>0</v>
      </c>
      <c r="J97" s="15">
        <v>-5768224.6378800003</v>
      </c>
      <c r="K97" s="15">
        <v>-777.11250000000007</v>
      </c>
      <c r="L97" s="15">
        <v>-656869.83762000001</v>
      </c>
      <c r="M97" s="15">
        <v>-271845.07020000002</v>
      </c>
      <c r="N97" s="15">
        <v>-41565.757689999999</v>
      </c>
      <c r="O97" s="15">
        <v>-4881.5771800000002</v>
      </c>
    </row>
    <row r="98" spans="1:15" s="8" customFormat="1" x14ac:dyDescent="0.2">
      <c r="A98" s="11">
        <f t="shared" si="51"/>
        <v>16</v>
      </c>
      <c r="B98" s="8" t="s">
        <v>50</v>
      </c>
      <c r="C98" s="11" t="str">
        <f t="shared" si="63"/>
        <v>Exhibit JDT-5, GAS RATE SPREAD DESIGN</v>
      </c>
      <c r="D98" s="18">
        <f t="shared" si="64"/>
        <v>112271290.7167</v>
      </c>
      <c r="E98" s="18">
        <f t="shared" si="65"/>
        <v>46993019.373300001</v>
      </c>
      <c r="F98" s="18">
        <f t="shared" si="66"/>
        <v>7941917.1401199996</v>
      </c>
      <c r="G98" s="18"/>
      <c r="H98" s="18">
        <v>112271290.7167</v>
      </c>
      <c r="I98" s="18">
        <v>0</v>
      </c>
      <c r="J98" s="18">
        <v>46986689.185800001</v>
      </c>
      <c r="K98" s="18">
        <v>6330.1875</v>
      </c>
      <c r="L98" s="18">
        <v>5349553.2495799996</v>
      </c>
      <c r="M98" s="18">
        <v>2213908.4418000001</v>
      </c>
      <c r="N98" s="18">
        <v>338680.08837999997</v>
      </c>
      <c r="O98" s="18">
        <v>39775.360359999999</v>
      </c>
    </row>
    <row r="99" spans="1:15" s="8" customFormat="1" x14ac:dyDescent="0.2">
      <c r="A99" s="11">
        <f t="shared" si="51"/>
        <v>17</v>
      </c>
      <c r="B99" s="8" t="s">
        <v>34</v>
      </c>
      <c r="C99" s="11" t="str">
        <f>"("&amp;A96&amp;") +("&amp;A97&amp;") + ("&amp;A98&amp;")"</f>
        <v>(14) +(15) + (16)</v>
      </c>
      <c r="D99" s="14">
        <f>SUM(H99:I99)</f>
        <v>524764861.83803004</v>
      </c>
      <c r="E99" s="14">
        <f>SUM(J99:K99)</f>
        <v>180333676.24378002</v>
      </c>
      <c r="F99" s="14">
        <f>SUM(L99:O99)</f>
        <v>33213451.403462812</v>
      </c>
      <c r="G99" s="14"/>
      <c r="H99" s="15">
        <f t="shared" ref="H99:O99" si="67">SUM(H96:H98)</f>
        <v>524764861.83803004</v>
      </c>
      <c r="I99" s="15">
        <f t="shared" si="67"/>
        <v>0</v>
      </c>
      <c r="J99" s="15">
        <f t="shared" si="67"/>
        <v>180304901.30878001</v>
      </c>
      <c r="K99" s="15">
        <f t="shared" si="67"/>
        <v>28774.935000000001</v>
      </c>
      <c r="L99" s="15">
        <f t="shared" si="67"/>
        <v>24147595.496499997</v>
      </c>
      <c r="M99" s="15">
        <f t="shared" si="67"/>
        <v>7568861.7816000003</v>
      </c>
      <c r="N99" s="15">
        <f t="shared" si="67"/>
        <v>1308980.2841712791</v>
      </c>
      <c r="O99" s="15">
        <f t="shared" si="67"/>
        <v>188013.84119153468</v>
      </c>
    </row>
    <row r="100" spans="1:15" s="8" customFormat="1" x14ac:dyDescent="0.2">
      <c r="A100" s="11">
        <f t="shared" si="51"/>
        <v>18</v>
      </c>
      <c r="C100" s="1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s="8" customFormat="1" x14ac:dyDescent="0.2">
      <c r="A101" s="11">
        <f t="shared" si="51"/>
        <v>19</v>
      </c>
      <c r="B101" s="8" t="s">
        <v>36</v>
      </c>
      <c r="C101" s="11" t="str">
        <f t="shared" ref="C101:C102" si="68">C63</f>
        <v>Exhibit JDT-5, GAS RATE SPREAD DESIGN</v>
      </c>
      <c r="D101" s="14">
        <f t="shared" ref="D101:D102" si="69">SUM(H101:I101)</f>
        <v>129479284.5</v>
      </c>
      <c r="E101" s="14">
        <f t="shared" ref="E101:E102" si="70">SUM(J101:K101)</f>
        <v>27868755.16</v>
      </c>
      <c r="F101" s="14">
        <f t="shared" ref="F101:F102" si="71">SUM(L101:O101)</f>
        <v>2667679.5099999998</v>
      </c>
      <c r="G101" s="14"/>
      <c r="H101" s="15">
        <v>129479284.5</v>
      </c>
      <c r="I101" s="15">
        <v>0</v>
      </c>
      <c r="J101" s="15">
        <v>27860018.199999999</v>
      </c>
      <c r="K101" s="15">
        <v>8736.9600000000009</v>
      </c>
      <c r="L101" s="15">
        <v>2029368.4300000002</v>
      </c>
      <c r="M101" s="15">
        <v>436319.28</v>
      </c>
      <c r="N101" s="15">
        <v>158046.84</v>
      </c>
      <c r="O101" s="15">
        <v>43944.959999999999</v>
      </c>
    </row>
    <row r="102" spans="1:15" s="8" customFormat="1" x14ac:dyDescent="0.2">
      <c r="A102" s="11">
        <f t="shared" si="51"/>
        <v>20</v>
      </c>
      <c r="B102" s="8" t="s">
        <v>37</v>
      </c>
      <c r="C102" s="11" t="str">
        <f t="shared" si="68"/>
        <v>Exhibit JDT-5, GAS RATE SPREAD DESIGN</v>
      </c>
      <c r="D102" s="14">
        <f t="shared" si="69"/>
        <v>0</v>
      </c>
      <c r="E102" s="14">
        <f t="shared" si="70"/>
        <v>0</v>
      </c>
      <c r="F102" s="14">
        <f t="shared" si="71"/>
        <v>2390973.4200000004</v>
      </c>
      <c r="G102" s="14"/>
      <c r="H102" s="15">
        <v>0</v>
      </c>
      <c r="I102" s="15">
        <v>0</v>
      </c>
      <c r="J102" s="15">
        <v>0</v>
      </c>
      <c r="K102" s="15">
        <v>0</v>
      </c>
      <c r="L102" s="15">
        <v>2235217.0500000003</v>
      </c>
      <c r="M102" s="15">
        <v>148143.6</v>
      </c>
      <c r="N102" s="15">
        <v>7612.77</v>
      </c>
      <c r="O102" s="15">
        <v>0</v>
      </c>
    </row>
    <row r="103" spans="1:15" s="8" customFormat="1" x14ac:dyDescent="0.2">
      <c r="A103" s="11">
        <f t="shared" si="51"/>
        <v>21</v>
      </c>
      <c r="B103" s="8" t="s">
        <v>38</v>
      </c>
      <c r="C103" s="11" t="str">
        <f>"("&amp;A101&amp;") + ("&amp;A102&amp;")"</f>
        <v>(19) + (20)</v>
      </c>
      <c r="D103" s="16">
        <f>SUM(D101:D102)</f>
        <v>129479284.5</v>
      </c>
      <c r="E103" s="16">
        <f>SUM(E101:E102)</f>
        <v>27868755.16</v>
      </c>
      <c r="F103" s="16">
        <f>SUM(F101:F102)</f>
        <v>5058652.93</v>
      </c>
      <c r="G103" s="14"/>
      <c r="H103" s="16">
        <f t="shared" ref="H103:O103" si="72">SUM(H101:H102)</f>
        <v>129479284.5</v>
      </c>
      <c r="I103" s="16">
        <f t="shared" si="72"/>
        <v>0</v>
      </c>
      <c r="J103" s="16">
        <f t="shared" si="72"/>
        <v>27860018.199999999</v>
      </c>
      <c r="K103" s="16">
        <f t="shared" si="72"/>
        <v>8736.9600000000009</v>
      </c>
      <c r="L103" s="16">
        <f t="shared" si="72"/>
        <v>4264585.4800000004</v>
      </c>
      <c r="M103" s="16">
        <f t="shared" si="72"/>
        <v>584462.88</v>
      </c>
      <c r="N103" s="16">
        <f t="shared" si="72"/>
        <v>165659.60999999999</v>
      </c>
      <c r="O103" s="16">
        <f t="shared" si="72"/>
        <v>43944.959999999999</v>
      </c>
    </row>
    <row r="104" spans="1:15" s="8" customFormat="1" x14ac:dyDescent="0.2">
      <c r="A104" s="11">
        <f t="shared" si="51"/>
        <v>22</v>
      </c>
      <c r="C104" s="11"/>
      <c r="D104" s="14"/>
      <c r="E104" s="14"/>
      <c r="F104" s="14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s="8" customFormat="1" ht="12" thickBot="1" x14ac:dyDescent="0.25">
      <c r="A105" s="11">
        <f t="shared" si="51"/>
        <v>23</v>
      </c>
      <c r="B105" s="8" t="s">
        <v>39</v>
      </c>
      <c r="C105" s="11" t="str">
        <f>"("&amp;A99&amp;") - ("&amp;A103&amp;")"</f>
        <v>(17) - (21)</v>
      </c>
      <c r="D105" s="17">
        <f>D99-D103</f>
        <v>395285577.33803004</v>
      </c>
      <c r="E105" s="17">
        <f>E99-E103</f>
        <v>152464921.08378002</v>
      </c>
      <c r="F105" s="17">
        <f>F99-F103</f>
        <v>28154798.473462813</v>
      </c>
      <c r="G105" s="15"/>
      <c r="H105" s="17">
        <f t="shared" ref="H105:O105" si="73">H99-H103</f>
        <v>395285577.33803004</v>
      </c>
      <c r="I105" s="17">
        <f t="shared" si="73"/>
        <v>0</v>
      </c>
      <c r="J105" s="17">
        <f t="shared" si="73"/>
        <v>152444883.10878003</v>
      </c>
      <c r="K105" s="17">
        <f t="shared" si="73"/>
        <v>20037.974999999999</v>
      </c>
      <c r="L105" s="17">
        <f t="shared" si="73"/>
        <v>19883010.016499996</v>
      </c>
      <c r="M105" s="17">
        <f t="shared" si="73"/>
        <v>6984398.9016000004</v>
      </c>
      <c r="N105" s="17">
        <f t="shared" si="73"/>
        <v>1143320.6741712792</v>
      </c>
      <c r="O105" s="17">
        <f t="shared" si="73"/>
        <v>144068.88119153469</v>
      </c>
    </row>
    <row r="106" spans="1:15" s="8" customFormat="1" ht="12" thickTop="1" x14ac:dyDescent="0.2">
      <c r="A106" s="11">
        <f t="shared" si="51"/>
        <v>24</v>
      </c>
      <c r="G106" s="19"/>
    </row>
    <row r="107" spans="1:15" s="8" customFormat="1" x14ac:dyDescent="0.2">
      <c r="A107" s="11">
        <f t="shared" si="51"/>
        <v>25</v>
      </c>
      <c r="B107" s="8" t="s">
        <v>45</v>
      </c>
      <c r="D107" s="14">
        <f>D105-D93</f>
        <v>14369334.789710045</v>
      </c>
      <c r="E107" s="14">
        <f>E105-E93</f>
        <v>6216524.13301</v>
      </c>
      <c r="F107" s="14">
        <f>F105-F93</f>
        <v>1032185.4296454899</v>
      </c>
      <c r="H107" s="14">
        <f t="shared" ref="H107:O107" si="74">H105-H93</f>
        <v>14369334.789710045</v>
      </c>
      <c r="I107" s="14">
        <f t="shared" si="74"/>
        <v>0</v>
      </c>
      <c r="J107" s="14">
        <f t="shared" si="74"/>
        <v>6216111.7458399832</v>
      </c>
      <c r="K107" s="14">
        <f t="shared" si="74"/>
        <v>412.38717000000179</v>
      </c>
      <c r="L107" s="14">
        <f t="shared" si="74"/>
        <v>565402.92171999812</v>
      </c>
      <c r="M107" s="14">
        <f t="shared" si="74"/>
        <v>453694.38842000067</v>
      </c>
      <c r="N107" s="14">
        <f t="shared" si="74"/>
        <v>480.9157323720865</v>
      </c>
      <c r="O107" s="14">
        <f t="shared" si="74"/>
        <v>12607.203773114277</v>
      </c>
    </row>
    <row r="108" spans="1:15" s="8" customFormat="1" ht="12" thickBot="1" x14ac:dyDescent="0.25">
      <c r="A108" s="11">
        <f t="shared" si="51"/>
        <v>26</v>
      </c>
      <c r="B108" s="8" t="s">
        <v>46</v>
      </c>
      <c r="D108" s="14"/>
      <c r="E108" s="14"/>
      <c r="F108" s="17">
        <f>SUM(D107:F107)</f>
        <v>21618044.352365535</v>
      </c>
      <c r="H108" s="14"/>
      <c r="I108" s="14"/>
      <c r="J108" s="14"/>
      <c r="K108" s="14"/>
      <c r="L108" s="14"/>
      <c r="M108" s="14"/>
      <c r="N108" s="14"/>
      <c r="O108" s="14"/>
    </row>
    <row r="109" spans="1:15" s="8" customFormat="1" ht="12" thickTop="1" x14ac:dyDescent="0.2"/>
    <row r="110" spans="1:15" s="8" customFormat="1" x14ac:dyDescent="0.2"/>
  </sheetData>
  <mergeCells count="15">
    <mergeCell ref="A76:O76"/>
    <mergeCell ref="A77:O77"/>
    <mergeCell ref="A78:O78"/>
    <mergeCell ref="A37:O37"/>
    <mergeCell ref="A38:O38"/>
    <mergeCell ref="A39:O39"/>
    <mergeCell ref="A40:O40"/>
    <mergeCell ref="A74:O74"/>
    <mergeCell ref="A75:O75"/>
    <mergeCell ref="A1:O1"/>
    <mergeCell ref="A2:O2"/>
    <mergeCell ref="A3:O3"/>
    <mergeCell ref="A4:O4"/>
    <mergeCell ref="A5:O5"/>
    <mergeCell ref="A36:O36"/>
  </mergeCells>
  <printOptions horizontalCentered="1"/>
  <pageMargins left="0.45" right="0.45" top="0.75" bottom="0.75" header="0.3" footer="0.3"/>
  <pageSetup scale="57" fitToHeight="3" orientation="landscape" blackAndWhite="1" horizontalDpi="1200" verticalDpi="1200" r:id="rId1"/>
  <headerFooter>
    <oddFooter>&amp;R&amp;A
 Page &amp;P of &amp;N</oddFooter>
  </headerFooter>
  <rowBreaks count="2" manualBreakCount="2">
    <brk id="35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zoomScaleNormal="100" workbookViewId="0">
      <pane ySplit="8" topLeftCell="A9" activePane="bottomLeft" state="frozen"/>
      <selection sqref="A1:R1"/>
      <selection pane="bottomLeft" sqref="A1:R1"/>
    </sheetView>
  </sheetViews>
  <sheetFormatPr defaultColWidth="9.140625" defaultRowHeight="11.25" x14ac:dyDescent="0.2"/>
  <cols>
    <col min="1" max="1" width="5.28515625" style="2" customWidth="1"/>
    <col min="2" max="2" width="42.7109375" style="2" bestFit="1" customWidth="1"/>
    <col min="3" max="3" width="41.140625" style="2" bestFit="1" customWidth="1"/>
    <col min="4" max="4" width="16.140625" style="2" bestFit="1" customWidth="1"/>
    <col min="5" max="5" width="11.5703125" style="2" bestFit="1" customWidth="1"/>
    <col min="6" max="6" width="13.7109375" style="2" bestFit="1" customWidth="1"/>
    <col min="7" max="16384" width="9.140625" style="2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tr">
        <f>'Exh. JDT-7 (Delivery Rev)'!A2</f>
        <v>2022 General Rate Case (GRC)</v>
      </c>
      <c r="B2" s="1"/>
      <c r="C2" s="1"/>
      <c r="D2" s="1"/>
      <c r="E2" s="1"/>
      <c r="F2" s="1"/>
    </row>
    <row r="3" spans="1:6" x14ac:dyDescent="0.2">
      <c r="A3" s="1" t="s">
        <v>2</v>
      </c>
      <c r="B3" s="1"/>
      <c r="C3" s="1"/>
      <c r="D3" s="1"/>
      <c r="E3" s="1"/>
      <c r="F3" s="1"/>
    </row>
    <row r="4" spans="1:6" x14ac:dyDescent="0.2">
      <c r="A4" s="1" t="s">
        <v>52</v>
      </c>
      <c r="B4" s="1"/>
      <c r="C4" s="1"/>
      <c r="D4" s="1"/>
      <c r="E4" s="1"/>
      <c r="F4" s="1"/>
    </row>
    <row r="5" spans="1:6" x14ac:dyDescent="0.2">
      <c r="A5" s="1" t="str">
        <f>'Exh. JDT-7 (Delivery Rev)'!A5</f>
        <v>Proposed Effective January 1, 2023</v>
      </c>
      <c r="B5" s="1"/>
      <c r="C5" s="1"/>
      <c r="D5" s="1"/>
      <c r="E5" s="1"/>
      <c r="F5" s="1"/>
    </row>
    <row r="6" spans="1:6" x14ac:dyDescent="0.2">
      <c r="A6" s="8"/>
      <c r="B6" s="8"/>
      <c r="C6" s="8"/>
      <c r="D6" s="8"/>
      <c r="E6" s="8"/>
      <c r="F6" s="8"/>
    </row>
    <row r="7" spans="1:6" x14ac:dyDescent="0.2">
      <c r="A7" s="6" t="s">
        <v>5</v>
      </c>
      <c r="B7" s="8"/>
      <c r="C7" s="8"/>
      <c r="D7" s="6" t="s">
        <v>6</v>
      </c>
      <c r="E7" s="6" t="s">
        <v>6</v>
      </c>
      <c r="F7" s="6" t="s">
        <v>6</v>
      </c>
    </row>
    <row r="8" spans="1:6" x14ac:dyDescent="0.2">
      <c r="A8" s="9" t="s">
        <v>7</v>
      </c>
      <c r="B8" s="23"/>
      <c r="C8" s="9" t="s">
        <v>8</v>
      </c>
      <c r="D8" s="9" t="s">
        <v>9</v>
      </c>
      <c r="E8" s="9" t="s">
        <v>10</v>
      </c>
      <c r="F8" s="9" t="s">
        <v>11</v>
      </c>
    </row>
    <row r="9" spans="1:6" x14ac:dyDescent="0.2">
      <c r="A9" s="8"/>
      <c r="B9" s="11" t="s">
        <v>20</v>
      </c>
      <c r="C9" s="11" t="s">
        <v>21</v>
      </c>
      <c r="D9" s="11" t="s">
        <v>53</v>
      </c>
      <c r="E9" s="11" t="s">
        <v>54</v>
      </c>
      <c r="F9" s="11" t="s">
        <v>55</v>
      </c>
    </row>
    <row r="10" spans="1:6" x14ac:dyDescent="0.2">
      <c r="A10" s="11">
        <v>1</v>
      </c>
      <c r="B10" s="12" t="s">
        <v>33</v>
      </c>
      <c r="C10" s="11"/>
      <c r="D10" s="11"/>
      <c r="E10" s="11"/>
      <c r="F10" s="11"/>
    </row>
    <row r="11" spans="1:6" x14ac:dyDescent="0.2">
      <c r="A11" s="11">
        <f>A10+1</f>
        <v>2</v>
      </c>
      <c r="B11" s="8" t="s">
        <v>56</v>
      </c>
      <c r="C11" s="13" t="s">
        <v>57</v>
      </c>
      <c r="D11" s="14">
        <f>'Exh. JDT-7 (Delivery Rev)'!D17</f>
        <v>255664962.97000003</v>
      </c>
      <c r="E11" s="14">
        <f>'Exh. JDT-7 (Delivery Rev)'!E17</f>
        <v>92094100.75999999</v>
      </c>
      <c r="F11" s="14">
        <f>'Exh. JDT-7 (Delivery Rev)'!F17</f>
        <v>18177444.90333347</v>
      </c>
    </row>
    <row r="12" spans="1:6" x14ac:dyDescent="0.2">
      <c r="A12" s="11">
        <f t="shared" ref="A12:A20" si="0">A11+1</f>
        <v>3</v>
      </c>
      <c r="B12" s="8" t="s">
        <v>58</v>
      </c>
      <c r="C12" s="13" t="s">
        <v>59</v>
      </c>
      <c r="D12" s="24">
        <v>772124</v>
      </c>
      <c r="E12" s="24">
        <v>56692</v>
      </c>
      <c r="F12" s="24">
        <v>1670</v>
      </c>
    </row>
    <row r="13" spans="1:6" ht="12" thickBot="1" x14ac:dyDescent="0.25">
      <c r="A13" s="11">
        <f t="shared" si="0"/>
        <v>4</v>
      </c>
      <c r="B13" s="8" t="s">
        <v>60</v>
      </c>
      <c r="C13" s="11" t="str">
        <f>"("&amp;A11&amp;") / ("&amp;A12&amp;")"</f>
        <v>(2) / (3)</v>
      </c>
      <c r="D13" s="25">
        <f>ROUND(D11/D12,2)</f>
        <v>331.12</v>
      </c>
      <c r="E13" s="25">
        <f>ROUND(E11/E12,2)</f>
        <v>1624.46</v>
      </c>
      <c r="F13" s="25">
        <f>ROUND(F11/F12,2)</f>
        <v>10884.7</v>
      </c>
    </row>
    <row r="14" spans="1:6" ht="12" thickTop="1" x14ac:dyDescent="0.2">
      <c r="A14" s="11">
        <f t="shared" si="0"/>
        <v>5</v>
      </c>
      <c r="B14" s="12"/>
      <c r="C14" s="11"/>
      <c r="D14" s="11"/>
      <c r="E14" s="11"/>
      <c r="F14" s="11"/>
    </row>
    <row r="15" spans="1:6" x14ac:dyDescent="0.2">
      <c r="A15" s="11">
        <f t="shared" si="0"/>
        <v>6</v>
      </c>
      <c r="B15" s="12" t="s">
        <v>40</v>
      </c>
      <c r="C15" s="11"/>
      <c r="D15" s="11"/>
      <c r="E15" s="11"/>
      <c r="F15" s="11"/>
    </row>
    <row r="16" spans="1:6" x14ac:dyDescent="0.2">
      <c r="A16" s="11">
        <f t="shared" si="0"/>
        <v>7</v>
      </c>
      <c r="B16" s="8" t="s">
        <v>56</v>
      </c>
      <c r="C16" s="13" t="str">
        <f>C11</f>
        <v>Exhibit JDT-7, Page 1</v>
      </c>
      <c r="D16" s="14">
        <f>'Exh. JDT-7 (Delivery Rev)'!D29</f>
        <v>360611425.79787004</v>
      </c>
      <c r="E16" s="14">
        <f>'Exh. JDT-7 (Delivery Rev)'!E29</f>
        <v>137108773.00221997</v>
      </c>
      <c r="F16" s="14">
        <f>'Exh. JDT-7 (Delivery Rev)'!F29</f>
        <v>25687338.808284588</v>
      </c>
    </row>
    <row r="17" spans="1:6" x14ac:dyDescent="0.2">
      <c r="A17" s="11">
        <f t="shared" si="0"/>
        <v>8</v>
      </c>
      <c r="B17" s="8" t="s">
        <v>61</v>
      </c>
      <c r="C17" s="13" t="s">
        <v>62</v>
      </c>
      <c r="D17" s="24">
        <v>820442.75</v>
      </c>
      <c r="E17" s="24">
        <v>58322.25</v>
      </c>
      <c r="F17" s="24">
        <v>1509.25</v>
      </c>
    </row>
    <row r="18" spans="1:6" ht="12" thickBot="1" x14ac:dyDescent="0.25">
      <c r="A18" s="11">
        <f t="shared" si="0"/>
        <v>9</v>
      </c>
      <c r="B18" s="8" t="s">
        <v>60</v>
      </c>
      <c r="C18" s="11" t="str">
        <f>"("&amp;A16&amp;") / ("&amp;A17&amp;")"</f>
        <v>(7) / (8)</v>
      </c>
      <c r="D18" s="25">
        <f>ROUND(D16/D17,2)</f>
        <v>439.53</v>
      </c>
      <c r="E18" s="25">
        <f>ROUND(E16/E17,2)</f>
        <v>2350.88</v>
      </c>
      <c r="F18" s="25">
        <f>ROUND(F16/F17,2)</f>
        <v>17019.939999999999</v>
      </c>
    </row>
    <row r="19" spans="1:6" ht="12" thickTop="1" x14ac:dyDescent="0.2">
      <c r="A19" s="11">
        <f t="shared" si="0"/>
        <v>10</v>
      </c>
      <c r="B19" s="8"/>
      <c r="C19" s="8"/>
      <c r="D19" s="8"/>
      <c r="E19" s="8"/>
      <c r="F19" s="8"/>
    </row>
    <row r="20" spans="1:6" x14ac:dyDescent="0.2">
      <c r="A20" s="11">
        <f t="shared" si="0"/>
        <v>11</v>
      </c>
      <c r="B20" s="2" t="s">
        <v>63</v>
      </c>
      <c r="D20" s="20">
        <f>D18-D13</f>
        <v>108.40999999999997</v>
      </c>
      <c r="E20" s="20">
        <f>E18-E13</f>
        <v>726.42000000000007</v>
      </c>
      <c r="F20" s="20">
        <f>F18-F13</f>
        <v>6135.239999999998</v>
      </c>
    </row>
    <row r="22" spans="1:6" ht="4.5" customHeight="1" x14ac:dyDescent="0.2">
      <c r="A22" s="22"/>
      <c r="B22" s="22"/>
      <c r="C22" s="22"/>
      <c r="D22" s="22"/>
      <c r="E22" s="22"/>
      <c r="F22" s="22"/>
    </row>
    <row r="24" spans="1:6" x14ac:dyDescent="0.2">
      <c r="A24" s="1" t="str">
        <f>A1</f>
        <v>Puget Sound Energy</v>
      </c>
      <c r="B24" s="1"/>
      <c r="C24" s="1"/>
      <c r="D24" s="1"/>
      <c r="E24" s="1"/>
      <c r="F24" s="1"/>
    </row>
    <row r="25" spans="1:6" x14ac:dyDescent="0.2">
      <c r="A25" s="1" t="str">
        <f t="shared" ref="A25:A27" si="1">A2</f>
        <v>2022 General Rate Case (GRC)</v>
      </c>
      <c r="B25" s="1"/>
      <c r="C25" s="1"/>
      <c r="D25" s="1"/>
      <c r="E25" s="1"/>
      <c r="F25" s="1"/>
    </row>
    <row r="26" spans="1:6" x14ac:dyDescent="0.2">
      <c r="A26" s="1" t="str">
        <f t="shared" si="1"/>
        <v>Gas Decoupling Mechanism (Schedule 142)</v>
      </c>
      <c r="B26" s="1"/>
      <c r="C26" s="1"/>
      <c r="D26" s="1"/>
      <c r="E26" s="1"/>
      <c r="F26" s="1"/>
    </row>
    <row r="27" spans="1:6" x14ac:dyDescent="0.2">
      <c r="A27" s="1" t="str">
        <f t="shared" si="1"/>
        <v>Development of Allowed Delivery Revenue Per Customer</v>
      </c>
      <c r="B27" s="1"/>
      <c r="C27" s="1"/>
      <c r="D27" s="1"/>
      <c r="E27" s="1"/>
      <c r="F27" s="1"/>
    </row>
    <row r="28" spans="1:6" x14ac:dyDescent="0.2">
      <c r="A28" s="1" t="str">
        <f>'Exh. JDT-7 (Delivery Rev)'!A40:O40</f>
        <v>Proposed Effective January 1, 2024</v>
      </c>
      <c r="B28" s="1"/>
      <c r="C28" s="1"/>
      <c r="D28" s="1"/>
      <c r="E28" s="1"/>
      <c r="F28" s="1"/>
    </row>
    <row r="29" spans="1:6" x14ac:dyDescent="0.2">
      <c r="A29" s="8"/>
      <c r="B29" s="8"/>
      <c r="C29" s="8"/>
      <c r="D29" s="8"/>
      <c r="E29" s="8"/>
      <c r="F29" s="8"/>
    </row>
    <row r="30" spans="1:6" x14ac:dyDescent="0.2">
      <c r="A30" s="6" t="s">
        <v>5</v>
      </c>
      <c r="B30" s="8"/>
      <c r="C30" s="8"/>
      <c r="D30" s="6" t="s">
        <v>6</v>
      </c>
      <c r="E30" s="6" t="s">
        <v>6</v>
      </c>
      <c r="F30" s="6" t="s">
        <v>6</v>
      </c>
    </row>
    <row r="31" spans="1:6" x14ac:dyDescent="0.2">
      <c r="A31" s="9" t="s">
        <v>7</v>
      </c>
      <c r="B31" s="23"/>
      <c r="C31" s="9" t="s">
        <v>8</v>
      </c>
      <c r="D31" s="9" t="s">
        <v>9</v>
      </c>
      <c r="E31" s="9" t="s">
        <v>10</v>
      </c>
      <c r="F31" s="9" t="s">
        <v>11</v>
      </c>
    </row>
    <row r="32" spans="1:6" x14ac:dyDescent="0.2">
      <c r="A32" s="8"/>
      <c r="B32" s="11" t="s">
        <v>20</v>
      </c>
      <c r="C32" s="11" t="s">
        <v>21</v>
      </c>
      <c r="D32" s="11" t="s">
        <v>53</v>
      </c>
      <c r="E32" s="11" t="s">
        <v>54</v>
      </c>
      <c r="F32" s="11" t="s">
        <v>55</v>
      </c>
    </row>
    <row r="33" spans="1:7" x14ac:dyDescent="0.2">
      <c r="A33" s="11">
        <v>1</v>
      </c>
      <c r="B33" s="12" t="s">
        <v>33</v>
      </c>
      <c r="C33" s="11"/>
      <c r="D33" s="11"/>
      <c r="E33" s="11"/>
      <c r="F33" s="11"/>
      <c r="G33" s="8"/>
    </row>
    <row r="34" spans="1:7" x14ac:dyDescent="0.2">
      <c r="A34" s="11">
        <f>A33+1</f>
        <v>2</v>
      </c>
      <c r="B34" s="8" t="s">
        <v>56</v>
      </c>
      <c r="C34" s="13" t="str">
        <f>C16</f>
        <v>Exhibit JDT-7, Page 1</v>
      </c>
      <c r="D34" s="14">
        <f>D16</f>
        <v>360611425.79787004</v>
      </c>
      <c r="E34" s="14">
        <f t="shared" ref="E34:F35" si="2">E16</f>
        <v>137108773.00221997</v>
      </c>
      <c r="F34" s="14">
        <f t="shared" si="2"/>
        <v>25687338.808284588</v>
      </c>
      <c r="G34" s="8"/>
    </row>
    <row r="35" spans="1:7" x14ac:dyDescent="0.2">
      <c r="A35" s="11">
        <f t="shared" ref="A35:A43" si="3">A34+1</f>
        <v>3</v>
      </c>
      <c r="B35" s="8" t="s">
        <v>64</v>
      </c>
      <c r="C35" s="13" t="str">
        <f>C17</f>
        <v>Work Papers, Billing Determinants</v>
      </c>
      <c r="D35" s="24">
        <f>D17</f>
        <v>820442.75</v>
      </c>
      <c r="E35" s="24">
        <f t="shared" si="2"/>
        <v>58322.25</v>
      </c>
      <c r="F35" s="24">
        <f t="shared" si="2"/>
        <v>1509.25</v>
      </c>
      <c r="G35" s="8"/>
    </row>
    <row r="36" spans="1:7" ht="12" thickBot="1" x14ac:dyDescent="0.25">
      <c r="A36" s="11">
        <f t="shared" si="3"/>
        <v>4</v>
      </c>
      <c r="B36" s="8" t="s">
        <v>60</v>
      </c>
      <c r="C36" s="11" t="str">
        <f>"("&amp;A34&amp;") / ("&amp;A35&amp;")"</f>
        <v>(2) / (3)</v>
      </c>
      <c r="D36" s="25">
        <f>ROUND(D34/D35,2)</f>
        <v>439.53</v>
      </c>
      <c r="E36" s="25">
        <f>ROUND(E34/E35,2)</f>
        <v>2350.88</v>
      </c>
      <c r="F36" s="25">
        <f>ROUND(F34/F35,2)</f>
        <v>17019.939999999999</v>
      </c>
      <c r="G36" s="8"/>
    </row>
    <row r="37" spans="1:7" ht="12" thickTop="1" x14ac:dyDescent="0.2">
      <c r="A37" s="11">
        <f t="shared" si="3"/>
        <v>5</v>
      </c>
      <c r="B37" s="12"/>
      <c r="C37" s="11"/>
      <c r="D37" s="11"/>
      <c r="E37" s="11"/>
      <c r="F37" s="11"/>
      <c r="G37" s="8"/>
    </row>
    <row r="38" spans="1:7" x14ac:dyDescent="0.2">
      <c r="A38" s="11">
        <f t="shared" si="3"/>
        <v>6</v>
      </c>
      <c r="B38" s="12" t="s">
        <v>40</v>
      </c>
      <c r="C38" s="11"/>
      <c r="D38" s="11"/>
      <c r="E38" s="11"/>
      <c r="F38" s="11"/>
      <c r="G38" s="8"/>
    </row>
    <row r="39" spans="1:7" x14ac:dyDescent="0.2">
      <c r="A39" s="11">
        <f t="shared" si="3"/>
        <v>7</v>
      </c>
      <c r="B39" s="8" t="s">
        <v>56</v>
      </c>
      <c r="C39" s="13" t="str">
        <f>C16</f>
        <v>Exhibit JDT-7, Page 1</v>
      </c>
      <c r="D39" s="14">
        <f>'Exh. JDT-7 (Delivery Rev)'!D67</f>
        <v>380916242.54832</v>
      </c>
      <c r="E39" s="14">
        <f>'Exh. JDT-7 (Delivery Rev)'!E67</f>
        <v>146248396.95077002</v>
      </c>
      <c r="F39" s="14">
        <f>'Exh. JDT-7 (Delivery Rev)'!F67</f>
        <v>27122613.043817323</v>
      </c>
      <c r="G39" s="8"/>
    </row>
    <row r="40" spans="1:7" x14ac:dyDescent="0.2">
      <c r="A40" s="11">
        <f t="shared" si="3"/>
        <v>8</v>
      </c>
      <c r="B40" s="8" t="s">
        <v>61</v>
      </c>
      <c r="C40" s="13" t="str">
        <f>C17</f>
        <v>Work Papers, Billing Determinants</v>
      </c>
      <c r="D40" s="24">
        <v>829947.08333333337</v>
      </c>
      <c r="E40" s="24">
        <v>58632.666666666664</v>
      </c>
      <c r="F40" s="24">
        <v>1502.75</v>
      </c>
      <c r="G40" s="8"/>
    </row>
    <row r="41" spans="1:7" ht="12" thickBot="1" x14ac:dyDescent="0.25">
      <c r="A41" s="11">
        <f t="shared" si="3"/>
        <v>9</v>
      </c>
      <c r="B41" s="8" t="s">
        <v>60</v>
      </c>
      <c r="C41" s="11" t="str">
        <f>"("&amp;A39&amp;") / ("&amp;A40&amp;")"</f>
        <v>(7) / (8)</v>
      </c>
      <c r="D41" s="25">
        <f>ROUND(D39/D40,2)</f>
        <v>458.96</v>
      </c>
      <c r="E41" s="25">
        <f>ROUND(E39/E40,2)</f>
        <v>2494.3200000000002</v>
      </c>
      <c r="F41" s="25">
        <f>ROUND(F39/F40,2)</f>
        <v>18048.650000000001</v>
      </c>
      <c r="G41" s="8"/>
    </row>
    <row r="42" spans="1:7" ht="12" thickTop="1" x14ac:dyDescent="0.2">
      <c r="A42" s="11">
        <f t="shared" si="3"/>
        <v>10</v>
      </c>
      <c r="B42" s="8"/>
      <c r="C42" s="8"/>
      <c r="D42" s="8"/>
      <c r="E42" s="8"/>
      <c r="F42" s="8"/>
      <c r="G42" s="8"/>
    </row>
    <row r="43" spans="1:7" x14ac:dyDescent="0.2">
      <c r="A43" s="11">
        <f t="shared" si="3"/>
        <v>11</v>
      </c>
      <c r="B43" s="2" t="s">
        <v>63</v>
      </c>
      <c r="D43" s="20">
        <f>D41-D36</f>
        <v>19.430000000000007</v>
      </c>
      <c r="E43" s="20">
        <f>E41-E36</f>
        <v>143.44000000000005</v>
      </c>
      <c r="F43" s="20">
        <f>F41-F36</f>
        <v>1028.7100000000028</v>
      </c>
    </row>
    <row r="44" spans="1:7" ht="15.75" customHeight="1" x14ac:dyDescent="0.2"/>
    <row r="45" spans="1:7" ht="4.5" customHeight="1" x14ac:dyDescent="0.2">
      <c r="A45" s="22"/>
      <c r="B45" s="22"/>
      <c r="C45" s="22"/>
      <c r="D45" s="22"/>
      <c r="E45" s="22"/>
      <c r="F45" s="22"/>
    </row>
    <row r="46" spans="1:7" ht="15.75" customHeight="1" x14ac:dyDescent="0.2"/>
    <row r="47" spans="1:7" x14ac:dyDescent="0.2">
      <c r="A47" s="1" t="str">
        <f>A24</f>
        <v>Puget Sound Energy</v>
      </c>
      <c r="B47" s="1"/>
      <c r="C47" s="1"/>
      <c r="D47" s="1"/>
      <c r="E47" s="1"/>
      <c r="F47" s="1"/>
    </row>
    <row r="48" spans="1:7" x14ac:dyDescent="0.2">
      <c r="A48" s="1" t="str">
        <f t="shared" ref="A48:A50" si="4">A25</f>
        <v>2022 General Rate Case (GRC)</v>
      </c>
      <c r="B48" s="1"/>
      <c r="C48" s="1"/>
      <c r="D48" s="1"/>
      <c r="E48" s="1"/>
      <c r="F48" s="1"/>
    </row>
    <row r="49" spans="1:7" x14ac:dyDescent="0.2">
      <c r="A49" s="1" t="str">
        <f t="shared" si="4"/>
        <v>Gas Decoupling Mechanism (Schedule 142)</v>
      </c>
      <c r="B49" s="1"/>
      <c r="C49" s="1"/>
      <c r="D49" s="1"/>
      <c r="E49" s="1"/>
      <c r="F49" s="1"/>
    </row>
    <row r="50" spans="1:7" x14ac:dyDescent="0.2">
      <c r="A50" s="1" t="str">
        <f t="shared" si="4"/>
        <v>Development of Allowed Delivery Revenue Per Customer</v>
      </c>
      <c r="B50" s="1"/>
      <c r="C50" s="1"/>
      <c r="D50" s="1"/>
      <c r="E50" s="1"/>
      <c r="F50" s="1"/>
    </row>
    <row r="51" spans="1:7" x14ac:dyDescent="0.2">
      <c r="A51" s="1" t="str">
        <f>'Exh. JDT-7 (Delivery Rev)'!A78:O78</f>
        <v>Proposed Effective January 1, 2025</v>
      </c>
      <c r="B51" s="1"/>
      <c r="C51" s="1"/>
      <c r="D51" s="1"/>
      <c r="E51" s="1"/>
      <c r="F51" s="1"/>
    </row>
    <row r="52" spans="1:7" x14ac:dyDescent="0.2">
      <c r="A52" s="8"/>
      <c r="B52" s="8"/>
      <c r="C52" s="8"/>
      <c r="D52" s="8"/>
      <c r="E52" s="8"/>
      <c r="F52" s="8"/>
    </row>
    <row r="53" spans="1:7" x14ac:dyDescent="0.2">
      <c r="A53" s="6" t="s">
        <v>5</v>
      </c>
      <c r="B53" s="8"/>
      <c r="C53" s="8"/>
      <c r="D53" s="6" t="s">
        <v>6</v>
      </c>
      <c r="E53" s="6" t="s">
        <v>6</v>
      </c>
      <c r="F53" s="6" t="s">
        <v>6</v>
      </c>
    </row>
    <row r="54" spans="1:7" x14ac:dyDescent="0.2">
      <c r="A54" s="9" t="s">
        <v>7</v>
      </c>
      <c r="B54" s="23"/>
      <c r="C54" s="9" t="s">
        <v>8</v>
      </c>
      <c r="D54" s="9" t="s">
        <v>9</v>
      </c>
      <c r="E54" s="9" t="s">
        <v>10</v>
      </c>
      <c r="F54" s="9" t="s">
        <v>11</v>
      </c>
    </row>
    <row r="55" spans="1:7" x14ac:dyDescent="0.2">
      <c r="A55" s="8"/>
      <c r="B55" s="11" t="s">
        <v>20</v>
      </c>
      <c r="C55" s="11" t="s">
        <v>21</v>
      </c>
      <c r="D55" s="11" t="s">
        <v>53</v>
      </c>
      <c r="E55" s="11" t="s">
        <v>54</v>
      </c>
      <c r="F55" s="11" t="s">
        <v>55</v>
      </c>
    </row>
    <row r="56" spans="1:7" x14ac:dyDescent="0.2">
      <c r="A56" s="11">
        <v>1</v>
      </c>
      <c r="B56" s="12" t="s">
        <v>33</v>
      </c>
      <c r="C56" s="11"/>
      <c r="D56" s="11"/>
      <c r="E56" s="11"/>
      <c r="F56" s="11"/>
    </row>
    <row r="57" spans="1:7" x14ac:dyDescent="0.2">
      <c r="A57" s="11">
        <f>A56+1</f>
        <v>2</v>
      </c>
      <c r="B57" s="8" t="s">
        <v>56</v>
      </c>
      <c r="C57" s="13" t="str">
        <f>C39</f>
        <v>Exhibit JDT-7, Page 1</v>
      </c>
      <c r="D57" s="14">
        <f>D39</f>
        <v>380916242.54832</v>
      </c>
      <c r="E57" s="14">
        <f t="shared" ref="E57:F58" si="5">E39</f>
        <v>146248396.95077002</v>
      </c>
      <c r="F57" s="14">
        <f t="shared" si="5"/>
        <v>27122613.043817323</v>
      </c>
      <c r="G57" s="8"/>
    </row>
    <row r="58" spans="1:7" x14ac:dyDescent="0.2">
      <c r="A58" s="11">
        <f t="shared" ref="A58:A66" si="6">A57+1</f>
        <v>3</v>
      </c>
      <c r="B58" s="8" t="s">
        <v>64</v>
      </c>
      <c r="C58" s="13" t="str">
        <f>C40</f>
        <v>Work Papers, Billing Determinants</v>
      </c>
      <c r="D58" s="24">
        <f>D40</f>
        <v>829947.08333333337</v>
      </c>
      <c r="E58" s="24">
        <f t="shared" si="5"/>
        <v>58632.666666666664</v>
      </c>
      <c r="F58" s="24">
        <f t="shared" si="5"/>
        <v>1502.75</v>
      </c>
      <c r="G58" s="8"/>
    </row>
    <row r="59" spans="1:7" ht="12" thickBot="1" x14ac:dyDescent="0.25">
      <c r="A59" s="11">
        <f t="shared" si="6"/>
        <v>4</v>
      </c>
      <c r="B59" s="8" t="s">
        <v>60</v>
      </c>
      <c r="C59" s="11" t="str">
        <f>"("&amp;A57&amp;") / ("&amp;A58&amp;")"</f>
        <v>(2) / (3)</v>
      </c>
      <c r="D59" s="25">
        <f>ROUND(D57/D58,2)</f>
        <v>458.96</v>
      </c>
      <c r="E59" s="25">
        <f>ROUND(E57/E58,2)</f>
        <v>2494.3200000000002</v>
      </c>
      <c r="F59" s="25">
        <f>ROUND(F57/F58,2)</f>
        <v>18048.650000000001</v>
      </c>
      <c r="G59" s="8"/>
    </row>
    <row r="60" spans="1:7" ht="12" thickTop="1" x14ac:dyDescent="0.2">
      <c r="A60" s="11">
        <f t="shared" si="6"/>
        <v>5</v>
      </c>
      <c r="B60" s="12"/>
      <c r="C60" s="11"/>
      <c r="D60" s="11"/>
      <c r="E60" s="11"/>
      <c r="F60" s="11"/>
      <c r="G60" s="8"/>
    </row>
    <row r="61" spans="1:7" x14ac:dyDescent="0.2">
      <c r="A61" s="11">
        <f t="shared" si="6"/>
        <v>6</v>
      </c>
      <c r="B61" s="12" t="s">
        <v>40</v>
      </c>
      <c r="C61" s="11"/>
      <c r="D61" s="24"/>
      <c r="E61" s="24"/>
      <c r="F61" s="24"/>
      <c r="G61" s="8"/>
    </row>
    <row r="62" spans="1:7" x14ac:dyDescent="0.2">
      <c r="A62" s="11">
        <f t="shared" si="6"/>
        <v>7</v>
      </c>
      <c r="B62" s="8" t="s">
        <v>56</v>
      </c>
      <c r="C62" s="13" t="str">
        <f>C39</f>
        <v>Exhibit JDT-7, Page 1</v>
      </c>
      <c r="D62" s="14">
        <f>'Exh. JDT-7 (Delivery Rev)'!D105</f>
        <v>395285577.33803004</v>
      </c>
      <c r="E62" s="14">
        <f>'Exh. JDT-7 (Delivery Rev)'!E105</f>
        <v>152464921.08378002</v>
      </c>
      <c r="F62" s="14">
        <f>'Exh. JDT-7 (Delivery Rev)'!F105</f>
        <v>28154798.473462813</v>
      </c>
      <c r="G62" s="8"/>
    </row>
    <row r="63" spans="1:7" x14ac:dyDescent="0.2">
      <c r="A63" s="11">
        <f t="shared" si="6"/>
        <v>8</v>
      </c>
      <c r="B63" s="8" t="s">
        <v>61</v>
      </c>
      <c r="C63" s="13" t="str">
        <f>C40</f>
        <v>Work Papers, Billing Determinants</v>
      </c>
      <c r="D63" s="24">
        <v>839319.16666666663</v>
      </c>
      <c r="E63" s="24">
        <v>58852.916666666664</v>
      </c>
      <c r="F63" s="24">
        <v>1494.0833333333333</v>
      </c>
      <c r="G63" s="8"/>
    </row>
    <row r="64" spans="1:7" ht="12" thickBot="1" x14ac:dyDescent="0.25">
      <c r="A64" s="11">
        <f t="shared" si="6"/>
        <v>9</v>
      </c>
      <c r="B64" s="8" t="s">
        <v>60</v>
      </c>
      <c r="C64" s="11" t="str">
        <f>"("&amp;A62&amp;") / ("&amp;A63&amp;")"</f>
        <v>(7) / (8)</v>
      </c>
      <c r="D64" s="25">
        <f>ROUND(D62/D63,2)</f>
        <v>470.96</v>
      </c>
      <c r="E64" s="25">
        <f>ROUND(E62/E63,2)</f>
        <v>2590.61</v>
      </c>
      <c r="F64" s="25">
        <f>ROUND(F62/F63,2)</f>
        <v>18844.2</v>
      </c>
      <c r="G64" s="8"/>
    </row>
    <row r="65" spans="1:7" ht="12" thickTop="1" x14ac:dyDescent="0.2">
      <c r="A65" s="11">
        <f t="shared" si="6"/>
        <v>10</v>
      </c>
      <c r="B65" s="8"/>
      <c r="C65" s="8"/>
      <c r="D65" s="8"/>
      <c r="E65" s="8"/>
      <c r="F65" s="8"/>
      <c r="G65" s="8"/>
    </row>
    <row r="66" spans="1:7" x14ac:dyDescent="0.2">
      <c r="A66" s="11">
        <f t="shared" si="6"/>
        <v>11</v>
      </c>
      <c r="B66" s="2" t="s">
        <v>63</v>
      </c>
      <c r="C66" s="8"/>
      <c r="D66" s="14">
        <f>D64-D59</f>
        <v>12</v>
      </c>
      <c r="E66" s="14">
        <f>E64-E59</f>
        <v>96.289999999999964</v>
      </c>
      <c r="F66" s="14">
        <f>F64-F59</f>
        <v>795.54999999999927</v>
      </c>
      <c r="G66" s="8"/>
    </row>
    <row r="67" spans="1:7" x14ac:dyDescent="0.2">
      <c r="C67" s="8"/>
      <c r="D67" s="8"/>
      <c r="E67" s="8"/>
      <c r="F67" s="8"/>
      <c r="G67" s="8"/>
    </row>
  </sheetData>
  <mergeCells count="15">
    <mergeCell ref="A49:F49"/>
    <mergeCell ref="A50:F50"/>
    <mergeCell ref="A51:F51"/>
    <mergeCell ref="A25:F25"/>
    <mergeCell ref="A26:F26"/>
    <mergeCell ref="A27:F27"/>
    <mergeCell ref="A28:F28"/>
    <mergeCell ref="A47:F47"/>
    <mergeCell ref="A48:F48"/>
    <mergeCell ref="A1:F1"/>
    <mergeCell ref="A2:F2"/>
    <mergeCell ref="A3:F3"/>
    <mergeCell ref="A4:F4"/>
    <mergeCell ref="A5:F5"/>
    <mergeCell ref="A24:F24"/>
  </mergeCells>
  <printOptions horizontalCentered="1"/>
  <pageMargins left="0.7" right="0.7" top="0.75" bottom="0.75" header="0.3" footer="0.3"/>
  <pageSetup scale="70" orientation="landscape" blackAndWhite="1" horizontalDpi="1200" verticalDpi="12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zoomScaleNormal="100" workbookViewId="0">
      <pane ySplit="8" topLeftCell="A38" activePane="bottomLeft" state="frozen"/>
      <selection sqref="A1:R1"/>
      <selection pane="bottomLeft" sqref="A1:R1"/>
    </sheetView>
  </sheetViews>
  <sheetFormatPr defaultColWidth="9.140625" defaultRowHeight="15" customHeight="1" x14ac:dyDescent="0.2"/>
  <cols>
    <col min="1" max="1" width="5.5703125" style="8" bestFit="1" customWidth="1"/>
    <col min="2" max="2" width="1" style="8" customWidth="1"/>
    <col min="3" max="3" width="51.140625" style="19" customWidth="1"/>
    <col min="4" max="4" width="6.5703125" style="19" bestFit="1" customWidth="1"/>
    <col min="5" max="5" width="33.140625" style="19" bestFit="1" customWidth="1"/>
    <col min="6" max="6" width="14.7109375" style="19" bestFit="1" customWidth="1"/>
    <col min="7" max="7" width="19.140625" style="19" bestFit="1" customWidth="1"/>
    <col min="8" max="9" width="18.85546875" style="19" bestFit="1" customWidth="1"/>
    <col min="10" max="10" width="20.5703125" style="19" bestFit="1" customWidth="1"/>
    <col min="11" max="11" width="1" style="8" customWidth="1"/>
    <col min="12" max="12" width="14.7109375" style="8" bestFit="1" customWidth="1"/>
    <col min="13" max="13" width="1" style="8" customWidth="1"/>
    <col min="14" max="14" width="13.42578125" style="8" bestFit="1" customWidth="1"/>
    <col min="15" max="15" width="1" style="8" customWidth="1"/>
    <col min="16" max="16" width="5.5703125" style="8" bestFit="1" customWidth="1"/>
    <col min="17" max="17" width="1" style="8" customWidth="1"/>
    <col min="18" max="18" width="51.140625" style="19" customWidth="1"/>
    <col min="19" max="19" width="6.5703125" style="19" bestFit="1" customWidth="1"/>
    <col min="20" max="20" width="33.140625" style="19" bestFit="1" customWidth="1"/>
    <col min="21" max="21" width="14.7109375" style="19" bestFit="1" customWidth="1"/>
    <col min="22" max="22" width="19.140625" style="19" bestFit="1" customWidth="1"/>
    <col min="23" max="24" width="18.85546875" style="19" bestFit="1" customWidth="1"/>
    <col min="25" max="25" width="20.5703125" style="19" bestFit="1" customWidth="1"/>
    <col min="26" max="26" width="1" style="8" customWidth="1"/>
    <col min="27" max="27" width="14.7109375" style="8" bestFit="1" customWidth="1"/>
    <col min="28" max="28" width="1" style="8" customWidth="1"/>
    <col min="29" max="29" width="13.42578125" style="8" bestFit="1" customWidth="1"/>
    <col min="30" max="30" width="1" style="8" customWidth="1"/>
    <col min="31" max="31" width="5.5703125" style="8" bestFit="1" customWidth="1"/>
    <col min="32" max="32" width="1" style="8" customWidth="1"/>
    <col min="33" max="33" width="51.140625" style="19" customWidth="1"/>
    <col min="34" max="34" width="6.5703125" style="19" bestFit="1" customWidth="1"/>
    <col min="35" max="35" width="33.140625" style="19" bestFit="1" customWidth="1"/>
    <col min="36" max="36" width="14.7109375" style="19" bestFit="1" customWidth="1"/>
    <col min="37" max="37" width="19.140625" style="19" bestFit="1" customWidth="1"/>
    <col min="38" max="39" width="18.85546875" style="19" bestFit="1" customWidth="1"/>
    <col min="40" max="40" width="20.5703125" style="19" bestFit="1" customWidth="1"/>
    <col min="41" max="41" width="1" style="8" customWidth="1"/>
    <col min="42" max="42" width="14.7109375" style="8" bestFit="1" customWidth="1"/>
    <col min="43" max="43" width="1" style="8" customWidth="1"/>
    <col min="44" max="44" width="13.42578125" style="8" bestFit="1" customWidth="1"/>
    <col min="45" max="16384" width="9.140625" style="8"/>
  </cols>
  <sheetData>
    <row r="1" spans="1:4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6"/>
      <c r="L1" s="26"/>
      <c r="M1" s="26"/>
      <c r="N1" s="26"/>
      <c r="O1" s="27"/>
      <c r="P1" s="1" t="str">
        <f>A1</f>
        <v>Puget Sound Energy</v>
      </c>
      <c r="Q1" s="1"/>
      <c r="R1" s="1"/>
      <c r="S1" s="1"/>
      <c r="T1" s="1"/>
      <c r="U1" s="1"/>
      <c r="V1" s="1"/>
      <c r="W1" s="1"/>
      <c r="X1" s="1"/>
      <c r="Y1" s="1"/>
      <c r="Z1" s="26"/>
      <c r="AA1" s="26"/>
      <c r="AB1" s="26"/>
      <c r="AC1" s="26"/>
      <c r="AD1" s="27"/>
      <c r="AE1" s="1" t="str">
        <f>P1</f>
        <v>Puget Sound Energy</v>
      </c>
      <c r="AF1" s="1"/>
      <c r="AG1" s="1"/>
      <c r="AH1" s="1"/>
      <c r="AI1" s="1"/>
      <c r="AJ1" s="1"/>
      <c r="AK1" s="1"/>
      <c r="AL1" s="1"/>
      <c r="AM1" s="1"/>
      <c r="AN1" s="1"/>
      <c r="AO1" s="26"/>
      <c r="AP1" s="26"/>
      <c r="AQ1" s="26"/>
      <c r="AR1" s="26"/>
    </row>
    <row r="2" spans="1:44" ht="15" customHeight="1" x14ac:dyDescent="0.25">
      <c r="A2" s="1" t="str">
        <f>'Exh. JDT-7 (Delivery Rev)'!A2:O2</f>
        <v>2022 General Rate Case (GRC)</v>
      </c>
      <c r="B2" s="1"/>
      <c r="C2" s="1"/>
      <c r="D2" s="1"/>
      <c r="E2" s="1"/>
      <c r="F2" s="1"/>
      <c r="G2" s="1"/>
      <c r="H2" s="1"/>
      <c r="I2" s="1"/>
      <c r="J2" s="1"/>
      <c r="K2" s="26"/>
      <c r="L2" s="26"/>
      <c r="M2" s="26"/>
      <c r="N2" s="26"/>
      <c r="O2" s="27"/>
      <c r="P2" s="1" t="str">
        <f t="shared" ref="P2:P4" si="0">A2</f>
        <v>2022 General Rate Case (GRC)</v>
      </c>
      <c r="Q2" s="1"/>
      <c r="R2" s="1"/>
      <c r="S2" s="1"/>
      <c r="T2" s="1"/>
      <c r="U2" s="1"/>
      <c r="V2" s="1"/>
      <c r="W2" s="1"/>
      <c r="X2" s="1"/>
      <c r="Y2" s="1"/>
      <c r="Z2" s="26"/>
      <c r="AA2" s="26"/>
      <c r="AB2" s="26"/>
      <c r="AC2" s="26"/>
      <c r="AD2" s="27"/>
      <c r="AE2" s="1" t="str">
        <f t="shared" ref="AE2:AE4" si="1">P2</f>
        <v>2022 General Rate Case (GRC)</v>
      </c>
      <c r="AF2" s="1"/>
      <c r="AG2" s="1"/>
      <c r="AH2" s="1"/>
      <c r="AI2" s="1"/>
      <c r="AJ2" s="1"/>
      <c r="AK2" s="1"/>
      <c r="AL2" s="1"/>
      <c r="AM2" s="1"/>
      <c r="AN2" s="1"/>
      <c r="AO2" s="26"/>
      <c r="AP2" s="26"/>
      <c r="AQ2" s="26"/>
      <c r="AR2" s="26"/>
    </row>
    <row r="3" spans="1:44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6"/>
      <c r="L3" s="26"/>
      <c r="M3" s="26"/>
      <c r="N3" s="26"/>
      <c r="O3" s="27"/>
      <c r="P3" s="1" t="str">
        <f t="shared" si="0"/>
        <v>Gas Decoupling Mechanism (Schedule 142)</v>
      </c>
      <c r="Q3" s="1"/>
      <c r="R3" s="1"/>
      <c r="S3" s="1"/>
      <c r="T3" s="1"/>
      <c r="U3" s="1"/>
      <c r="V3" s="1"/>
      <c r="W3" s="1"/>
      <c r="X3" s="1"/>
      <c r="Y3" s="1"/>
      <c r="Z3" s="26"/>
      <c r="AA3" s="26"/>
      <c r="AB3" s="26"/>
      <c r="AC3" s="26"/>
      <c r="AD3" s="27"/>
      <c r="AE3" s="1" t="str">
        <f t="shared" si="1"/>
        <v>Gas Decoupling Mechanism (Schedule 142)</v>
      </c>
      <c r="AF3" s="1"/>
      <c r="AG3" s="1"/>
      <c r="AH3" s="1"/>
      <c r="AI3" s="1"/>
      <c r="AJ3" s="1"/>
      <c r="AK3" s="1"/>
      <c r="AL3" s="1"/>
      <c r="AM3" s="1"/>
      <c r="AN3" s="1"/>
      <c r="AO3" s="26"/>
      <c r="AP3" s="26"/>
      <c r="AQ3" s="26"/>
      <c r="AR3" s="26"/>
    </row>
    <row r="4" spans="1:44" ht="15" customHeight="1" x14ac:dyDescent="0.25">
      <c r="A4" s="1" t="s">
        <v>65</v>
      </c>
      <c r="B4" s="1"/>
      <c r="C4" s="1"/>
      <c r="D4" s="1"/>
      <c r="E4" s="1"/>
      <c r="F4" s="1"/>
      <c r="G4" s="1"/>
      <c r="H4" s="1"/>
      <c r="I4" s="1"/>
      <c r="J4" s="1"/>
      <c r="K4" s="26"/>
      <c r="L4" s="26"/>
      <c r="M4" s="26"/>
      <c r="N4" s="26"/>
      <c r="O4" s="28"/>
      <c r="P4" s="1" t="str">
        <f t="shared" si="0"/>
        <v>Summary of Delivery Revenue Per Unit Rates ($/therm)</v>
      </c>
      <c r="Q4" s="1"/>
      <c r="R4" s="1"/>
      <c r="S4" s="1"/>
      <c r="T4" s="1"/>
      <c r="U4" s="1"/>
      <c r="V4" s="1"/>
      <c r="W4" s="1"/>
      <c r="X4" s="1"/>
      <c r="Y4" s="1"/>
      <c r="Z4" s="26"/>
      <c r="AA4" s="26"/>
      <c r="AB4" s="26"/>
      <c r="AC4" s="26"/>
      <c r="AD4" s="28"/>
      <c r="AE4" s="1" t="str">
        <f t="shared" si="1"/>
        <v>Summary of Delivery Revenue Per Unit Rates ($/therm)</v>
      </c>
      <c r="AF4" s="1"/>
      <c r="AG4" s="1"/>
      <c r="AH4" s="1"/>
      <c r="AI4" s="1"/>
      <c r="AJ4" s="1"/>
      <c r="AK4" s="1"/>
      <c r="AL4" s="1"/>
      <c r="AM4" s="1"/>
      <c r="AN4" s="1"/>
      <c r="AO4" s="26"/>
      <c r="AP4" s="26"/>
      <c r="AQ4" s="26"/>
      <c r="AR4" s="26"/>
    </row>
    <row r="5" spans="1:44" ht="15" customHeight="1" x14ac:dyDescent="0.25">
      <c r="A5" s="1" t="str">
        <f>'Exh. JDT-7 (Delivery Rev)'!A5:O5</f>
        <v>Proposed Effective January 1, 2023</v>
      </c>
      <c r="B5" s="1"/>
      <c r="C5" s="1"/>
      <c r="D5" s="1"/>
      <c r="E5" s="1"/>
      <c r="F5" s="1"/>
      <c r="G5" s="1"/>
      <c r="H5" s="1"/>
      <c r="I5" s="1"/>
      <c r="J5" s="1"/>
      <c r="K5" s="26"/>
      <c r="L5" s="26"/>
      <c r="M5" s="26"/>
      <c r="N5" s="26"/>
      <c r="O5" s="28"/>
      <c r="P5" s="1" t="str">
        <f>'Exh. JDT-7 (Delivery Rev)'!A40</f>
        <v>Proposed Effective January 1, 2024</v>
      </c>
      <c r="Q5" s="1"/>
      <c r="R5" s="1"/>
      <c r="S5" s="1"/>
      <c r="T5" s="1"/>
      <c r="U5" s="1"/>
      <c r="V5" s="1"/>
      <c r="W5" s="1"/>
      <c r="X5" s="1"/>
      <c r="Y5" s="1"/>
      <c r="Z5" s="26"/>
      <c r="AA5" s="26"/>
      <c r="AB5" s="26"/>
      <c r="AC5" s="26"/>
      <c r="AD5" s="28"/>
      <c r="AE5" s="1" t="str">
        <f>'Exh. JDT-7 (Delivery Rev)'!A78</f>
        <v>Proposed Effective January 1, 2025</v>
      </c>
      <c r="AF5" s="1"/>
      <c r="AG5" s="1"/>
      <c r="AH5" s="1"/>
      <c r="AI5" s="1"/>
      <c r="AJ5" s="1"/>
      <c r="AK5" s="1"/>
      <c r="AL5" s="1"/>
      <c r="AM5" s="1"/>
      <c r="AN5" s="1"/>
      <c r="AO5" s="26"/>
      <c r="AP5" s="26"/>
      <c r="AQ5" s="26"/>
      <c r="AR5" s="26"/>
    </row>
    <row r="6" spans="1:44" ht="23.25" x14ac:dyDescent="0.25">
      <c r="B6" s="29"/>
      <c r="C6" s="29"/>
      <c r="D6" s="29"/>
      <c r="E6" s="29"/>
      <c r="F6" s="30" t="s">
        <v>66</v>
      </c>
      <c r="G6" s="31" t="s">
        <v>40</v>
      </c>
      <c r="H6" s="32"/>
      <c r="I6" s="32"/>
      <c r="J6" s="33"/>
      <c r="K6" s="4"/>
      <c r="L6" s="34" t="s">
        <v>67</v>
      </c>
      <c r="M6" s="4"/>
      <c r="N6" s="4"/>
      <c r="O6" s="28"/>
      <c r="Q6" s="29"/>
      <c r="R6" s="29"/>
      <c r="S6" s="29"/>
      <c r="T6" s="29"/>
      <c r="U6" s="35" t="s">
        <v>33</v>
      </c>
      <c r="V6" s="31" t="s">
        <v>40</v>
      </c>
      <c r="W6" s="32"/>
      <c r="X6" s="32"/>
      <c r="Y6" s="33"/>
      <c r="Z6" s="4"/>
      <c r="AA6" s="34" t="s">
        <v>67</v>
      </c>
      <c r="AB6" s="4"/>
      <c r="AC6" s="4"/>
      <c r="AD6" s="28"/>
      <c r="AF6" s="29"/>
      <c r="AG6" s="29"/>
      <c r="AH6" s="29"/>
      <c r="AI6" s="29"/>
      <c r="AJ6" s="35" t="s">
        <v>33</v>
      </c>
      <c r="AK6" s="31" t="s">
        <v>40</v>
      </c>
      <c r="AL6" s="32"/>
      <c r="AM6" s="32"/>
      <c r="AN6" s="33"/>
      <c r="AO6" s="4"/>
      <c r="AP6" s="34" t="s">
        <v>67</v>
      </c>
      <c r="AQ6" s="4"/>
      <c r="AR6" s="4"/>
    </row>
    <row r="7" spans="1:44" s="36" customFormat="1" ht="15" customHeight="1" x14ac:dyDescent="0.2">
      <c r="A7" s="4" t="s">
        <v>5</v>
      </c>
      <c r="C7" s="37"/>
      <c r="D7" s="37"/>
      <c r="E7" s="37"/>
      <c r="F7" s="37" t="s">
        <v>68</v>
      </c>
      <c r="G7" s="37" t="s">
        <v>69</v>
      </c>
      <c r="H7" s="37" t="s">
        <v>70</v>
      </c>
      <c r="I7" s="37" t="s">
        <v>71</v>
      </c>
      <c r="J7" s="37" t="s">
        <v>72</v>
      </c>
      <c r="K7" s="4"/>
      <c r="L7" s="4" t="s">
        <v>68</v>
      </c>
      <c r="M7" s="4"/>
      <c r="N7" s="4"/>
      <c r="O7" s="28"/>
      <c r="P7" s="4" t="s">
        <v>5</v>
      </c>
      <c r="R7" s="37"/>
      <c r="S7" s="37"/>
      <c r="T7" s="37"/>
      <c r="U7" s="37" t="s">
        <v>68</v>
      </c>
      <c r="V7" s="37" t="s">
        <v>69</v>
      </c>
      <c r="W7" s="37" t="s">
        <v>70</v>
      </c>
      <c r="X7" s="37" t="s">
        <v>71</v>
      </c>
      <c r="Y7" s="37" t="s">
        <v>72</v>
      </c>
      <c r="Z7" s="4"/>
      <c r="AA7" s="4" t="s">
        <v>68</v>
      </c>
      <c r="AB7" s="4"/>
      <c r="AC7" s="4"/>
      <c r="AD7" s="28"/>
      <c r="AE7" s="4" t="s">
        <v>5</v>
      </c>
      <c r="AG7" s="37"/>
      <c r="AH7" s="37"/>
      <c r="AI7" s="37"/>
      <c r="AJ7" s="37" t="s">
        <v>68</v>
      </c>
      <c r="AK7" s="37" t="s">
        <v>69</v>
      </c>
      <c r="AL7" s="37" t="s">
        <v>70</v>
      </c>
      <c r="AM7" s="37" t="s">
        <v>71</v>
      </c>
      <c r="AN7" s="37" t="s">
        <v>72</v>
      </c>
      <c r="AO7" s="4"/>
      <c r="AP7" s="4" t="s">
        <v>68</v>
      </c>
      <c r="AQ7" s="4"/>
      <c r="AR7" s="4"/>
    </row>
    <row r="8" spans="1:44" s="36" customFormat="1" ht="15" customHeight="1" x14ac:dyDescent="0.2">
      <c r="A8" s="38" t="s">
        <v>7</v>
      </c>
      <c r="B8" s="39"/>
      <c r="C8" s="40"/>
      <c r="D8" s="40" t="s">
        <v>73</v>
      </c>
      <c r="E8" s="40" t="s">
        <v>8</v>
      </c>
      <c r="F8" s="40" t="s">
        <v>74</v>
      </c>
      <c r="G8" s="40" t="s">
        <v>74</v>
      </c>
      <c r="H8" s="40" t="s">
        <v>74</v>
      </c>
      <c r="I8" s="40" t="s">
        <v>74</v>
      </c>
      <c r="J8" s="40" t="s">
        <v>74</v>
      </c>
      <c r="K8" s="4"/>
      <c r="L8" s="4" t="s">
        <v>74</v>
      </c>
      <c r="M8" s="4"/>
      <c r="N8" s="4" t="s">
        <v>75</v>
      </c>
      <c r="O8" s="28"/>
      <c r="P8" s="38" t="s">
        <v>7</v>
      </c>
      <c r="Q8" s="39"/>
      <c r="R8" s="40"/>
      <c r="S8" s="40" t="s">
        <v>73</v>
      </c>
      <c r="T8" s="40" t="s">
        <v>8</v>
      </c>
      <c r="U8" s="40" t="s">
        <v>74</v>
      </c>
      <c r="V8" s="40" t="s">
        <v>74</v>
      </c>
      <c r="W8" s="40" t="s">
        <v>74</v>
      </c>
      <c r="X8" s="40" t="s">
        <v>74</v>
      </c>
      <c r="Y8" s="40" t="s">
        <v>74</v>
      </c>
      <c r="Z8" s="4"/>
      <c r="AA8" s="4" t="s">
        <v>74</v>
      </c>
      <c r="AB8" s="4"/>
      <c r="AC8" s="4" t="s">
        <v>75</v>
      </c>
      <c r="AD8" s="28"/>
      <c r="AE8" s="38" t="s">
        <v>7</v>
      </c>
      <c r="AF8" s="39"/>
      <c r="AG8" s="40"/>
      <c r="AH8" s="40" t="s">
        <v>73</v>
      </c>
      <c r="AI8" s="40" t="s">
        <v>8</v>
      </c>
      <c r="AJ8" s="40" t="s">
        <v>74</v>
      </c>
      <c r="AK8" s="40" t="s">
        <v>74</v>
      </c>
      <c r="AL8" s="40" t="s">
        <v>74</v>
      </c>
      <c r="AM8" s="40" t="s">
        <v>74</v>
      </c>
      <c r="AN8" s="40" t="s">
        <v>74</v>
      </c>
      <c r="AO8" s="4"/>
      <c r="AP8" s="4" t="s">
        <v>74</v>
      </c>
      <c r="AQ8" s="4"/>
      <c r="AR8" s="4" t="s">
        <v>75</v>
      </c>
    </row>
    <row r="9" spans="1:44" ht="15" customHeight="1" x14ac:dyDescent="0.2">
      <c r="A9" s="41"/>
      <c r="B9" s="19"/>
      <c r="C9" s="42" t="s">
        <v>20</v>
      </c>
      <c r="D9" s="42" t="s">
        <v>21</v>
      </c>
      <c r="E9" s="11" t="s">
        <v>53</v>
      </c>
      <c r="F9" s="11" t="s">
        <v>54</v>
      </c>
      <c r="G9" s="11" t="s">
        <v>55</v>
      </c>
      <c r="H9" s="11" t="s">
        <v>25</v>
      </c>
      <c r="I9" s="11" t="s">
        <v>26</v>
      </c>
      <c r="J9" s="11" t="s">
        <v>27</v>
      </c>
      <c r="K9" s="43"/>
      <c r="L9" s="11" t="s">
        <v>28</v>
      </c>
      <c r="N9" s="11" t="s">
        <v>29</v>
      </c>
      <c r="O9" s="27"/>
      <c r="P9" s="41"/>
      <c r="Q9" s="19"/>
      <c r="R9" s="42" t="s">
        <v>20</v>
      </c>
      <c r="S9" s="42" t="s">
        <v>21</v>
      </c>
      <c r="T9" s="11" t="s">
        <v>53</v>
      </c>
      <c r="U9" s="11" t="s">
        <v>54</v>
      </c>
      <c r="V9" s="11" t="s">
        <v>55</v>
      </c>
      <c r="W9" s="11" t="s">
        <v>25</v>
      </c>
      <c r="X9" s="11" t="s">
        <v>26</v>
      </c>
      <c r="Y9" s="11" t="s">
        <v>27</v>
      </c>
      <c r="Z9" s="43"/>
      <c r="AA9" s="11" t="s">
        <v>28</v>
      </c>
      <c r="AC9" s="11" t="s">
        <v>29</v>
      </c>
      <c r="AD9" s="27"/>
      <c r="AE9" s="41"/>
      <c r="AF9" s="19"/>
      <c r="AG9" s="42" t="s">
        <v>20</v>
      </c>
      <c r="AH9" s="42" t="s">
        <v>21</v>
      </c>
      <c r="AI9" s="11" t="s">
        <v>53</v>
      </c>
      <c r="AJ9" s="11" t="s">
        <v>54</v>
      </c>
      <c r="AK9" s="11" t="s">
        <v>55</v>
      </c>
      <c r="AL9" s="11" t="s">
        <v>25</v>
      </c>
      <c r="AM9" s="11" t="s">
        <v>26</v>
      </c>
      <c r="AN9" s="11" t="s">
        <v>27</v>
      </c>
      <c r="AO9" s="43"/>
      <c r="AP9" s="11" t="s">
        <v>28</v>
      </c>
      <c r="AR9" s="11" t="s">
        <v>29</v>
      </c>
    </row>
    <row r="10" spans="1:44" ht="12.75" customHeight="1" x14ac:dyDescent="0.2">
      <c r="A10" s="11">
        <v>1</v>
      </c>
      <c r="B10" s="44" t="s">
        <v>76</v>
      </c>
      <c r="C10" s="2"/>
      <c r="D10" s="42"/>
      <c r="E10" s="42"/>
      <c r="F10" s="42"/>
      <c r="G10" s="11"/>
      <c r="H10" s="11"/>
      <c r="I10" s="11"/>
      <c r="J10" s="13" t="s">
        <v>77</v>
      </c>
      <c r="K10" s="43"/>
      <c r="L10" s="13" t="s">
        <v>78</v>
      </c>
      <c r="O10" s="27"/>
      <c r="P10" s="11">
        <v>1</v>
      </c>
      <c r="Q10" s="44" t="str">
        <f>B10</f>
        <v>Schedule 23 (23D1, 23D2) Residential</v>
      </c>
      <c r="R10" s="2"/>
      <c r="S10" s="42"/>
      <c r="T10" s="42"/>
      <c r="U10" s="42"/>
      <c r="V10" s="11"/>
      <c r="W10" s="11"/>
      <c r="X10" s="11"/>
      <c r="Y10" s="13" t="s">
        <v>77</v>
      </c>
      <c r="Z10" s="43"/>
      <c r="AA10" s="13" t="s">
        <v>78</v>
      </c>
      <c r="AD10" s="27"/>
      <c r="AE10" s="11">
        <v>1</v>
      </c>
      <c r="AF10" s="44" t="str">
        <f>Q10</f>
        <v>Schedule 23 (23D1, 23D2) Residential</v>
      </c>
      <c r="AG10" s="2"/>
      <c r="AH10" s="42"/>
      <c r="AI10" s="42"/>
      <c r="AJ10" s="42"/>
      <c r="AK10" s="11"/>
      <c r="AL10" s="11"/>
      <c r="AM10" s="11"/>
      <c r="AN10" s="13" t="s">
        <v>77</v>
      </c>
      <c r="AO10" s="43"/>
      <c r="AP10" s="13" t="s">
        <v>78</v>
      </c>
    </row>
    <row r="11" spans="1:44" ht="12.75" customHeight="1" x14ac:dyDescent="0.2">
      <c r="A11" s="11">
        <f>A10+1</f>
        <v>2</v>
      </c>
      <c r="B11" s="2"/>
      <c r="C11" s="45" t="s">
        <v>79</v>
      </c>
      <c r="D11" s="19" t="s">
        <v>80</v>
      </c>
      <c r="E11" s="11" t="s">
        <v>42</v>
      </c>
      <c r="F11" s="46">
        <v>0.41964000000000001</v>
      </c>
      <c r="G11" s="46">
        <v>0.46500000000000002</v>
      </c>
      <c r="H11" s="46">
        <v>1.975E-2</v>
      </c>
      <c r="I11" s="46">
        <v>8.1920000000000007E-2</v>
      </c>
      <c r="J11" s="46">
        <f>ROUND(SUM(G11:I11),5)</f>
        <v>0.56667000000000001</v>
      </c>
      <c r="K11" s="43"/>
      <c r="L11" s="46">
        <f>J11-F11</f>
        <v>0.14702999999999999</v>
      </c>
      <c r="N11" s="8" t="s">
        <v>81</v>
      </c>
      <c r="O11" s="27"/>
      <c r="P11" s="11">
        <f>P10+1</f>
        <v>2</v>
      </c>
      <c r="Q11" s="2"/>
      <c r="R11" s="45" t="s">
        <v>79</v>
      </c>
      <c r="S11" s="19" t="s">
        <v>80</v>
      </c>
      <c r="T11" s="11" t="str">
        <f>E11</f>
        <v>Exhibit JDT-5, GAS RATE SPREAD DESIGN</v>
      </c>
      <c r="U11" s="46">
        <f>J11</f>
        <v>0.56667000000000001</v>
      </c>
      <c r="V11" s="46">
        <f>G11</f>
        <v>0.46500000000000002</v>
      </c>
      <c r="W11" s="46">
        <v>-4.79E-3</v>
      </c>
      <c r="X11" s="46">
        <v>0.13547000000000001</v>
      </c>
      <c r="Y11" s="46">
        <f>ROUND(SUM(V11:X11),5)</f>
        <v>0.59567999999999999</v>
      </c>
      <c r="Z11" s="43"/>
      <c r="AA11" s="46">
        <f>Y11-U11</f>
        <v>2.900999999999998E-2</v>
      </c>
      <c r="AC11" s="8" t="str">
        <f>N11</f>
        <v>Sheet No. 1142-A</v>
      </c>
      <c r="AD11" s="27"/>
      <c r="AE11" s="11">
        <f>AE10+1</f>
        <v>2</v>
      </c>
      <c r="AF11" s="2"/>
      <c r="AG11" s="45" t="s">
        <v>79</v>
      </c>
      <c r="AH11" s="19" t="s">
        <v>80</v>
      </c>
      <c r="AI11" s="11" t="str">
        <f>T11</f>
        <v>Exhibit JDT-5, GAS RATE SPREAD DESIGN</v>
      </c>
      <c r="AJ11" s="46">
        <f>Y11</f>
        <v>0.59567999999999999</v>
      </c>
      <c r="AK11" s="46">
        <f>V11</f>
        <v>0.46500000000000002</v>
      </c>
      <c r="AL11" s="46">
        <v>-2.1590000000000002E-2</v>
      </c>
      <c r="AM11" s="46">
        <v>0.1759</v>
      </c>
      <c r="AN11" s="46">
        <f>ROUND(SUM(AK11:AM11),5)</f>
        <v>0.61931000000000003</v>
      </c>
      <c r="AO11" s="43"/>
      <c r="AP11" s="46">
        <f>AN11-AJ11</f>
        <v>2.363000000000004E-2</v>
      </c>
      <c r="AR11" s="8" t="str">
        <f>AC11</f>
        <v>Sheet No. 1142-A</v>
      </c>
    </row>
    <row r="12" spans="1:44" ht="12.75" customHeight="1" x14ac:dyDescent="0.2">
      <c r="A12" s="11">
        <f t="shared" ref="A12:A54" si="2">A11+1</f>
        <v>3</v>
      </c>
      <c r="B12" s="2"/>
      <c r="C12" s="8"/>
      <c r="F12" s="46"/>
      <c r="G12" s="46"/>
      <c r="H12" s="46"/>
      <c r="I12" s="46"/>
      <c r="J12" s="46"/>
      <c r="K12" s="43"/>
      <c r="L12" s="46"/>
      <c r="O12" s="27"/>
      <c r="P12" s="11">
        <f t="shared" ref="P12:P54" si="3">P11+1</f>
        <v>3</v>
      </c>
      <c r="Q12" s="2"/>
      <c r="R12" s="8"/>
      <c r="U12" s="46"/>
      <c r="V12" s="46"/>
      <c r="W12" s="46"/>
      <c r="X12" s="46"/>
      <c r="Y12" s="46"/>
      <c r="Z12" s="43"/>
      <c r="AA12" s="46"/>
      <c r="AD12" s="27"/>
      <c r="AE12" s="11">
        <f t="shared" ref="AE12:AE54" si="4">AE11+1</f>
        <v>3</v>
      </c>
      <c r="AF12" s="2"/>
      <c r="AG12" s="8"/>
      <c r="AJ12" s="46"/>
      <c r="AK12" s="46"/>
      <c r="AL12" s="46"/>
      <c r="AM12" s="46"/>
      <c r="AN12" s="46"/>
      <c r="AO12" s="43"/>
      <c r="AP12" s="46"/>
    </row>
    <row r="13" spans="1:44" ht="12.75" customHeight="1" x14ac:dyDescent="0.2">
      <c r="A13" s="11">
        <f t="shared" si="2"/>
        <v>4</v>
      </c>
      <c r="B13" s="47" t="s">
        <v>82</v>
      </c>
      <c r="C13" s="2"/>
      <c r="F13" s="46"/>
      <c r="G13" s="46"/>
      <c r="H13" s="46"/>
      <c r="I13" s="46"/>
      <c r="J13" s="46"/>
      <c r="K13" s="43"/>
      <c r="L13" s="46"/>
      <c r="O13" s="27"/>
      <c r="P13" s="11">
        <f t="shared" si="3"/>
        <v>4</v>
      </c>
      <c r="Q13" s="44" t="str">
        <f>B13</f>
        <v>Schedule 53 Residential Propane</v>
      </c>
      <c r="R13" s="2"/>
      <c r="U13" s="46"/>
      <c r="V13" s="46"/>
      <c r="W13" s="46"/>
      <c r="X13" s="46"/>
      <c r="Y13" s="46"/>
      <c r="Z13" s="43"/>
      <c r="AA13" s="46"/>
      <c r="AD13" s="27"/>
      <c r="AE13" s="11">
        <f t="shared" si="4"/>
        <v>4</v>
      </c>
      <c r="AF13" s="44" t="str">
        <f>Q13</f>
        <v>Schedule 53 Residential Propane</v>
      </c>
      <c r="AG13" s="2"/>
      <c r="AJ13" s="46"/>
      <c r="AK13" s="46"/>
      <c r="AL13" s="46"/>
      <c r="AM13" s="46"/>
      <c r="AN13" s="46"/>
      <c r="AO13" s="43"/>
      <c r="AP13" s="46"/>
    </row>
    <row r="14" spans="1:44" ht="12.75" customHeight="1" x14ac:dyDescent="0.2">
      <c r="A14" s="11">
        <f t="shared" si="2"/>
        <v>5</v>
      </c>
      <c r="C14" s="45" t="s">
        <v>79</v>
      </c>
      <c r="D14" s="19" t="s">
        <v>80</v>
      </c>
      <c r="E14" s="11" t="str">
        <f>E11</f>
        <v>Exhibit JDT-5, GAS RATE SPREAD DESIGN</v>
      </c>
      <c r="F14" s="46">
        <v>0.41964000000000001</v>
      </c>
      <c r="G14" s="46">
        <v>0.46500000000000002</v>
      </c>
      <c r="H14" s="46">
        <v>1.975E-2</v>
      </c>
      <c r="I14" s="46">
        <v>8.1920000000000007E-2</v>
      </c>
      <c r="J14" s="46">
        <f>ROUND(SUM(G14:I14),5)</f>
        <v>0.56667000000000001</v>
      </c>
      <c r="K14" s="43"/>
      <c r="L14" s="46">
        <f>J14-F14</f>
        <v>0.14702999999999999</v>
      </c>
      <c r="N14" s="8" t="s">
        <v>81</v>
      </c>
      <c r="O14" s="27"/>
      <c r="P14" s="11">
        <f t="shared" si="3"/>
        <v>5</v>
      </c>
      <c r="R14" s="45" t="s">
        <v>79</v>
      </c>
      <c r="S14" s="19" t="s">
        <v>80</v>
      </c>
      <c r="T14" s="11" t="str">
        <f>T11</f>
        <v>Exhibit JDT-5, GAS RATE SPREAD DESIGN</v>
      </c>
      <c r="U14" s="46">
        <f>J14</f>
        <v>0.56667000000000001</v>
      </c>
      <c r="V14" s="46">
        <f>G14</f>
        <v>0.46500000000000002</v>
      </c>
      <c r="W14" s="46">
        <v>-4.79E-3</v>
      </c>
      <c r="X14" s="46">
        <v>0.13547000000000001</v>
      </c>
      <c r="Y14" s="46">
        <f>ROUND(SUM(V14:X14),5)</f>
        <v>0.59567999999999999</v>
      </c>
      <c r="Z14" s="43"/>
      <c r="AA14" s="46">
        <f>Y14-U14</f>
        <v>2.900999999999998E-2</v>
      </c>
      <c r="AC14" s="8" t="str">
        <f>N14</f>
        <v>Sheet No. 1142-A</v>
      </c>
      <c r="AD14" s="27"/>
      <c r="AE14" s="11">
        <f t="shared" si="4"/>
        <v>5</v>
      </c>
      <c r="AG14" s="45" t="s">
        <v>79</v>
      </c>
      <c r="AH14" s="19" t="s">
        <v>80</v>
      </c>
      <c r="AI14" s="11" t="str">
        <f>AI11</f>
        <v>Exhibit JDT-5, GAS RATE SPREAD DESIGN</v>
      </c>
      <c r="AJ14" s="46">
        <f>Y14</f>
        <v>0.59567999999999999</v>
      </c>
      <c r="AK14" s="46">
        <f>V14</f>
        <v>0.46500000000000002</v>
      </c>
      <c r="AL14" s="46">
        <v>-2.1590000000000002E-2</v>
      </c>
      <c r="AM14" s="46">
        <v>0.1759</v>
      </c>
      <c r="AN14" s="46">
        <f>ROUND(SUM(AK14:AM14),5)</f>
        <v>0.61931000000000003</v>
      </c>
      <c r="AO14" s="43"/>
      <c r="AP14" s="46">
        <f>AN14-AJ14</f>
        <v>2.363000000000004E-2</v>
      </c>
      <c r="AR14" s="8" t="str">
        <f>AC14</f>
        <v>Sheet No. 1142-A</v>
      </c>
    </row>
    <row r="15" spans="1:44" ht="12.75" customHeight="1" x14ac:dyDescent="0.2">
      <c r="A15" s="11">
        <f t="shared" si="2"/>
        <v>6</v>
      </c>
      <c r="C15" s="8"/>
      <c r="D15" s="42"/>
      <c r="E15" s="42"/>
      <c r="F15" s="46"/>
      <c r="G15" s="46"/>
      <c r="H15" s="46"/>
      <c r="I15" s="46"/>
      <c r="J15" s="46"/>
      <c r="K15" s="43"/>
      <c r="L15" s="46"/>
      <c r="O15" s="27"/>
      <c r="P15" s="11">
        <f t="shared" si="3"/>
        <v>6</v>
      </c>
      <c r="R15" s="8"/>
      <c r="S15" s="42"/>
      <c r="T15" s="42"/>
      <c r="U15" s="46"/>
      <c r="V15" s="46"/>
      <c r="W15" s="46"/>
      <c r="X15" s="46"/>
      <c r="Y15" s="46"/>
      <c r="Z15" s="43"/>
      <c r="AA15" s="46"/>
      <c r="AD15" s="27"/>
      <c r="AE15" s="11">
        <f t="shared" si="4"/>
        <v>6</v>
      </c>
      <c r="AG15" s="8"/>
      <c r="AH15" s="42"/>
      <c r="AI15" s="42"/>
      <c r="AJ15" s="46"/>
      <c r="AK15" s="46"/>
      <c r="AL15" s="46"/>
      <c r="AM15" s="46"/>
      <c r="AN15" s="46"/>
      <c r="AO15" s="43"/>
      <c r="AP15" s="46"/>
    </row>
    <row r="16" spans="1:44" ht="12.75" customHeight="1" x14ac:dyDescent="0.2">
      <c r="A16" s="11">
        <f t="shared" si="2"/>
        <v>7</v>
      </c>
      <c r="B16" s="47" t="s">
        <v>83</v>
      </c>
      <c r="C16" s="8"/>
      <c r="D16" s="48"/>
      <c r="E16" s="48"/>
      <c r="F16" s="46"/>
      <c r="G16" s="46"/>
      <c r="H16" s="46"/>
      <c r="I16" s="46"/>
      <c r="J16" s="46"/>
      <c r="L16" s="46"/>
      <c r="O16" s="27"/>
      <c r="P16" s="11">
        <f t="shared" si="3"/>
        <v>7</v>
      </c>
      <c r="Q16" s="44" t="str">
        <f>B16</f>
        <v>Schedule 31 Commercial &amp; Industrial - Sales</v>
      </c>
      <c r="R16" s="8"/>
      <c r="S16" s="48"/>
      <c r="T16" s="48"/>
      <c r="U16" s="46"/>
      <c r="V16" s="46"/>
      <c r="W16" s="46"/>
      <c r="X16" s="46"/>
      <c r="Y16" s="46"/>
      <c r="AA16" s="46"/>
      <c r="AD16" s="27"/>
      <c r="AE16" s="11">
        <f t="shared" si="4"/>
        <v>7</v>
      </c>
      <c r="AF16" s="44" t="str">
        <f>Q16</f>
        <v>Schedule 31 Commercial &amp; Industrial - Sales</v>
      </c>
      <c r="AG16" s="8"/>
      <c r="AH16" s="48"/>
      <c r="AI16" s="48"/>
      <c r="AJ16" s="46"/>
      <c r="AK16" s="46"/>
      <c r="AL16" s="46"/>
      <c r="AM16" s="46"/>
      <c r="AN16" s="46"/>
      <c r="AP16" s="46"/>
    </row>
    <row r="17" spans="1:44" ht="12.75" customHeight="1" x14ac:dyDescent="0.2">
      <c r="A17" s="11">
        <f t="shared" si="2"/>
        <v>8</v>
      </c>
      <c r="C17" s="19" t="s">
        <v>79</v>
      </c>
      <c r="D17" s="19" t="s">
        <v>80</v>
      </c>
      <c r="E17" s="11" t="str">
        <f>E14</f>
        <v>Exhibit JDT-5, GAS RATE SPREAD DESIGN</v>
      </c>
      <c r="F17" s="46">
        <v>0.37956000000000001</v>
      </c>
      <c r="G17" s="46">
        <v>0.43728</v>
      </c>
      <c r="H17" s="46">
        <v>2.163E-2</v>
      </c>
      <c r="I17" s="46">
        <v>8.9709999999999998E-2</v>
      </c>
      <c r="J17" s="46">
        <f>ROUND(SUM(G17:I17),5)</f>
        <v>0.54862</v>
      </c>
      <c r="L17" s="46">
        <f>J17-F17</f>
        <v>0.16905999999999999</v>
      </c>
      <c r="N17" s="8" t="s">
        <v>81</v>
      </c>
      <c r="O17" s="27"/>
      <c r="P17" s="11">
        <f t="shared" si="3"/>
        <v>8</v>
      </c>
      <c r="R17" s="19" t="s">
        <v>79</v>
      </c>
      <c r="S17" s="19" t="s">
        <v>80</v>
      </c>
      <c r="T17" s="11" t="str">
        <f>T14</f>
        <v>Exhibit JDT-5, GAS RATE SPREAD DESIGN</v>
      </c>
      <c r="U17" s="46">
        <f>J17</f>
        <v>0.54862</v>
      </c>
      <c r="V17" s="46">
        <f>G17</f>
        <v>0.43728</v>
      </c>
      <c r="W17" s="46">
        <v>-5.2100000000000002E-3</v>
      </c>
      <c r="X17" s="46">
        <v>0.14742</v>
      </c>
      <c r="Y17" s="46">
        <f>ROUND(SUM(V17:X17),5)</f>
        <v>0.57948999999999995</v>
      </c>
      <c r="AA17" s="46">
        <f>Y17-U17</f>
        <v>3.0869999999999953E-2</v>
      </c>
      <c r="AC17" s="8" t="str">
        <f>N17</f>
        <v>Sheet No. 1142-A</v>
      </c>
      <c r="AD17" s="27"/>
      <c r="AE17" s="11">
        <f t="shared" si="4"/>
        <v>8</v>
      </c>
      <c r="AG17" s="19" t="s">
        <v>79</v>
      </c>
      <c r="AH17" s="19" t="s">
        <v>80</v>
      </c>
      <c r="AI17" s="11" t="str">
        <f>AI14</f>
        <v>Exhibit JDT-5, GAS RATE SPREAD DESIGN</v>
      </c>
      <c r="AJ17" s="46">
        <f>Y17</f>
        <v>0.57948999999999995</v>
      </c>
      <c r="AK17" s="46">
        <f>V17</f>
        <v>0.43728</v>
      </c>
      <c r="AL17" s="46">
        <v>-2.3460000000000002E-2</v>
      </c>
      <c r="AM17" s="46">
        <v>0.19109999999999999</v>
      </c>
      <c r="AN17" s="46">
        <f>ROUND(SUM(AK17:AM17),5)</f>
        <v>0.60492000000000001</v>
      </c>
      <c r="AP17" s="46">
        <f>AN17-AJ17</f>
        <v>2.5430000000000064E-2</v>
      </c>
      <c r="AR17" s="8" t="str">
        <f>AC17</f>
        <v>Sheet No. 1142-A</v>
      </c>
    </row>
    <row r="18" spans="1:44" ht="12.75" customHeight="1" x14ac:dyDescent="0.2">
      <c r="A18" s="11">
        <f t="shared" si="2"/>
        <v>9</v>
      </c>
      <c r="F18" s="46"/>
      <c r="G18" s="46"/>
      <c r="H18" s="46"/>
      <c r="I18" s="46"/>
      <c r="J18" s="46"/>
      <c r="L18" s="46"/>
      <c r="O18" s="27"/>
      <c r="P18" s="11">
        <f t="shared" si="3"/>
        <v>9</v>
      </c>
      <c r="U18" s="46"/>
      <c r="V18" s="46"/>
      <c r="W18" s="46"/>
      <c r="X18" s="46"/>
      <c r="Y18" s="46"/>
      <c r="AA18" s="46"/>
      <c r="AD18" s="27"/>
      <c r="AE18" s="11">
        <f t="shared" si="4"/>
        <v>9</v>
      </c>
      <c r="AJ18" s="46"/>
      <c r="AK18" s="46"/>
      <c r="AL18" s="46"/>
      <c r="AM18" s="46"/>
      <c r="AN18" s="46"/>
      <c r="AP18" s="46"/>
    </row>
    <row r="19" spans="1:44" ht="12.75" customHeight="1" x14ac:dyDescent="0.2">
      <c r="A19" s="11">
        <f t="shared" si="2"/>
        <v>10</v>
      </c>
      <c r="C19" s="19" t="s">
        <v>84</v>
      </c>
      <c r="D19" s="19" t="s">
        <v>80</v>
      </c>
      <c r="E19" s="11" t="str">
        <f>E17</f>
        <v>Exhibit JDT-5, GAS RATE SPREAD DESIGN</v>
      </c>
      <c r="F19" s="46">
        <v>1.371E-2</v>
      </c>
      <c r="G19" s="46">
        <v>1.5089999999999999E-2</v>
      </c>
      <c r="H19" s="46">
        <v>0</v>
      </c>
      <c r="I19" s="46">
        <v>0</v>
      </c>
      <c r="J19" s="46">
        <f>ROUND(SUM(G19:I19),5)</f>
        <v>1.5089999999999999E-2</v>
      </c>
      <c r="L19" s="46">
        <f>J19-F19</f>
        <v>1.3799999999999993E-3</v>
      </c>
      <c r="N19" s="8" t="s">
        <v>81</v>
      </c>
      <c r="O19" s="27"/>
      <c r="P19" s="11">
        <f t="shared" si="3"/>
        <v>10</v>
      </c>
      <c r="R19" s="19" t="s">
        <v>84</v>
      </c>
      <c r="S19" s="19" t="s">
        <v>80</v>
      </c>
      <c r="T19" s="11" t="str">
        <f>T17</f>
        <v>Exhibit JDT-5, GAS RATE SPREAD DESIGN</v>
      </c>
      <c r="U19" s="46">
        <f>J19</f>
        <v>1.5089999999999999E-2</v>
      </c>
      <c r="V19" s="46">
        <f>G19</f>
        <v>1.5089999999999999E-2</v>
      </c>
      <c r="W19" s="46">
        <v>0</v>
      </c>
      <c r="X19" s="46">
        <v>0</v>
      </c>
      <c r="Y19" s="46">
        <f>ROUND(SUM(V19:X19),5)</f>
        <v>1.5089999999999999E-2</v>
      </c>
      <c r="AA19" s="46">
        <f>Y19-U19</f>
        <v>0</v>
      </c>
      <c r="AC19" s="8" t="str">
        <f>N19</f>
        <v>Sheet No. 1142-A</v>
      </c>
      <c r="AD19" s="27"/>
      <c r="AE19" s="11">
        <f t="shared" si="4"/>
        <v>10</v>
      </c>
      <c r="AG19" s="19" t="s">
        <v>84</v>
      </c>
      <c r="AH19" s="19" t="s">
        <v>80</v>
      </c>
      <c r="AI19" s="11" t="str">
        <f>AI17</f>
        <v>Exhibit JDT-5, GAS RATE SPREAD DESIGN</v>
      </c>
      <c r="AJ19" s="46">
        <f>Y19</f>
        <v>1.5089999999999999E-2</v>
      </c>
      <c r="AK19" s="46">
        <f>V19</f>
        <v>1.5089999999999999E-2</v>
      </c>
      <c r="AL19" s="46">
        <v>0</v>
      </c>
      <c r="AM19" s="46">
        <v>0</v>
      </c>
      <c r="AN19" s="46">
        <f>ROUND(SUM(AK19:AM19),5)</f>
        <v>1.5089999999999999E-2</v>
      </c>
      <c r="AP19" s="46">
        <f>AN19-AJ19</f>
        <v>0</v>
      </c>
      <c r="AR19" s="8" t="str">
        <f>AC19</f>
        <v>Sheet No. 1142-A</v>
      </c>
    </row>
    <row r="20" spans="1:44" ht="12.75" customHeight="1" x14ac:dyDescent="0.2">
      <c r="A20" s="11">
        <f t="shared" si="2"/>
        <v>11</v>
      </c>
      <c r="F20" s="46"/>
      <c r="G20" s="46"/>
      <c r="H20" s="46"/>
      <c r="I20" s="46"/>
      <c r="J20" s="46"/>
      <c r="L20" s="46"/>
      <c r="O20" s="27"/>
      <c r="P20" s="11">
        <f t="shared" si="3"/>
        <v>11</v>
      </c>
      <c r="U20" s="46"/>
      <c r="V20" s="46"/>
      <c r="W20" s="46"/>
      <c r="X20" s="46"/>
      <c r="Y20" s="46"/>
      <c r="AA20" s="46"/>
      <c r="AD20" s="27"/>
      <c r="AE20" s="11">
        <f t="shared" si="4"/>
        <v>11</v>
      </c>
      <c r="AJ20" s="46"/>
      <c r="AK20" s="46"/>
      <c r="AL20" s="46"/>
      <c r="AM20" s="46"/>
      <c r="AN20" s="46"/>
      <c r="AP20" s="46"/>
    </row>
    <row r="21" spans="1:44" ht="12.75" customHeight="1" x14ac:dyDescent="0.2">
      <c r="A21" s="11">
        <f t="shared" si="2"/>
        <v>12</v>
      </c>
      <c r="B21" s="47" t="s">
        <v>85</v>
      </c>
      <c r="C21" s="8"/>
      <c r="D21" s="48"/>
      <c r="E21" s="48"/>
      <c r="F21" s="46"/>
      <c r="G21" s="46"/>
      <c r="H21" s="46"/>
      <c r="I21" s="46"/>
      <c r="J21" s="46"/>
      <c r="L21" s="46"/>
      <c r="O21" s="27"/>
      <c r="P21" s="11">
        <f t="shared" si="3"/>
        <v>12</v>
      </c>
      <c r="Q21" s="44" t="str">
        <f>B21</f>
        <v>Schedule 31 Commercial &amp; Industrial - Transportation</v>
      </c>
      <c r="R21" s="8"/>
      <c r="S21" s="48"/>
      <c r="T21" s="48"/>
      <c r="U21" s="46"/>
      <c r="V21" s="46"/>
      <c r="W21" s="46"/>
      <c r="X21" s="46"/>
      <c r="Y21" s="46"/>
      <c r="AA21" s="46"/>
      <c r="AD21" s="27"/>
      <c r="AE21" s="11">
        <f t="shared" si="4"/>
        <v>12</v>
      </c>
      <c r="AF21" s="44" t="str">
        <f>Q21</f>
        <v>Schedule 31 Commercial &amp; Industrial - Transportation</v>
      </c>
      <c r="AG21" s="8"/>
      <c r="AH21" s="48"/>
      <c r="AI21" s="48"/>
      <c r="AJ21" s="46"/>
      <c r="AK21" s="46"/>
      <c r="AL21" s="46"/>
      <c r="AM21" s="46"/>
      <c r="AN21" s="46"/>
      <c r="AP21" s="46"/>
    </row>
    <row r="22" spans="1:44" ht="12.75" customHeight="1" x14ac:dyDescent="0.2">
      <c r="A22" s="11">
        <f t="shared" si="2"/>
        <v>13</v>
      </c>
      <c r="B22" s="19"/>
      <c r="C22" s="19" t="s">
        <v>79</v>
      </c>
      <c r="D22" s="19" t="s">
        <v>80</v>
      </c>
      <c r="E22" s="11" t="str">
        <f>E19</f>
        <v>Exhibit JDT-5, GAS RATE SPREAD DESIGN</v>
      </c>
      <c r="F22" s="46">
        <v>0.37956000000000001</v>
      </c>
      <c r="G22" s="46">
        <v>0.43728</v>
      </c>
      <c r="H22" s="46">
        <v>2.163E-2</v>
      </c>
      <c r="I22" s="46">
        <v>8.9709999999999998E-2</v>
      </c>
      <c r="J22" s="46">
        <f>SUM(G22:I22)</f>
        <v>0.54862</v>
      </c>
      <c r="L22" s="46">
        <f>J22-F22</f>
        <v>0.16905999999999999</v>
      </c>
      <c r="N22" s="8" t="s">
        <v>81</v>
      </c>
      <c r="O22" s="27"/>
      <c r="P22" s="11">
        <f t="shared" si="3"/>
        <v>13</v>
      </c>
      <c r="Q22" s="19"/>
      <c r="R22" s="19" t="s">
        <v>79</v>
      </c>
      <c r="S22" s="19" t="s">
        <v>80</v>
      </c>
      <c r="T22" s="11" t="str">
        <f>T19</f>
        <v>Exhibit JDT-5, GAS RATE SPREAD DESIGN</v>
      </c>
      <c r="U22" s="46">
        <f>J22</f>
        <v>0.54862</v>
      </c>
      <c r="V22" s="46">
        <f>G22</f>
        <v>0.43728</v>
      </c>
      <c r="W22" s="46">
        <v>-5.2100000000000002E-3</v>
      </c>
      <c r="X22" s="46">
        <v>0.14742</v>
      </c>
      <c r="Y22" s="46">
        <f>SUM(V22:X22)</f>
        <v>0.57949000000000006</v>
      </c>
      <c r="AA22" s="46">
        <f>Y22-U22</f>
        <v>3.0870000000000064E-2</v>
      </c>
      <c r="AC22" s="8" t="str">
        <f>N22</f>
        <v>Sheet No. 1142-A</v>
      </c>
      <c r="AD22" s="27"/>
      <c r="AE22" s="11">
        <f t="shared" si="4"/>
        <v>13</v>
      </c>
      <c r="AF22" s="19"/>
      <c r="AG22" s="19" t="s">
        <v>79</v>
      </c>
      <c r="AH22" s="19" t="s">
        <v>80</v>
      </c>
      <c r="AI22" s="11" t="str">
        <f>AI19</f>
        <v>Exhibit JDT-5, GAS RATE SPREAD DESIGN</v>
      </c>
      <c r="AJ22" s="46">
        <f>Y22</f>
        <v>0.57949000000000006</v>
      </c>
      <c r="AK22" s="46">
        <f>V22</f>
        <v>0.43728</v>
      </c>
      <c r="AL22" s="46">
        <v>-2.3460000000000002E-2</v>
      </c>
      <c r="AM22" s="46">
        <v>0.19109999999999999</v>
      </c>
      <c r="AN22" s="46">
        <f>SUM(AK22:AM22)</f>
        <v>0.60492000000000001</v>
      </c>
      <c r="AP22" s="46">
        <f>AN22-AJ22</f>
        <v>2.5429999999999953E-2</v>
      </c>
      <c r="AR22" s="8" t="str">
        <f>AC22</f>
        <v>Sheet No. 1142-A</v>
      </c>
    </row>
    <row r="23" spans="1:44" ht="12.75" customHeight="1" x14ac:dyDescent="0.2">
      <c r="A23" s="11">
        <f t="shared" si="2"/>
        <v>14</v>
      </c>
      <c r="B23" s="19"/>
      <c r="F23" s="46"/>
      <c r="G23" s="46"/>
      <c r="H23" s="46"/>
      <c r="I23" s="46"/>
      <c r="J23" s="46"/>
      <c r="L23" s="46"/>
      <c r="O23" s="27"/>
      <c r="P23" s="11">
        <f t="shared" si="3"/>
        <v>14</v>
      </c>
      <c r="Q23" s="19"/>
      <c r="U23" s="46"/>
      <c r="V23" s="46"/>
      <c r="W23" s="46"/>
      <c r="X23" s="46"/>
      <c r="Y23" s="46"/>
      <c r="AA23" s="46"/>
      <c r="AD23" s="27"/>
      <c r="AE23" s="11">
        <f t="shared" si="4"/>
        <v>14</v>
      </c>
      <c r="AF23" s="19"/>
      <c r="AJ23" s="46"/>
      <c r="AK23" s="46"/>
      <c r="AL23" s="46"/>
      <c r="AM23" s="46"/>
      <c r="AN23" s="46"/>
      <c r="AP23" s="46"/>
    </row>
    <row r="24" spans="1:44" ht="12.75" customHeight="1" x14ac:dyDescent="0.2">
      <c r="A24" s="11">
        <f t="shared" si="2"/>
        <v>15</v>
      </c>
      <c r="B24" s="47" t="s">
        <v>86</v>
      </c>
      <c r="C24" s="8"/>
      <c r="D24" s="48"/>
      <c r="E24" s="48"/>
      <c r="F24" s="46"/>
      <c r="G24" s="46"/>
      <c r="H24" s="46"/>
      <c r="I24" s="46"/>
      <c r="J24" s="46"/>
      <c r="L24" s="46"/>
      <c r="O24" s="27"/>
      <c r="P24" s="11">
        <f t="shared" si="3"/>
        <v>15</v>
      </c>
      <c r="Q24" s="44" t="str">
        <f>B24</f>
        <v>Schedule 41 Large Volume High Load Factor - Sales</v>
      </c>
      <c r="R24" s="8"/>
      <c r="S24" s="48"/>
      <c r="T24" s="48"/>
      <c r="U24" s="46"/>
      <c r="V24" s="46"/>
      <c r="W24" s="46"/>
      <c r="X24" s="46"/>
      <c r="Y24" s="46"/>
      <c r="AA24" s="46"/>
      <c r="AD24" s="27"/>
      <c r="AE24" s="11">
        <f t="shared" si="4"/>
        <v>15</v>
      </c>
      <c r="AF24" s="44" t="str">
        <f>Q24</f>
        <v>Schedule 41 Large Volume High Load Factor - Sales</v>
      </c>
      <c r="AG24" s="8"/>
      <c r="AH24" s="48"/>
      <c r="AI24" s="48"/>
      <c r="AJ24" s="46"/>
      <c r="AK24" s="46"/>
      <c r="AL24" s="46"/>
      <c r="AM24" s="46"/>
      <c r="AN24" s="46"/>
      <c r="AP24" s="46"/>
    </row>
    <row r="25" spans="1:44" ht="12.75" customHeight="1" x14ac:dyDescent="0.2">
      <c r="A25" s="11">
        <f t="shared" si="2"/>
        <v>16</v>
      </c>
      <c r="C25" s="19" t="s">
        <v>87</v>
      </c>
      <c r="D25" s="19" t="s">
        <v>80</v>
      </c>
      <c r="E25" s="11" t="str">
        <f>E22</f>
        <v>Exhibit JDT-5, GAS RATE SPREAD DESIGN</v>
      </c>
      <c r="F25" s="49">
        <v>1.25</v>
      </c>
      <c r="G25" s="49">
        <v>1.44</v>
      </c>
      <c r="H25" s="49">
        <v>0</v>
      </c>
      <c r="I25" s="49">
        <v>0</v>
      </c>
      <c r="J25" s="49">
        <f>ROUND(SUM(G25:I25),2)</f>
        <v>1.44</v>
      </c>
      <c r="L25" s="49">
        <f>J25-F25</f>
        <v>0.18999999999999995</v>
      </c>
      <c r="N25" s="8" t="s">
        <v>88</v>
      </c>
      <c r="O25" s="27"/>
      <c r="P25" s="11">
        <f t="shared" si="3"/>
        <v>16</v>
      </c>
      <c r="R25" s="19" t="s">
        <v>87</v>
      </c>
      <c r="S25" s="19" t="s">
        <v>80</v>
      </c>
      <c r="T25" s="11" t="str">
        <f>T22</f>
        <v>Exhibit JDT-5, GAS RATE SPREAD DESIGN</v>
      </c>
      <c r="U25" s="49">
        <f>J25</f>
        <v>1.44</v>
      </c>
      <c r="V25" s="49">
        <f>G25</f>
        <v>1.44</v>
      </c>
      <c r="W25" s="49">
        <v>0</v>
      </c>
      <c r="X25" s="49">
        <v>0</v>
      </c>
      <c r="Y25" s="49">
        <f>ROUND(SUM(V25:X25),2)</f>
        <v>1.44</v>
      </c>
      <c r="AA25" s="49">
        <f>Y25-U25</f>
        <v>0</v>
      </c>
      <c r="AC25" s="8" t="str">
        <f>N25</f>
        <v>Sheet No. 1142-B</v>
      </c>
      <c r="AD25" s="27"/>
      <c r="AE25" s="11">
        <f t="shared" si="4"/>
        <v>16</v>
      </c>
      <c r="AG25" s="19" t="s">
        <v>87</v>
      </c>
      <c r="AH25" s="19" t="s">
        <v>80</v>
      </c>
      <c r="AI25" s="11" t="str">
        <f>AI22</f>
        <v>Exhibit JDT-5, GAS RATE SPREAD DESIGN</v>
      </c>
      <c r="AJ25" s="49">
        <f>Y25</f>
        <v>1.44</v>
      </c>
      <c r="AK25" s="49">
        <f>V25</f>
        <v>1.44</v>
      </c>
      <c r="AL25" s="49">
        <v>0</v>
      </c>
      <c r="AM25" s="49">
        <v>0</v>
      </c>
      <c r="AN25" s="49">
        <f>ROUND(SUM(AK25:AM25),2)</f>
        <v>1.44</v>
      </c>
      <c r="AP25" s="49">
        <f>AN25-AJ25</f>
        <v>0</v>
      </c>
      <c r="AR25" s="8" t="str">
        <f>AC25</f>
        <v>Sheet No. 1142-B</v>
      </c>
    </row>
    <row r="26" spans="1:44" ht="12.75" customHeight="1" x14ac:dyDescent="0.2">
      <c r="A26" s="11">
        <f t="shared" si="2"/>
        <v>17</v>
      </c>
      <c r="F26" s="46"/>
      <c r="G26" s="46"/>
      <c r="H26" s="46"/>
      <c r="I26" s="46"/>
      <c r="J26" s="46"/>
      <c r="L26" s="46"/>
      <c r="O26" s="27"/>
      <c r="P26" s="11">
        <f t="shared" si="3"/>
        <v>17</v>
      </c>
      <c r="U26" s="46"/>
      <c r="V26" s="46"/>
      <c r="W26" s="46"/>
      <c r="X26" s="46"/>
      <c r="Y26" s="46"/>
      <c r="AA26" s="46"/>
      <c r="AD26" s="27"/>
      <c r="AE26" s="11">
        <f t="shared" si="4"/>
        <v>17</v>
      </c>
      <c r="AJ26" s="46"/>
      <c r="AK26" s="46"/>
      <c r="AL26" s="46"/>
      <c r="AM26" s="46"/>
      <c r="AN26" s="46"/>
      <c r="AP26" s="46"/>
    </row>
    <row r="27" spans="1:44" ht="12.75" customHeight="1" x14ac:dyDescent="0.2">
      <c r="A27" s="11">
        <f t="shared" si="2"/>
        <v>18</v>
      </c>
      <c r="C27" s="19" t="s">
        <v>89</v>
      </c>
      <c r="F27" s="46"/>
      <c r="G27" s="46"/>
      <c r="H27" s="46"/>
      <c r="I27" s="46"/>
      <c r="J27" s="46"/>
      <c r="L27" s="46"/>
      <c r="O27" s="27"/>
      <c r="P27" s="11">
        <f t="shared" si="3"/>
        <v>18</v>
      </c>
      <c r="R27" s="19" t="s">
        <v>89</v>
      </c>
      <c r="U27" s="46"/>
      <c r="V27" s="46"/>
      <c r="W27" s="46"/>
      <c r="X27" s="46"/>
      <c r="Y27" s="46"/>
      <c r="AA27" s="46"/>
      <c r="AD27" s="27"/>
      <c r="AE27" s="11">
        <f t="shared" si="4"/>
        <v>18</v>
      </c>
      <c r="AG27" s="19" t="s">
        <v>89</v>
      </c>
      <c r="AJ27" s="46"/>
      <c r="AK27" s="46"/>
      <c r="AL27" s="46"/>
      <c r="AM27" s="46"/>
      <c r="AN27" s="46"/>
      <c r="AP27" s="46"/>
    </row>
    <row r="28" spans="1:44" ht="12.75" customHeight="1" x14ac:dyDescent="0.2">
      <c r="A28" s="11">
        <f t="shared" si="2"/>
        <v>19</v>
      </c>
      <c r="C28" s="19" t="s">
        <v>90</v>
      </c>
      <c r="D28" s="19" t="s">
        <v>80</v>
      </c>
      <c r="E28" s="11" t="str">
        <f>E25</f>
        <v>Exhibit JDT-5, GAS RATE SPREAD DESIGN</v>
      </c>
      <c r="F28" s="46">
        <v>0.13758000000000001</v>
      </c>
      <c r="G28" s="46">
        <v>0.1595</v>
      </c>
      <c r="H28" s="46">
        <v>9.1599999999999997E-3</v>
      </c>
      <c r="I28" s="46">
        <v>3.8010000000000002E-2</v>
      </c>
      <c r="J28" s="46">
        <f t="shared" ref="J28:J29" si="5">ROUND(SUM(G28:I28),5)</f>
        <v>0.20666999999999999</v>
      </c>
      <c r="L28" s="46">
        <f t="shared" ref="L28:L29" si="6">J28-F28</f>
        <v>6.9089999999999985E-2</v>
      </c>
      <c r="N28" s="8" t="s">
        <v>88</v>
      </c>
      <c r="O28" s="27"/>
      <c r="P28" s="11">
        <f t="shared" si="3"/>
        <v>19</v>
      </c>
      <c r="R28" s="19" t="s">
        <v>90</v>
      </c>
      <c r="S28" s="19" t="s">
        <v>80</v>
      </c>
      <c r="T28" s="11" t="str">
        <f>T25</f>
        <v>Exhibit JDT-5, GAS RATE SPREAD DESIGN</v>
      </c>
      <c r="U28" s="46">
        <f t="shared" ref="U28:U29" si="7">J28</f>
        <v>0.20666999999999999</v>
      </c>
      <c r="V28" s="46">
        <f t="shared" ref="V28:V29" si="8">G28</f>
        <v>0.1595</v>
      </c>
      <c r="W28" s="46">
        <v>-2.2100000000000002E-3</v>
      </c>
      <c r="X28" s="46">
        <v>6.2480000000000001E-2</v>
      </c>
      <c r="Y28" s="46">
        <f t="shared" ref="Y28:Y29" si="9">ROUND(SUM(V28:X28),5)</f>
        <v>0.21976999999999999</v>
      </c>
      <c r="AA28" s="46">
        <f t="shared" ref="AA28:AA29" si="10">Y28-U28</f>
        <v>1.3100000000000001E-2</v>
      </c>
      <c r="AC28" s="8" t="str">
        <f t="shared" ref="AC28:AC29" si="11">N28</f>
        <v>Sheet No. 1142-B</v>
      </c>
      <c r="AD28" s="27"/>
      <c r="AE28" s="11">
        <f t="shared" si="4"/>
        <v>19</v>
      </c>
      <c r="AG28" s="19" t="s">
        <v>90</v>
      </c>
      <c r="AH28" s="19" t="s">
        <v>80</v>
      </c>
      <c r="AI28" s="11" t="str">
        <f>AI25</f>
        <v>Exhibit JDT-5, GAS RATE SPREAD DESIGN</v>
      </c>
      <c r="AJ28" s="46">
        <f t="shared" ref="AJ28:AJ29" si="12">Y28</f>
        <v>0.21976999999999999</v>
      </c>
      <c r="AK28" s="46">
        <f t="shared" ref="AK28:AK29" si="13">V28</f>
        <v>0.1595</v>
      </c>
      <c r="AL28" s="46">
        <v>-9.9299999999999996E-3</v>
      </c>
      <c r="AM28" s="46">
        <v>8.0869999999999997E-2</v>
      </c>
      <c r="AN28" s="46">
        <f t="shared" ref="AN28:AN29" si="14">ROUND(SUM(AK28:AM28),5)</f>
        <v>0.23044000000000001</v>
      </c>
      <c r="AP28" s="46">
        <f t="shared" ref="AP28:AP29" si="15">AN28-AJ28</f>
        <v>1.0670000000000013E-2</v>
      </c>
      <c r="AR28" s="8" t="str">
        <f t="shared" ref="AR28:AR29" si="16">AC28</f>
        <v>Sheet No. 1142-B</v>
      </c>
    </row>
    <row r="29" spans="1:44" ht="12.75" customHeight="1" x14ac:dyDescent="0.2">
      <c r="A29" s="11">
        <f t="shared" si="2"/>
        <v>20</v>
      </c>
      <c r="C29" s="19" t="s">
        <v>91</v>
      </c>
      <c r="D29" s="19" t="s">
        <v>80</v>
      </c>
      <c r="E29" s="11" t="str">
        <f>E28</f>
        <v>Exhibit JDT-5, GAS RATE SPREAD DESIGN</v>
      </c>
      <c r="F29" s="46">
        <v>0.11074000000000001</v>
      </c>
      <c r="G29" s="46">
        <v>0.12726999999999999</v>
      </c>
      <c r="H29" s="46">
        <v>9.1599999999999997E-3</v>
      </c>
      <c r="I29" s="46">
        <v>3.8010000000000002E-2</v>
      </c>
      <c r="J29" s="46">
        <f t="shared" si="5"/>
        <v>0.17444000000000001</v>
      </c>
      <c r="L29" s="46">
        <f t="shared" si="6"/>
        <v>6.3700000000000007E-2</v>
      </c>
      <c r="N29" s="8" t="s">
        <v>88</v>
      </c>
      <c r="O29" s="27"/>
      <c r="P29" s="11">
        <f t="shared" si="3"/>
        <v>20</v>
      </c>
      <c r="R29" s="19" t="s">
        <v>91</v>
      </c>
      <c r="S29" s="19" t="s">
        <v>80</v>
      </c>
      <c r="T29" s="11" t="str">
        <f>T28</f>
        <v>Exhibit JDT-5, GAS RATE SPREAD DESIGN</v>
      </c>
      <c r="U29" s="46">
        <f t="shared" si="7"/>
        <v>0.17444000000000001</v>
      </c>
      <c r="V29" s="46">
        <f t="shared" si="8"/>
        <v>0.12726999999999999</v>
      </c>
      <c r="W29" s="46">
        <v>-2.2100000000000002E-3</v>
      </c>
      <c r="X29" s="46">
        <v>6.2480000000000001E-2</v>
      </c>
      <c r="Y29" s="46">
        <f t="shared" si="9"/>
        <v>0.18754000000000001</v>
      </c>
      <c r="AA29" s="46">
        <f t="shared" si="10"/>
        <v>1.3100000000000001E-2</v>
      </c>
      <c r="AC29" s="8" t="str">
        <f t="shared" si="11"/>
        <v>Sheet No. 1142-B</v>
      </c>
      <c r="AD29" s="27"/>
      <c r="AE29" s="11">
        <f t="shared" si="4"/>
        <v>20</v>
      </c>
      <c r="AG29" s="19" t="s">
        <v>91</v>
      </c>
      <c r="AH29" s="19" t="s">
        <v>80</v>
      </c>
      <c r="AI29" s="11" t="str">
        <f>AI28</f>
        <v>Exhibit JDT-5, GAS RATE SPREAD DESIGN</v>
      </c>
      <c r="AJ29" s="46">
        <f t="shared" si="12"/>
        <v>0.18754000000000001</v>
      </c>
      <c r="AK29" s="46">
        <f t="shared" si="13"/>
        <v>0.12726999999999999</v>
      </c>
      <c r="AL29" s="46">
        <v>-9.9299999999999996E-3</v>
      </c>
      <c r="AM29" s="46">
        <v>8.0869999999999997E-2</v>
      </c>
      <c r="AN29" s="46">
        <f t="shared" si="14"/>
        <v>0.19821</v>
      </c>
      <c r="AP29" s="46">
        <f t="shared" si="15"/>
        <v>1.0669999999999985E-2</v>
      </c>
      <c r="AR29" s="8" t="str">
        <f t="shared" si="16"/>
        <v>Sheet No. 1142-B</v>
      </c>
    </row>
    <row r="30" spans="1:44" ht="12.75" customHeight="1" x14ac:dyDescent="0.2">
      <c r="A30" s="11">
        <f t="shared" si="2"/>
        <v>21</v>
      </c>
      <c r="F30" s="46"/>
      <c r="G30" s="46"/>
      <c r="H30" s="46"/>
      <c r="I30" s="46"/>
      <c r="J30" s="46"/>
      <c r="L30" s="46"/>
      <c r="O30" s="27"/>
      <c r="P30" s="11">
        <f t="shared" si="3"/>
        <v>21</v>
      </c>
      <c r="U30" s="46"/>
      <c r="V30" s="46"/>
      <c r="W30" s="46"/>
      <c r="X30" s="46"/>
      <c r="Y30" s="46"/>
      <c r="AA30" s="46"/>
      <c r="AD30" s="27"/>
      <c r="AE30" s="11">
        <f t="shared" si="4"/>
        <v>21</v>
      </c>
      <c r="AJ30" s="46"/>
      <c r="AK30" s="46"/>
      <c r="AL30" s="46"/>
      <c r="AM30" s="46"/>
      <c r="AN30" s="46"/>
      <c r="AP30" s="46"/>
    </row>
    <row r="31" spans="1:44" ht="12.75" customHeight="1" x14ac:dyDescent="0.2">
      <c r="A31" s="11">
        <f t="shared" si="2"/>
        <v>22</v>
      </c>
      <c r="C31" s="19" t="s">
        <v>84</v>
      </c>
      <c r="D31" s="19" t="s">
        <v>80</v>
      </c>
      <c r="E31" s="11" t="str">
        <f>E29</f>
        <v>Exhibit JDT-5, GAS RATE SPREAD DESIGN</v>
      </c>
      <c r="F31" s="46">
        <v>1.005E-2</v>
      </c>
      <c r="G31" s="46">
        <v>1.1310000000000001E-2</v>
      </c>
      <c r="H31" s="46">
        <v>0</v>
      </c>
      <c r="I31" s="46">
        <v>0</v>
      </c>
      <c r="J31" s="46">
        <f>ROUND(SUM(G31:I31),5)</f>
        <v>1.1310000000000001E-2</v>
      </c>
      <c r="L31" s="46">
        <f>J31-F31</f>
        <v>1.2600000000000007E-3</v>
      </c>
      <c r="N31" s="8" t="s">
        <v>88</v>
      </c>
      <c r="O31" s="27"/>
      <c r="P31" s="11">
        <f t="shared" si="3"/>
        <v>22</v>
      </c>
      <c r="R31" s="19" t="s">
        <v>84</v>
      </c>
      <c r="S31" s="19" t="s">
        <v>80</v>
      </c>
      <c r="T31" s="11" t="str">
        <f>T29</f>
        <v>Exhibit JDT-5, GAS RATE SPREAD DESIGN</v>
      </c>
      <c r="U31" s="46">
        <f>J31</f>
        <v>1.1310000000000001E-2</v>
      </c>
      <c r="V31" s="46">
        <f>G31</f>
        <v>1.1310000000000001E-2</v>
      </c>
      <c r="W31" s="46">
        <v>0</v>
      </c>
      <c r="X31" s="46">
        <v>0</v>
      </c>
      <c r="Y31" s="46">
        <f>ROUND(SUM(V31:X31),5)</f>
        <v>1.1310000000000001E-2</v>
      </c>
      <c r="AA31" s="46">
        <f>Y31-U31</f>
        <v>0</v>
      </c>
      <c r="AC31" s="8" t="str">
        <f>N31</f>
        <v>Sheet No. 1142-B</v>
      </c>
      <c r="AD31" s="27"/>
      <c r="AE31" s="11">
        <f t="shared" si="4"/>
        <v>22</v>
      </c>
      <c r="AG31" s="19" t="s">
        <v>84</v>
      </c>
      <c r="AH31" s="19" t="s">
        <v>80</v>
      </c>
      <c r="AI31" s="11" t="str">
        <f>AI29</f>
        <v>Exhibit JDT-5, GAS RATE SPREAD DESIGN</v>
      </c>
      <c r="AJ31" s="46">
        <f>Y31</f>
        <v>1.1310000000000001E-2</v>
      </c>
      <c r="AK31" s="46">
        <f>V31</f>
        <v>1.1310000000000001E-2</v>
      </c>
      <c r="AL31" s="46">
        <v>0</v>
      </c>
      <c r="AM31" s="46">
        <v>0</v>
      </c>
      <c r="AN31" s="46">
        <f>ROUND(SUM(AK31:AM31),5)</f>
        <v>1.1310000000000001E-2</v>
      </c>
      <c r="AP31" s="46">
        <f>AN31-AJ31</f>
        <v>0</v>
      </c>
      <c r="AR31" s="8" t="str">
        <f>AC31</f>
        <v>Sheet No. 1142-B</v>
      </c>
    </row>
    <row r="32" spans="1:44" ht="12.75" customHeight="1" x14ac:dyDescent="0.2">
      <c r="A32" s="11">
        <f t="shared" si="2"/>
        <v>23</v>
      </c>
      <c r="C32" s="48"/>
      <c r="D32" s="48"/>
      <c r="E32" s="48"/>
      <c r="F32" s="46"/>
      <c r="G32" s="46"/>
      <c r="H32" s="46"/>
      <c r="I32" s="46"/>
      <c r="J32" s="46"/>
      <c r="L32" s="46"/>
      <c r="O32" s="27"/>
      <c r="P32" s="11">
        <f t="shared" si="3"/>
        <v>23</v>
      </c>
      <c r="R32" s="48"/>
      <c r="S32" s="48"/>
      <c r="T32" s="48"/>
      <c r="U32" s="46"/>
      <c r="V32" s="46"/>
      <c r="W32" s="46"/>
      <c r="X32" s="46"/>
      <c r="Y32" s="46"/>
      <c r="AA32" s="46"/>
      <c r="AD32" s="27"/>
      <c r="AE32" s="11">
        <f t="shared" si="4"/>
        <v>23</v>
      </c>
      <c r="AG32" s="48"/>
      <c r="AH32" s="48"/>
      <c r="AI32" s="48"/>
      <c r="AJ32" s="46"/>
      <c r="AK32" s="46"/>
      <c r="AL32" s="46"/>
      <c r="AM32" s="46"/>
      <c r="AN32" s="46"/>
      <c r="AP32" s="46"/>
    </row>
    <row r="33" spans="1:44" ht="12.75" customHeight="1" x14ac:dyDescent="0.2">
      <c r="A33" s="11">
        <f t="shared" si="2"/>
        <v>24</v>
      </c>
      <c r="B33" s="47" t="s">
        <v>92</v>
      </c>
      <c r="C33" s="8"/>
      <c r="D33" s="48"/>
      <c r="E33" s="48"/>
      <c r="F33" s="46"/>
      <c r="G33" s="46"/>
      <c r="H33" s="46"/>
      <c r="I33" s="46"/>
      <c r="J33" s="46"/>
      <c r="L33" s="46"/>
      <c r="O33" s="27"/>
      <c r="P33" s="11">
        <f t="shared" si="3"/>
        <v>24</v>
      </c>
      <c r="Q33" s="44" t="str">
        <f>B33</f>
        <v>Schedule 41 Large Volume High Load Factor - Transportation</v>
      </c>
      <c r="R33" s="8"/>
      <c r="S33" s="48"/>
      <c r="T33" s="48"/>
      <c r="U33" s="46"/>
      <c r="V33" s="46"/>
      <c r="W33" s="46"/>
      <c r="X33" s="46"/>
      <c r="Y33" s="46"/>
      <c r="AA33" s="46"/>
      <c r="AD33" s="27"/>
      <c r="AE33" s="11">
        <f t="shared" si="4"/>
        <v>24</v>
      </c>
      <c r="AF33" s="44" t="str">
        <f>Q33</f>
        <v>Schedule 41 Large Volume High Load Factor - Transportation</v>
      </c>
      <c r="AG33" s="8"/>
      <c r="AH33" s="48"/>
      <c r="AI33" s="48"/>
      <c r="AJ33" s="46"/>
      <c r="AK33" s="46"/>
      <c r="AL33" s="46"/>
      <c r="AM33" s="46"/>
      <c r="AN33" s="46"/>
      <c r="AP33" s="46"/>
    </row>
    <row r="34" spans="1:44" ht="12.75" customHeight="1" x14ac:dyDescent="0.2">
      <c r="A34" s="11">
        <f t="shared" si="2"/>
        <v>25</v>
      </c>
      <c r="B34" s="19"/>
      <c r="C34" s="19" t="s">
        <v>87</v>
      </c>
      <c r="D34" s="19" t="s">
        <v>80</v>
      </c>
      <c r="E34" s="11" t="str">
        <f>E31</f>
        <v>Exhibit JDT-5, GAS RATE SPREAD DESIGN</v>
      </c>
      <c r="F34" s="49">
        <v>1.25</v>
      </c>
      <c r="G34" s="49">
        <v>1.44</v>
      </c>
      <c r="H34" s="49">
        <v>0</v>
      </c>
      <c r="I34" s="49">
        <v>0</v>
      </c>
      <c r="J34" s="49">
        <f>ROUND(SUM(G34:I34),2)</f>
        <v>1.44</v>
      </c>
      <c r="L34" s="49">
        <f>J34-F34</f>
        <v>0.18999999999999995</v>
      </c>
      <c r="N34" s="8" t="s">
        <v>88</v>
      </c>
      <c r="O34" s="27"/>
      <c r="P34" s="11">
        <f t="shared" si="3"/>
        <v>25</v>
      </c>
      <c r="Q34" s="19"/>
      <c r="R34" s="19" t="s">
        <v>87</v>
      </c>
      <c r="S34" s="19" t="s">
        <v>80</v>
      </c>
      <c r="T34" s="11" t="str">
        <f>T31</f>
        <v>Exhibit JDT-5, GAS RATE SPREAD DESIGN</v>
      </c>
      <c r="U34" s="49">
        <f>J34</f>
        <v>1.44</v>
      </c>
      <c r="V34" s="49">
        <f>G34</f>
        <v>1.44</v>
      </c>
      <c r="W34" s="49">
        <v>0</v>
      </c>
      <c r="X34" s="49">
        <v>0</v>
      </c>
      <c r="Y34" s="49">
        <f>ROUND(SUM(V34:X34),2)</f>
        <v>1.44</v>
      </c>
      <c r="AA34" s="49">
        <f>Y34-U34</f>
        <v>0</v>
      </c>
      <c r="AC34" s="8" t="str">
        <f>N34</f>
        <v>Sheet No. 1142-B</v>
      </c>
      <c r="AD34" s="27"/>
      <c r="AE34" s="11">
        <f t="shared" si="4"/>
        <v>25</v>
      </c>
      <c r="AF34" s="19"/>
      <c r="AG34" s="19" t="s">
        <v>87</v>
      </c>
      <c r="AH34" s="19" t="s">
        <v>80</v>
      </c>
      <c r="AI34" s="11" t="str">
        <f>AI31</f>
        <v>Exhibit JDT-5, GAS RATE SPREAD DESIGN</v>
      </c>
      <c r="AJ34" s="49">
        <f>Y34</f>
        <v>1.44</v>
      </c>
      <c r="AK34" s="49">
        <f>V34</f>
        <v>1.44</v>
      </c>
      <c r="AL34" s="49">
        <v>0</v>
      </c>
      <c r="AM34" s="49">
        <v>0</v>
      </c>
      <c r="AN34" s="49">
        <f>ROUND(SUM(AK34:AM34),2)</f>
        <v>1.44</v>
      </c>
      <c r="AP34" s="49">
        <f>AN34-AJ34</f>
        <v>0</v>
      </c>
      <c r="AR34" s="8" t="str">
        <f>AC34</f>
        <v>Sheet No. 1142-B</v>
      </c>
    </row>
    <row r="35" spans="1:44" ht="12.75" customHeight="1" x14ac:dyDescent="0.2">
      <c r="A35" s="11">
        <f t="shared" si="2"/>
        <v>26</v>
      </c>
      <c r="B35" s="19"/>
      <c r="F35" s="46"/>
      <c r="G35" s="46"/>
      <c r="H35" s="46"/>
      <c r="I35" s="46"/>
      <c r="J35" s="46"/>
      <c r="L35" s="46"/>
      <c r="O35" s="27"/>
      <c r="P35" s="11">
        <f t="shared" si="3"/>
        <v>26</v>
      </c>
      <c r="Q35" s="19"/>
      <c r="U35" s="46"/>
      <c r="V35" s="46"/>
      <c r="W35" s="46"/>
      <c r="X35" s="46"/>
      <c r="Y35" s="46"/>
      <c r="AA35" s="46"/>
      <c r="AD35" s="27"/>
      <c r="AE35" s="11">
        <f t="shared" si="4"/>
        <v>26</v>
      </c>
      <c r="AF35" s="19"/>
      <c r="AJ35" s="46"/>
      <c r="AK35" s="46"/>
      <c r="AL35" s="46"/>
      <c r="AM35" s="46"/>
      <c r="AN35" s="46"/>
      <c r="AP35" s="46"/>
    </row>
    <row r="36" spans="1:44" ht="12.75" customHeight="1" x14ac:dyDescent="0.2">
      <c r="A36" s="11">
        <f t="shared" si="2"/>
        <v>27</v>
      </c>
      <c r="B36" s="19"/>
      <c r="C36" s="19" t="s">
        <v>89</v>
      </c>
      <c r="F36" s="46"/>
      <c r="G36" s="46"/>
      <c r="H36" s="46"/>
      <c r="I36" s="46"/>
      <c r="J36" s="46"/>
      <c r="L36" s="46"/>
      <c r="O36" s="27"/>
      <c r="P36" s="11">
        <f t="shared" si="3"/>
        <v>27</v>
      </c>
      <c r="Q36" s="19"/>
      <c r="R36" s="19" t="s">
        <v>89</v>
      </c>
      <c r="U36" s="46"/>
      <c r="V36" s="46"/>
      <c r="W36" s="46"/>
      <c r="X36" s="46"/>
      <c r="Y36" s="46"/>
      <c r="AA36" s="46"/>
      <c r="AD36" s="27"/>
      <c r="AE36" s="11">
        <f t="shared" si="4"/>
        <v>27</v>
      </c>
      <c r="AF36" s="19"/>
      <c r="AG36" s="19" t="s">
        <v>89</v>
      </c>
      <c r="AJ36" s="46"/>
      <c r="AK36" s="46"/>
      <c r="AL36" s="46"/>
      <c r="AM36" s="46"/>
      <c r="AN36" s="46"/>
      <c r="AP36" s="46"/>
    </row>
    <row r="37" spans="1:44" ht="12.75" customHeight="1" x14ac:dyDescent="0.2">
      <c r="A37" s="11">
        <f t="shared" si="2"/>
        <v>28</v>
      </c>
      <c r="B37" s="19"/>
      <c r="C37" s="19" t="s">
        <v>90</v>
      </c>
      <c r="D37" s="19" t="s">
        <v>80</v>
      </c>
      <c r="E37" s="11" t="str">
        <f>E34</f>
        <v>Exhibit JDT-5, GAS RATE SPREAD DESIGN</v>
      </c>
      <c r="F37" s="46">
        <v>0.13758000000000001</v>
      </c>
      <c r="G37" s="46">
        <v>0.1595</v>
      </c>
      <c r="H37" s="46">
        <v>9.1599999999999997E-3</v>
      </c>
      <c r="I37" s="46">
        <v>3.8010000000000002E-2</v>
      </c>
      <c r="J37" s="46">
        <f t="shared" ref="J37:J38" si="17">ROUND(SUM(G37:I37),5)</f>
        <v>0.20666999999999999</v>
      </c>
      <c r="L37" s="46">
        <f t="shared" ref="L37:L38" si="18">J37-F37</f>
        <v>6.9089999999999985E-2</v>
      </c>
      <c r="N37" s="8" t="s">
        <v>88</v>
      </c>
      <c r="O37" s="27"/>
      <c r="P37" s="11">
        <f t="shared" si="3"/>
        <v>28</v>
      </c>
      <c r="Q37" s="19"/>
      <c r="R37" s="19" t="s">
        <v>90</v>
      </c>
      <c r="S37" s="19" t="s">
        <v>80</v>
      </c>
      <c r="T37" s="11" t="str">
        <f>T34</f>
        <v>Exhibit JDT-5, GAS RATE SPREAD DESIGN</v>
      </c>
      <c r="U37" s="46">
        <f t="shared" ref="U37:U38" si="19">J37</f>
        <v>0.20666999999999999</v>
      </c>
      <c r="V37" s="46">
        <f t="shared" ref="V37:V38" si="20">G37</f>
        <v>0.1595</v>
      </c>
      <c r="W37" s="46">
        <v>-2.2100000000000002E-3</v>
      </c>
      <c r="X37" s="46">
        <v>6.2480000000000001E-2</v>
      </c>
      <c r="Y37" s="46">
        <f t="shared" ref="Y37:Y38" si="21">ROUND(SUM(V37:X37),5)</f>
        <v>0.21976999999999999</v>
      </c>
      <c r="AA37" s="46">
        <f t="shared" ref="AA37:AA38" si="22">Y37-U37</f>
        <v>1.3100000000000001E-2</v>
      </c>
      <c r="AC37" s="8" t="str">
        <f t="shared" ref="AC37:AC38" si="23">N37</f>
        <v>Sheet No. 1142-B</v>
      </c>
      <c r="AD37" s="27"/>
      <c r="AE37" s="11">
        <f t="shared" si="4"/>
        <v>28</v>
      </c>
      <c r="AF37" s="19"/>
      <c r="AG37" s="19" t="s">
        <v>90</v>
      </c>
      <c r="AH37" s="19" t="s">
        <v>80</v>
      </c>
      <c r="AI37" s="11" t="str">
        <f>AI34</f>
        <v>Exhibit JDT-5, GAS RATE SPREAD DESIGN</v>
      </c>
      <c r="AJ37" s="46">
        <f t="shared" ref="AJ37:AJ38" si="24">Y37</f>
        <v>0.21976999999999999</v>
      </c>
      <c r="AK37" s="46">
        <f t="shared" ref="AK37:AK38" si="25">V37</f>
        <v>0.1595</v>
      </c>
      <c r="AL37" s="46">
        <v>-9.9299999999999996E-3</v>
      </c>
      <c r="AM37" s="46">
        <v>8.0869999999999997E-2</v>
      </c>
      <c r="AN37" s="46">
        <f t="shared" ref="AN37:AN38" si="26">ROUND(SUM(AK37:AM37),5)</f>
        <v>0.23044000000000001</v>
      </c>
      <c r="AP37" s="46">
        <f t="shared" ref="AP37:AP38" si="27">AN37-AJ37</f>
        <v>1.0670000000000013E-2</v>
      </c>
      <c r="AR37" s="8" t="str">
        <f t="shared" ref="AR37:AR38" si="28">AC37</f>
        <v>Sheet No. 1142-B</v>
      </c>
    </row>
    <row r="38" spans="1:44" ht="12.75" customHeight="1" x14ac:dyDescent="0.2">
      <c r="A38" s="11">
        <f t="shared" si="2"/>
        <v>29</v>
      </c>
      <c r="B38" s="19"/>
      <c r="C38" s="19" t="s">
        <v>91</v>
      </c>
      <c r="D38" s="19" t="s">
        <v>80</v>
      </c>
      <c r="E38" s="11" t="str">
        <f>E37</f>
        <v>Exhibit JDT-5, GAS RATE SPREAD DESIGN</v>
      </c>
      <c r="F38" s="46">
        <v>0.11074000000000001</v>
      </c>
      <c r="G38" s="46">
        <v>0.12726999999999999</v>
      </c>
      <c r="H38" s="46">
        <v>9.1599999999999997E-3</v>
      </c>
      <c r="I38" s="46">
        <v>3.8010000000000002E-2</v>
      </c>
      <c r="J38" s="46">
        <f t="shared" si="17"/>
        <v>0.17444000000000001</v>
      </c>
      <c r="L38" s="46">
        <f t="shared" si="18"/>
        <v>6.3700000000000007E-2</v>
      </c>
      <c r="N38" s="8" t="s">
        <v>88</v>
      </c>
      <c r="O38" s="27"/>
      <c r="P38" s="11">
        <f t="shared" si="3"/>
        <v>29</v>
      </c>
      <c r="Q38" s="19"/>
      <c r="R38" s="19" t="s">
        <v>91</v>
      </c>
      <c r="S38" s="19" t="s">
        <v>80</v>
      </c>
      <c r="T38" s="11" t="str">
        <f>T37</f>
        <v>Exhibit JDT-5, GAS RATE SPREAD DESIGN</v>
      </c>
      <c r="U38" s="46">
        <f t="shared" si="19"/>
        <v>0.17444000000000001</v>
      </c>
      <c r="V38" s="46">
        <f t="shared" si="20"/>
        <v>0.12726999999999999</v>
      </c>
      <c r="W38" s="46">
        <v>-2.2100000000000002E-3</v>
      </c>
      <c r="X38" s="46">
        <v>6.2480000000000001E-2</v>
      </c>
      <c r="Y38" s="46">
        <f t="shared" si="21"/>
        <v>0.18754000000000001</v>
      </c>
      <c r="AA38" s="46">
        <f t="shared" si="22"/>
        <v>1.3100000000000001E-2</v>
      </c>
      <c r="AC38" s="8" t="str">
        <f t="shared" si="23"/>
        <v>Sheet No. 1142-B</v>
      </c>
      <c r="AD38" s="27"/>
      <c r="AE38" s="11">
        <f t="shared" si="4"/>
        <v>29</v>
      </c>
      <c r="AF38" s="19"/>
      <c r="AG38" s="19" t="s">
        <v>91</v>
      </c>
      <c r="AH38" s="19" t="s">
        <v>80</v>
      </c>
      <c r="AI38" s="11" t="str">
        <f>AI37</f>
        <v>Exhibit JDT-5, GAS RATE SPREAD DESIGN</v>
      </c>
      <c r="AJ38" s="46">
        <f t="shared" si="24"/>
        <v>0.18754000000000001</v>
      </c>
      <c r="AK38" s="46">
        <f t="shared" si="25"/>
        <v>0.12726999999999999</v>
      </c>
      <c r="AL38" s="46">
        <v>-9.9299999999999996E-3</v>
      </c>
      <c r="AM38" s="46">
        <v>8.0869999999999997E-2</v>
      </c>
      <c r="AN38" s="46">
        <f t="shared" si="26"/>
        <v>0.19821</v>
      </c>
      <c r="AP38" s="46">
        <f t="shared" si="27"/>
        <v>1.0669999999999985E-2</v>
      </c>
      <c r="AR38" s="8" t="str">
        <f t="shared" si="28"/>
        <v>Sheet No. 1142-B</v>
      </c>
    </row>
    <row r="39" spans="1:44" ht="12.75" customHeight="1" x14ac:dyDescent="0.2">
      <c r="A39" s="11">
        <f t="shared" si="2"/>
        <v>30</v>
      </c>
      <c r="B39" s="19"/>
      <c r="F39" s="46"/>
      <c r="G39" s="46"/>
      <c r="H39" s="46"/>
      <c r="I39" s="46"/>
      <c r="J39" s="46"/>
      <c r="L39" s="46"/>
      <c r="O39" s="27"/>
      <c r="P39" s="11">
        <f t="shared" si="3"/>
        <v>30</v>
      </c>
      <c r="Q39" s="19"/>
      <c r="U39" s="46"/>
      <c r="V39" s="46"/>
      <c r="W39" s="46"/>
      <c r="X39" s="46"/>
      <c r="Y39" s="46"/>
      <c r="AA39" s="46"/>
      <c r="AD39" s="27"/>
      <c r="AE39" s="11">
        <f t="shared" si="4"/>
        <v>30</v>
      </c>
      <c r="AF39" s="19"/>
      <c r="AJ39" s="46"/>
      <c r="AK39" s="46"/>
      <c r="AL39" s="46"/>
      <c r="AM39" s="46"/>
      <c r="AN39" s="46"/>
      <c r="AP39" s="46"/>
    </row>
    <row r="40" spans="1:44" ht="12.75" customHeight="1" x14ac:dyDescent="0.2">
      <c r="A40" s="11">
        <f t="shared" si="2"/>
        <v>31</v>
      </c>
      <c r="B40" s="47" t="s">
        <v>93</v>
      </c>
      <c r="C40" s="8"/>
      <c r="D40" s="48"/>
      <c r="E40" s="48"/>
      <c r="F40" s="46"/>
      <c r="G40" s="46"/>
      <c r="H40" s="46"/>
      <c r="I40" s="46"/>
      <c r="J40" s="46"/>
      <c r="L40" s="46"/>
      <c r="O40" s="27"/>
      <c r="P40" s="11">
        <f t="shared" si="3"/>
        <v>31</v>
      </c>
      <c r="Q40" s="44" t="str">
        <f>B40</f>
        <v>Schedule 86 Limited Interruptible - Sales</v>
      </c>
      <c r="R40" s="8"/>
      <c r="S40" s="48"/>
      <c r="T40" s="48"/>
      <c r="U40" s="46"/>
      <c r="V40" s="46"/>
      <c r="W40" s="46"/>
      <c r="X40" s="46"/>
      <c r="Y40" s="46"/>
      <c r="AA40" s="46"/>
      <c r="AD40" s="27"/>
      <c r="AE40" s="11">
        <f t="shared" si="4"/>
        <v>31</v>
      </c>
      <c r="AF40" s="44" t="str">
        <f>Q40</f>
        <v>Schedule 86 Limited Interruptible - Sales</v>
      </c>
      <c r="AG40" s="8"/>
      <c r="AH40" s="48"/>
      <c r="AI40" s="48"/>
      <c r="AJ40" s="46"/>
      <c r="AK40" s="46"/>
      <c r="AL40" s="46"/>
      <c r="AM40" s="46"/>
      <c r="AN40" s="46"/>
      <c r="AP40" s="46"/>
    </row>
    <row r="41" spans="1:44" ht="12.75" customHeight="1" x14ac:dyDescent="0.2">
      <c r="A41" s="11">
        <f t="shared" si="2"/>
        <v>32</v>
      </c>
      <c r="C41" s="19" t="s">
        <v>87</v>
      </c>
      <c r="D41" s="19" t="s">
        <v>80</v>
      </c>
      <c r="E41" s="11" t="str">
        <f>E38</f>
        <v>Exhibit JDT-5, GAS RATE SPREAD DESIGN</v>
      </c>
      <c r="F41" s="49">
        <v>1.35</v>
      </c>
      <c r="G41" s="49">
        <v>1.35</v>
      </c>
      <c r="H41" s="49">
        <v>0</v>
      </c>
      <c r="I41" s="49">
        <v>0</v>
      </c>
      <c r="J41" s="49">
        <f>ROUND(SUM(G41:I41),2)</f>
        <v>1.35</v>
      </c>
      <c r="L41" s="49">
        <f>J41-F41</f>
        <v>0</v>
      </c>
      <c r="N41" s="8" t="s">
        <v>88</v>
      </c>
      <c r="O41" s="27"/>
      <c r="P41" s="11">
        <f t="shared" si="3"/>
        <v>32</v>
      </c>
      <c r="R41" s="19" t="s">
        <v>87</v>
      </c>
      <c r="S41" s="19" t="s">
        <v>80</v>
      </c>
      <c r="T41" s="11" t="str">
        <f>T38</f>
        <v>Exhibit JDT-5, GAS RATE SPREAD DESIGN</v>
      </c>
      <c r="U41" s="49">
        <f>J41</f>
        <v>1.35</v>
      </c>
      <c r="V41" s="49">
        <f>G41</f>
        <v>1.35</v>
      </c>
      <c r="W41" s="49">
        <v>0</v>
      </c>
      <c r="X41" s="49">
        <v>0</v>
      </c>
      <c r="Y41" s="49">
        <f>ROUND(SUM(V41:X41),2)</f>
        <v>1.35</v>
      </c>
      <c r="AA41" s="49">
        <f>Y41-U41</f>
        <v>0</v>
      </c>
      <c r="AC41" s="8" t="str">
        <f>N41</f>
        <v>Sheet No. 1142-B</v>
      </c>
      <c r="AD41" s="27"/>
      <c r="AE41" s="11">
        <f t="shared" si="4"/>
        <v>32</v>
      </c>
      <c r="AG41" s="19" t="s">
        <v>87</v>
      </c>
      <c r="AH41" s="19" t="s">
        <v>80</v>
      </c>
      <c r="AI41" s="11" t="str">
        <f>AI38</f>
        <v>Exhibit JDT-5, GAS RATE SPREAD DESIGN</v>
      </c>
      <c r="AJ41" s="49">
        <f>Y41</f>
        <v>1.35</v>
      </c>
      <c r="AK41" s="49">
        <f>V41</f>
        <v>1.35</v>
      </c>
      <c r="AL41" s="49">
        <v>0</v>
      </c>
      <c r="AM41" s="49">
        <v>0</v>
      </c>
      <c r="AN41" s="49">
        <f>ROUND(SUM(AK41:AM41),2)</f>
        <v>1.35</v>
      </c>
      <c r="AP41" s="49">
        <f>AN41-AJ41</f>
        <v>0</v>
      </c>
      <c r="AR41" s="8" t="str">
        <f>AC41</f>
        <v>Sheet No. 1142-B</v>
      </c>
    </row>
    <row r="42" spans="1:44" ht="12.75" customHeight="1" x14ac:dyDescent="0.2">
      <c r="A42" s="11">
        <f t="shared" si="2"/>
        <v>33</v>
      </c>
      <c r="F42" s="46"/>
      <c r="G42" s="46"/>
      <c r="H42" s="46"/>
      <c r="I42" s="46"/>
      <c r="J42" s="46"/>
      <c r="L42" s="46"/>
      <c r="O42" s="27"/>
      <c r="P42" s="11">
        <f t="shared" si="3"/>
        <v>33</v>
      </c>
      <c r="U42" s="46"/>
      <c r="V42" s="46"/>
      <c r="W42" s="46"/>
      <c r="X42" s="46"/>
      <c r="Y42" s="46"/>
      <c r="AA42" s="46"/>
      <c r="AD42" s="27"/>
      <c r="AE42" s="11">
        <f t="shared" si="4"/>
        <v>33</v>
      </c>
      <c r="AJ42" s="46"/>
      <c r="AK42" s="46"/>
      <c r="AL42" s="46"/>
      <c r="AM42" s="46"/>
      <c r="AN42" s="46"/>
      <c r="AP42" s="46"/>
    </row>
    <row r="43" spans="1:44" ht="12.75" customHeight="1" x14ac:dyDescent="0.2">
      <c r="A43" s="11">
        <f t="shared" si="2"/>
        <v>34</v>
      </c>
      <c r="C43" s="19" t="s">
        <v>89</v>
      </c>
      <c r="F43" s="46"/>
      <c r="G43" s="46"/>
      <c r="H43" s="46"/>
      <c r="I43" s="46"/>
      <c r="J43" s="46"/>
      <c r="L43" s="46"/>
      <c r="O43" s="27"/>
      <c r="P43" s="11">
        <f t="shared" si="3"/>
        <v>34</v>
      </c>
      <c r="R43" s="19" t="s">
        <v>89</v>
      </c>
      <c r="U43" s="46"/>
      <c r="V43" s="46"/>
      <c r="W43" s="46"/>
      <c r="X43" s="46"/>
      <c r="Y43" s="46"/>
      <c r="AA43" s="46"/>
      <c r="AD43" s="27"/>
      <c r="AE43" s="11">
        <f t="shared" si="4"/>
        <v>34</v>
      </c>
      <c r="AG43" s="19" t="s">
        <v>89</v>
      </c>
      <c r="AJ43" s="46"/>
      <c r="AK43" s="46"/>
      <c r="AL43" s="46"/>
      <c r="AM43" s="46"/>
      <c r="AN43" s="46"/>
      <c r="AP43" s="46"/>
    </row>
    <row r="44" spans="1:44" ht="12.75" customHeight="1" x14ac:dyDescent="0.2">
      <c r="A44" s="11">
        <f t="shared" si="2"/>
        <v>35</v>
      </c>
      <c r="C44" s="19" t="s">
        <v>94</v>
      </c>
      <c r="D44" s="19" t="s">
        <v>80</v>
      </c>
      <c r="E44" s="11" t="str">
        <f>E41</f>
        <v>Exhibit JDT-5, GAS RATE SPREAD DESIGN</v>
      </c>
      <c r="F44" s="46">
        <v>0.18382000000000001</v>
      </c>
      <c r="G44" s="46">
        <v>0.18382000000000001</v>
      </c>
      <c r="H44" s="46">
        <v>6.7999999999999996E-3</v>
      </c>
      <c r="I44" s="46">
        <v>2.819E-2</v>
      </c>
      <c r="J44" s="46">
        <f t="shared" ref="J44:J47" si="29">ROUND(SUM(G44:I44),5)</f>
        <v>0.21881</v>
      </c>
      <c r="L44" s="46">
        <f t="shared" ref="L44:L45" si="30">J44-F44</f>
        <v>3.4989999999999993E-2</v>
      </c>
      <c r="N44" s="8" t="s">
        <v>88</v>
      </c>
      <c r="O44" s="27"/>
      <c r="P44" s="11">
        <f t="shared" si="3"/>
        <v>35</v>
      </c>
      <c r="R44" s="19" t="s">
        <v>94</v>
      </c>
      <c r="S44" s="19" t="s">
        <v>80</v>
      </c>
      <c r="T44" s="11" t="str">
        <f>T41</f>
        <v>Exhibit JDT-5, GAS RATE SPREAD DESIGN</v>
      </c>
      <c r="U44" s="46">
        <f t="shared" ref="U44:U45" si="31">J44</f>
        <v>0.21881</v>
      </c>
      <c r="V44" s="46">
        <f t="shared" ref="V44:V45" si="32">G44</f>
        <v>0.18382000000000001</v>
      </c>
      <c r="W44" s="46">
        <v>-1.6999999999999999E-3</v>
      </c>
      <c r="X44" s="46">
        <v>4.8129999999999999E-2</v>
      </c>
      <c r="Y44" s="46">
        <f t="shared" ref="Y44:Y45" si="33">ROUND(SUM(V44:X44),5)</f>
        <v>0.23025000000000001</v>
      </c>
      <c r="AA44" s="46">
        <f t="shared" ref="AA44:AA45" si="34">Y44-U44</f>
        <v>1.1440000000000006E-2</v>
      </c>
      <c r="AC44" s="8" t="str">
        <f t="shared" ref="AC44:AC45" si="35">N44</f>
        <v>Sheet No. 1142-B</v>
      </c>
      <c r="AD44" s="27"/>
      <c r="AE44" s="11">
        <f t="shared" si="4"/>
        <v>35</v>
      </c>
      <c r="AG44" s="19" t="s">
        <v>94</v>
      </c>
      <c r="AH44" s="19" t="s">
        <v>80</v>
      </c>
      <c r="AI44" s="11" t="str">
        <f>AI41</f>
        <v>Exhibit JDT-5, GAS RATE SPREAD DESIGN</v>
      </c>
      <c r="AJ44" s="46">
        <f t="shared" ref="AJ44:AJ45" si="36">Y44</f>
        <v>0.23025000000000001</v>
      </c>
      <c r="AK44" s="46">
        <f t="shared" ref="AK44:AK45" si="37">V44</f>
        <v>0.18382000000000001</v>
      </c>
      <c r="AL44" s="46">
        <v>-7.9699999999999997E-3</v>
      </c>
      <c r="AM44" s="46">
        <v>6.4939999999999998E-2</v>
      </c>
      <c r="AN44" s="46">
        <f t="shared" ref="AN44:AN45" si="38">ROUND(SUM(AK44:AM44),5)</f>
        <v>0.24079</v>
      </c>
      <c r="AP44" s="46">
        <f t="shared" ref="AP44:AP45" si="39">AN44-AJ44</f>
        <v>1.0539999999999994E-2</v>
      </c>
      <c r="AR44" s="8" t="str">
        <f t="shared" ref="AR44:AR45" si="40">AC44</f>
        <v>Sheet No. 1142-B</v>
      </c>
    </row>
    <row r="45" spans="1:44" ht="12.75" customHeight="1" x14ac:dyDescent="0.2">
      <c r="A45" s="11">
        <f t="shared" si="2"/>
        <v>36</v>
      </c>
      <c r="C45" s="19" t="s">
        <v>95</v>
      </c>
      <c r="D45" s="19" t="s">
        <v>80</v>
      </c>
      <c r="E45" s="11" t="str">
        <f>E44</f>
        <v>Exhibit JDT-5, GAS RATE SPREAD DESIGN</v>
      </c>
      <c r="F45" s="46">
        <v>0.13031000000000001</v>
      </c>
      <c r="G45" s="46">
        <v>0.13031000000000001</v>
      </c>
      <c r="H45" s="46">
        <v>6.7999999999999996E-3</v>
      </c>
      <c r="I45" s="46">
        <v>2.819E-2</v>
      </c>
      <c r="J45" s="46">
        <f t="shared" si="29"/>
        <v>0.1653</v>
      </c>
      <c r="L45" s="46">
        <f t="shared" si="30"/>
        <v>3.4989999999999993E-2</v>
      </c>
      <c r="N45" s="8" t="s">
        <v>88</v>
      </c>
      <c r="O45" s="27"/>
      <c r="P45" s="11">
        <f t="shared" si="3"/>
        <v>36</v>
      </c>
      <c r="R45" s="19" t="s">
        <v>95</v>
      </c>
      <c r="S45" s="19" t="s">
        <v>80</v>
      </c>
      <c r="T45" s="11" t="str">
        <f>T44</f>
        <v>Exhibit JDT-5, GAS RATE SPREAD DESIGN</v>
      </c>
      <c r="U45" s="46">
        <f t="shared" si="31"/>
        <v>0.1653</v>
      </c>
      <c r="V45" s="46">
        <f t="shared" si="32"/>
        <v>0.13031000000000001</v>
      </c>
      <c r="W45" s="46">
        <v>-1.6999999999999999E-3</v>
      </c>
      <c r="X45" s="46">
        <v>4.8129999999999999E-2</v>
      </c>
      <c r="Y45" s="46">
        <f t="shared" si="33"/>
        <v>0.17674000000000001</v>
      </c>
      <c r="AA45" s="46">
        <f t="shared" si="34"/>
        <v>1.1440000000000006E-2</v>
      </c>
      <c r="AC45" s="8" t="str">
        <f t="shared" si="35"/>
        <v>Sheet No. 1142-B</v>
      </c>
      <c r="AD45" s="27"/>
      <c r="AE45" s="11">
        <f t="shared" si="4"/>
        <v>36</v>
      </c>
      <c r="AG45" s="19" t="s">
        <v>95</v>
      </c>
      <c r="AH45" s="19" t="s">
        <v>80</v>
      </c>
      <c r="AI45" s="11" t="str">
        <f>AI44</f>
        <v>Exhibit JDT-5, GAS RATE SPREAD DESIGN</v>
      </c>
      <c r="AJ45" s="46">
        <f t="shared" si="36"/>
        <v>0.17674000000000001</v>
      </c>
      <c r="AK45" s="46">
        <f t="shared" si="37"/>
        <v>0.13031000000000001</v>
      </c>
      <c r="AL45" s="46">
        <v>-7.9699999999999997E-3</v>
      </c>
      <c r="AM45" s="46">
        <v>6.4939999999999998E-2</v>
      </c>
      <c r="AN45" s="46">
        <f t="shared" si="38"/>
        <v>0.18728</v>
      </c>
      <c r="AP45" s="46">
        <f t="shared" si="39"/>
        <v>1.0539999999999994E-2</v>
      </c>
      <c r="AR45" s="8" t="str">
        <f t="shared" si="40"/>
        <v>Sheet No. 1142-B</v>
      </c>
    </row>
    <row r="46" spans="1:44" ht="12.75" customHeight="1" x14ac:dyDescent="0.2">
      <c r="A46" s="11">
        <f t="shared" si="2"/>
        <v>37</v>
      </c>
      <c r="F46" s="46"/>
      <c r="G46" s="46"/>
      <c r="H46" s="46"/>
      <c r="I46" s="46"/>
      <c r="J46" s="46"/>
      <c r="L46" s="46"/>
      <c r="O46" s="27"/>
      <c r="P46" s="11">
        <f t="shared" si="3"/>
        <v>37</v>
      </c>
      <c r="U46" s="46"/>
      <c r="V46" s="46"/>
      <c r="W46" s="46"/>
      <c r="X46" s="46"/>
      <c r="Y46" s="46"/>
      <c r="AA46" s="46"/>
      <c r="AD46" s="27"/>
      <c r="AE46" s="11">
        <f t="shared" si="4"/>
        <v>37</v>
      </c>
      <c r="AJ46" s="46"/>
      <c r="AK46" s="46"/>
      <c r="AL46" s="46"/>
      <c r="AM46" s="46"/>
      <c r="AN46" s="46"/>
      <c r="AP46" s="46"/>
    </row>
    <row r="47" spans="1:44" ht="12.75" customHeight="1" x14ac:dyDescent="0.2">
      <c r="A47" s="11">
        <f t="shared" si="2"/>
        <v>38</v>
      </c>
      <c r="C47" s="19" t="s">
        <v>84</v>
      </c>
      <c r="D47" s="19" t="s">
        <v>80</v>
      </c>
      <c r="E47" s="11" t="str">
        <f>E45</f>
        <v>Exhibit JDT-5, GAS RATE SPREAD DESIGN</v>
      </c>
      <c r="F47" s="46">
        <v>1.222E-2</v>
      </c>
      <c r="G47" s="46">
        <v>1.222E-2</v>
      </c>
      <c r="H47" s="46">
        <v>0</v>
      </c>
      <c r="I47" s="46">
        <v>0</v>
      </c>
      <c r="J47" s="46">
        <f t="shared" si="29"/>
        <v>1.222E-2</v>
      </c>
      <c r="L47" s="46">
        <f>J47-F47</f>
        <v>0</v>
      </c>
      <c r="N47" s="8" t="s">
        <v>88</v>
      </c>
      <c r="O47" s="27"/>
      <c r="P47" s="11">
        <f t="shared" si="3"/>
        <v>38</v>
      </c>
      <c r="R47" s="19" t="s">
        <v>84</v>
      </c>
      <c r="S47" s="19" t="s">
        <v>80</v>
      </c>
      <c r="T47" s="11" t="str">
        <f>T45</f>
        <v>Exhibit JDT-5, GAS RATE SPREAD DESIGN</v>
      </c>
      <c r="U47" s="46">
        <f>J47</f>
        <v>1.222E-2</v>
      </c>
      <c r="V47" s="46">
        <f>G47</f>
        <v>1.222E-2</v>
      </c>
      <c r="W47" s="46">
        <v>0</v>
      </c>
      <c r="X47" s="46">
        <v>0</v>
      </c>
      <c r="Y47" s="46">
        <f t="shared" ref="Y47" si="41">ROUND(SUM(V47:X47),5)</f>
        <v>1.222E-2</v>
      </c>
      <c r="AA47" s="46">
        <f>Y47-U47</f>
        <v>0</v>
      </c>
      <c r="AC47" s="8" t="str">
        <f>N47</f>
        <v>Sheet No. 1142-B</v>
      </c>
      <c r="AD47" s="27"/>
      <c r="AE47" s="11">
        <f t="shared" si="4"/>
        <v>38</v>
      </c>
      <c r="AG47" s="19" t="s">
        <v>84</v>
      </c>
      <c r="AH47" s="19" t="s">
        <v>80</v>
      </c>
      <c r="AI47" s="11" t="str">
        <f>AI45</f>
        <v>Exhibit JDT-5, GAS RATE SPREAD DESIGN</v>
      </c>
      <c r="AJ47" s="46">
        <f>Y47</f>
        <v>1.222E-2</v>
      </c>
      <c r="AK47" s="46">
        <f>V47</f>
        <v>1.222E-2</v>
      </c>
      <c r="AL47" s="46">
        <v>0</v>
      </c>
      <c r="AM47" s="46">
        <v>0</v>
      </c>
      <c r="AN47" s="46">
        <f t="shared" ref="AN47" si="42">ROUND(SUM(AK47:AM47),5)</f>
        <v>1.222E-2</v>
      </c>
      <c r="AP47" s="46">
        <f>AN47-AJ47</f>
        <v>0</v>
      </c>
      <c r="AR47" s="8" t="str">
        <f>AC47</f>
        <v>Sheet No. 1142-B</v>
      </c>
    </row>
    <row r="48" spans="1:44" ht="12.75" customHeight="1" x14ac:dyDescent="0.2">
      <c r="A48" s="11">
        <f t="shared" si="2"/>
        <v>39</v>
      </c>
      <c r="C48" s="48"/>
      <c r="D48" s="48"/>
      <c r="E48" s="48"/>
      <c r="F48" s="46"/>
      <c r="G48" s="46"/>
      <c r="H48" s="46"/>
      <c r="I48" s="46"/>
      <c r="J48" s="46"/>
      <c r="L48" s="46"/>
      <c r="O48" s="27"/>
      <c r="P48" s="11">
        <f t="shared" si="3"/>
        <v>39</v>
      </c>
      <c r="R48" s="48"/>
      <c r="S48" s="48"/>
      <c r="T48" s="48"/>
      <c r="U48" s="46"/>
      <c r="V48" s="46"/>
      <c r="W48" s="46"/>
      <c r="X48" s="46"/>
      <c r="Y48" s="46"/>
      <c r="AA48" s="46"/>
      <c r="AD48" s="27"/>
      <c r="AE48" s="11">
        <f t="shared" si="4"/>
        <v>39</v>
      </c>
      <c r="AG48" s="48"/>
      <c r="AH48" s="48"/>
      <c r="AI48" s="48"/>
      <c r="AJ48" s="46"/>
      <c r="AK48" s="46"/>
      <c r="AL48" s="46"/>
      <c r="AM48" s="46"/>
      <c r="AN48" s="46"/>
      <c r="AP48" s="46"/>
    </row>
    <row r="49" spans="1:44" ht="12.75" customHeight="1" x14ac:dyDescent="0.2">
      <c r="A49" s="11">
        <f t="shared" si="2"/>
        <v>40</v>
      </c>
      <c r="B49" s="47" t="s">
        <v>96</v>
      </c>
      <c r="C49" s="8"/>
      <c r="D49" s="48"/>
      <c r="E49" s="48"/>
      <c r="F49" s="46"/>
      <c r="G49" s="46"/>
      <c r="H49" s="46"/>
      <c r="I49" s="46"/>
      <c r="J49" s="46"/>
      <c r="L49" s="46"/>
      <c r="O49" s="27"/>
      <c r="P49" s="11">
        <f t="shared" si="3"/>
        <v>40</v>
      </c>
      <c r="Q49" s="44" t="str">
        <f>B49</f>
        <v>Schedule 86 Limited Interruptible - Transportation</v>
      </c>
      <c r="R49" s="8"/>
      <c r="S49" s="48"/>
      <c r="T49" s="48"/>
      <c r="U49" s="46"/>
      <c r="V49" s="46"/>
      <c r="W49" s="46"/>
      <c r="X49" s="46"/>
      <c r="Y49" s="46"/>
      <c r="AA49" s="46"/>
      <c r="AD49" s="27"/>
      <c r="AE49" s="11">
        <f t="shared" si="4"/>
        <v>40</v>
      </c>
      <c r="AF49" s="44" t="str">
        <f>Q49</f>
        <v>Schedule 86 Limited Interruptible - Transportation</v>
      </c>
      <c r="AG49" s="8"/>
      <c r="AH49" s="48"/>
      <c r="AI49" s="48"/>
      <c r="AJ49" s="46"/>
      <c r="AK49" s="46"/>
      <c r="AL49" s="46"/>
      <c r="AM49" s="46"/>
      <c r="AN49" s="46"/>
      <c r="AP49" s="46"/>
    </row>
    <row r="50" spans="1:44" ht="12.75" customHeight="1" x14ac:dyDescent="0.2">
      <c r="A50" s="11">
        <f t="shared" si="2"/>
        <v>41</v>
      </c>
      <c r="B50" s="19"/>
      <c r="C50" s="19" t="s">
        <v>87</v>
      </c>
      <c r="D50" s="19" t="s">
        <v>80</v>
      </c>
      <c r="E50" s="11" t="str">
        <f>E47</f>
        <v>Exhibit JDT-5, GAS RATE SPREAD DESIGN</v>
      </c>
      <c r="F50" s="49">
        <v>1.35</v>
      </c>
      <c r="G50" s="49">
        <v>1.35</v>
      </c>
      <c r="H50" s="49">
        <v>0</v>
      </c>
      <c r="I50" s="49">
        <v>0</v>
      </c>
      <c r="J50" s="49">
        <f>ROUND(SUM(G50:I50),2)</f>
        <v>1.35</v>
      </c>
      <c r="L50" s="49">
        <f>J50-F50</f>
        <v>0</v>
      </c>
      <c r="N50" s="8" t="s">
        <v>88</v>
      </c>
      <c r="O50" s="27"/>
      <c r="P50" s="11">
        <f t="shared" si="3"/>
        <v>41</v>
      </c>
      <c r="Q50" s="19"/>
      <c r="R50" s="19" t="s">
        <v>87</v>
      </c>
      <c r="S50" s="19" t="s">
        <v>80</v>
      </c>
      <c r="T50" s="11" t="str">
        <f>T47</f>
        <v>Exhibit JDT-5, GAS RATE SPREAD DESIGN</v>
      </c>
      <c r="U50" s="49">
        <f>J50</f>
        <v>1.35</v>
      </c>
      <c r="V50" s="49">
        <f>G50</f>
        <v>1.35</v>
      </c>
      <c r="W50" s="49">
        <v>0</v>
      </c>
      <c r="X50" s="49">
        <v>0</v>
      </c>
      <c r="Y50" s="49">
        <f>ROUND(SUM(V50:X50),2)</f>
        <v>1.35</v>
      </c>
      <c r="AA50" s="49">
        <f>Y50-U50</f>
        <v>0</v>
      </c>
      <c r="AC50" s="8" t="str">
        <f>N50</f>
        <v>Sheet No. 1142-B</v>
      </c>
      <c r="AD50" s="27"/>
      <c r="AE50" s="11">
        <f t="shared" si="4"/>
        <v>41</v>
      </c>
      <c r="AF50" s="19"/>
      <c r="AG50" s="19" t="s">
        <v>87</v>
      </c>
      <c r="AH50" s="19" t="s">
        <v>80</v>
      </c>
      <c r="AI50" s="11" t="str">
        <f>AI47</f>
        <v>Exhibit JDT-5, GAS RATE SPREAD DESIGN</v>
      </c>
      <c r="AJ50" s="49">
        <f>Y50</f>
        <v>1.35</v>
      </c>
      <c r="AK50" s="49">
        <f>V50</f>
        <v>1.35</v>
      </c>
      <c r="AL50" s="49">
        <v>0</v>
      </c>
      <c r="AM50" s="49">
        <v>0</v>
      </c>
      <c r="AN50" s="49">
        <f>ROUND(SUM(AK50:AM50),2)</f>
        <v>1.35</v>
      </c>
      <c r="AP50" s="49">
        <f>AN50-AJ50</f>
        <v>0</v>
      </c>
      <c r="AR50" s="8" t="str">
        <f>AC50</f>
        <v>Sheet No. 1142-B</v>
      </c>
    </row>
    <row r="51" spans="1:44" ht="12.75" customHeight="1" x14ac:dyDescent="0.2">
      <c r="A51" s="11">
        <f t="shared" si="2"/>
        <v>42</v>
      </c>
      <c r="B51" s="19"/>
      <c r="F51" s="46"/>
      <c r="G51" s="46"/>
      <c r="H51" s="46"/>
      <c r="I51" s="46"/>
      <c r="J51" s="46"/>
      <c r="L51" s="46"/>
      <c r="O51" s="27"/>
      <c r="P51" s="11">
        <f t="shared" si="3"/>
        <v>42</v>
      </c>
      <c r="Q51" s="19"/>
      <c r="U51" s="46"/>
      <c r="V51" s="46"/>
      <c r="W51" s="46"/>
      <c r="X51" s="46"/>
      <c r="Y51" s="46"/>
      <c r="AA51" s="46"/>
      <c r="AD51" s="27"/>
      <c r="AE51" s="11">
        <f t="shared" si="4"/>
        <v>42</v>
      </c>
      <c r="AF51" s="19"/>
      <c r="AJ51" s="46"/>
      <c r="AK51" s="46"/>
      <c r="AL51" s="46"/>
      <c r="AM51" s="46"/>
      <c r="AN51" s="46"/>
      <c r="AP51" s="46"/>
    </row>
    <row r="52" spans="1:44" ht="12.75" customHeight="1" x14ac:dyDescent="0.2">
      <c r="A52" s="11">
        <f t="shared" si="2"/>
        <v>43</v>
      </c>
      <c r="B52" s="19"/>
      <c r="C52" s="19" t="s">
        <v>89</v>
      </c>
      <c r="F52" s="46"/>
      <c r="G52" s="46"/>
      <c r="H52" s="46"/>
      <c r="I52" s="46"/>
      <c r="J52" s="46"/>
      <c r="L52" s="46"/>
      <c r="O52" s="27"/>
      <c r="P52" s="11">
        <f t="shared" si="3"/>
        <v>43</v>
      </c>
      <c r="Q52" s="19"/>
      <c r="R52" s="19" t="s">
        <v>89</v>
      </c>
      <c r="U52" s="46"/>
      <c r="V52" s="46"/>
      <c r="W52" s="46"/>
      <c r="X52" s="46"/>
      <c r="Y52" s="46"/>
      <c r="AA52" s="46"/>
      <c r="AD52" s="27"/>
      <c r="AE52" s="11">
        <f t="shared" si="4"/>
        <v>43</v>
      </c>
      <c r="AF52" s="19"/>
      <c r="AG52" s="19" t="s">
        <v>89</v>
      </c>
      <c r="AJ52" s="46"/>
      <c r="AK52" s="46"/>
      <c r="AL52" s="46"/>
      <c r="AM52" s="46"/>
      <c r="AN52" s="46"/>
      <c r="AP52" s="46"/>
    </row>
    <row r="53" spans="1:44" ht="12.75" customHeight="1" x14ac:dyDescent="0.2">
      <c r="A53" s="11">
        <f t="shared" si="2"/>
        <v>44</v>
      </c>
      <c r="B53" s="19"/>
      <c r="C53" s="19" t="s">
        <v>94</v>
      </c>
      <c r="D53" s="19" t="s">
        <v>80</v>
      </c>
      <c r="E53" s="11" t="str">
        <f>E50</f>
        <v>Exhibit JDT-5, GAS RATE SPREAD DESIGN</v>
      </c>
      <c r="F53" s="46">
        <v>0.18382000000000001</v>
      </c>
      <c r="G53" s="46">
        <v>0.18382000000000001</v>
      </c>
      <c r="H53" s="46">
        <v>6.7999999999999996E-3</v>
      </c>
      <c r="I53" s="46">
        <v>2.819E-2</v>
      </c>
      <c r="J53" s="46">
        <f t="shared" ref="J53:J54" si="43">ROUND(SUM(G53:I53),5)</f>
        <v>0.21881</v>
      </c>
      <c r="L53" s="46">
        <f t="shared" ref="L53:L54" si="44">J53-F53</f>
        <v>3.4989999999999993E-2</v>
      </c>
      <c r="N53" s="8" t="s">
        <v>88</v>
      </c>
      <c r="O53" s="27"/>
      <c r="P53" s="11">
        <f t="shared" si="3"/>
        <v>44</v>
      </c>
      <c r="Q53" s="19"/>
      <c r="R53" s="19" t="s">
        <v>94</v>
      </c>
      <c r="S53" s="19" t="s">
        <v>80</v>
      </c>
      <c r="T53" s="11" t="str">
        <f>T50</f>
        <v>Exhibit JDT-5, GAS RATE SPREAD DESIGN</v>
      </c>
      <c r="U53" s="46">
        <f t="shared" ref="U53:U54" si="45">J53</f>
        <v>0.21881</v>
      </c>
      <c r="V53" s="46">
        <f t="shared" ref="V53:V54" si="46">G53</f>
        <v>0.18382000000000001</v>
      </c>
      <c r="W53" s="46">
        <v>-1.6999999999999999E-3</v>
      </c>
      <c r="X53" s="46">
        <v>4.8129999999999999E-2</v>
      </c>
      <c r="Y53" s="46">
        <f t="shared" ref="Y53:Y54" si="47">ROUND(SUM(V53:X53),5)</f>
        <v>0.23025000000000001</v>
      </c>
      <c r="AA53" s="46">
        <f t="shared" ref="AA53:AA54" si="48">Y53-U53</f>
        <v>1.1440000000000006E-2</v>
      </c>
      <c r="AC53" s="8" t="str">
        <f t="shared" ref="AC53:AC54" si="49">N53</f>
        <v>Sheet No. 1142-B</v>
      </c>
      <c r="AD53" s="27"/>
      <c r="AE53" s="11">
        <f t="shared" si="4"/>
        <v>44</v>
      </c>
      <c r="AF53" s="19"/>
      <c r="AG53" s="19" t="s">
        <v>94</v>
      </c>
      <c r="AH53" s="19" t="s">
        <v>80</v>
      </c>
      <c r="AI53" s="11" t="str">
        <f>AI50</f>
        <v>Exhibit JDT-5, GAS RATE SPREAD DESIGN</v>
      </c>
      <c r="AJ53" s="46">
        <f t="shared" ref="AJ53:AJ54" si="50">Y53</f>
        <v>0.23025000000000001</v>
      </c>
      <c r="AK53" s="46">
        <f t="shared" ref="AK53:AK54" si="51">V53</f>
        <v>0.18382000000000001</v>
      </c>
      <c r="AL53" s="46">
        <v>-7.9699999999999997E-3</v>
      </c>
      <c r="AM53" s="46">
        <v>6.4939999999999998E-2</v>
      </c>
      <c r="AN53" s="46">
        <f t="shared" ref="AN53:AN54" si="52">ROUND(SUM(AK53:AM53),5)</f>
        <v>0.24079</v>
      </c>
      <c r="AP53" s="46">
        <f t="shared" ref="AP53:AP54" si="53">AN53-AJ53</f>
        <v>1.0539999999999994E-2</v>
      </c>
      <c r="AR53" s="8" t="str">
        <f t="shared" ref="AR53:AR54" si="54">AC53</f>
        <v>Sheet No. 1142-B</v>
      </c>
    </row>
    <row r="54" spans="1:44" ht="12.75" customHeight="1" x14ac:dyDescent="0.2">
      <c r="A54" s="11">
        <f t="shared" si="2"/>
        <v>45</v>
      </c>
      <c r="B54" s="19"/>
      <c r="C54" s="19" t="s">
        <v>95</v>
      </c>
      <c r="D54" s="19" t="s">
        <v>80</v>
      </c>
      <c r="E54" s="11" t="str">
        <f>E53</f>
        <v>Exhibit JDT-5, GAS RATE SPREAD DESIGN</v>
      </c>
      <c r="F54" s="46">
        <v>0.13031000000000001</v>
      </c>
      <c r="G54" s="46">
        <v>0.13031000000000001</v>
      </c>
      <c r="H54" s="46">
        <v>6.7999999999999996E-3</v>
      </c>
      <c r="I54" s="46">
        <v>2.819E-2</v>
      </c>
      <c r="J54" s="46">
        <f t="shared" si="43"/>
        <v>0.1653</v>
      </c>
      <c r="L54" s="46">
        <f t="shared" si="44"/>
        <v>3.4989999999999993E-2</v>
      </c>
      <c r="N54" s="8" t="s">
        <v>88</v>
      </c>
      <c r="O54" s="27"/>
      <c r="P54" s="11">
        <f t="shared" si="3"/>
        <v>45</v>
      </c>
      <c r="Q54" s="19"/>
      <c r="R54" s="19" t="s">
        <v>95</v>
      </c>
      <c r="S54" s="19" t="s">
        <v>80</v>
      </c>
      <c r="T54" s="11" t="str">
        <f>T53</f>
        <v>Exhibit JDT-5, GAS RATE SPREAD DESIGN</v>
      </c>
      <c r="U54" s="46">
        <f t="shared" si="45"/>
        <v>0.1653</v>
      </c>
      <c r="V54" s="46">
        <f t="shared" si="46"/>
        <v>0.13031000000000001</v>
      </c>
      <c r="W54" s="46">
        <v>-1.6999999999999999E-3</v>
      </c>
      <c r="X54" s="46">
        <v>4.8129999999999999E-2</v>
      </c>
      <c r="Y54" s="46">
        <f t="shared" si="47"/>
        <v>0.17674000000000001</v>
      </c>
      <c r="AA54" s="46">
        <f t="shared" si="48"/>
        <v>1.1440000000000006E-2</v>
      </c>
      <c r="AC54" s="8" t="str">
        <f t="shared" si="49"/>
        <v>Sheet No. 1142-B</v>
      </c>
      <c r="AD54" s="27"/>
      <c r="AE54" s="11">
        <f t="shared" si="4"/>
        <v>45</v>
      </c>
      <c r="AF54" s="19"/>
      <c r="AG54" s="19" t="s">
        <v>95</v>
      </c>
      <c r="AH54" s="19" t="s">
        <v>80</v>
      </c>
      <c r="AI54" s="11" t="str">
        <f>AI53</f>
        <v>Exhibit JDT-5, GAS RATE SPREAD DESIGN</v>
      </c>
      <c r="AJ54" s="46">
        <f t="shared" si="50"/>
        <v>0.17674000000000001</v>
      </c>
      <c r="AK54" s="46">
        <f t="shared" si="51"/>
        <v>0.13031000000000001</v>
      </c>
      <c r="AL54" s="46">
        <v>-7.9699999999999997E-3</v>
      </c>
      <c r="AM54" s="46">
        <v>6.4939999999999998E-2</v>
      </c>
      <c r="AN54" s="46">
        <f t="shared" si="52"/>
        <v>0.18728</v>
      </c>
      <c r="AP54" s="46">
        <f t="shared" si="53"/>
        <v>1.0539999999999994E-2</v>
      </c>
      <c r="AR54" s="8" t="str">
        <f t="shared" si="54"/>
        <v>Sheet No. 1142-B</v>
      </c>
    </row>
    <row r="55" spans="1:44" ht="12.75" customHeight="1" x14ac:dyDescent="0.2">
      <c r="A55" s="11"/>
      <c r="O55" s="27"/>
      <c r="P55" s="11"/>
      <c r="AD55" s="27"/>
      <c r="AE55" s="11"/>
    </row>
  </sheetData>
  <mergeCells count="18">
    <mergeCell ref="A5:N5"/>
    <mergeCell ref="P5:AC5"/>
    <mergeCell ref="AE5:AR5"/>
    <mergeCell ref="G6:J6"/>
    <mergeCell ref="V6:Y6"/>
    <mergeCell ref="AK6:AN6"/>
    <mergeCell ref="A3:N3"/>
    <mergeCell ref="P3:AC3"/>
    <mergeCell ref="AE3:AR3"/>
    <mergeCell ref="A4:N4"/>
    <mergeCell ref="P4:AC4"/>
    <mergeCell ref="AE4:AR4"/>
    <mergeCell ref="A1:N1"/>
    <mergeCell ref="P1:AC1"/>
    <mergeCell ref="AE1:AR1"/>
    <mergeCell ref="A2:N2"/>
    <mergeCell ref="P2:AC2"/>
    <mergeCell ref="AE2:AR2"/>
  </mergeCells>
  <printOptions horizontalCentered="1"/>
  <pageMargins left="0.7" right="0.7" top="0.75" bottom="0.75" header="0.3" footer="0.3"/>
  <pageSetup scale="55" fitToWidth="3" orientation="landscape" blackAndWhite="1" r:id="rId1"/>
  <headerFooter>
    <oddFooter>&amp;R&amp;A
 Page &amp;P of &amp;N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workbookViewId="0">
      <selection sqref="A1:R1"/>
    </sheetView>
  </sheetViews>
  <sheetFormatPr defaultColWidth="9.140625" defaultRowHeight="11.25" x14ac:dyDescent="0.2"/>
  <cols>
    <col min="1" max="1" width="5.28515625" style="2" customWidth="1"/>
    <col min="2" max="2" width="1.5703125" style="2" customWidth="1"/>
    <col min="3" max="3" width="35.5703125" style="2" bestFit="1" customWidth="1"/>
    <col min="4" max="4" width="28.7109375" style="11" bestFit="1" customWidth="1"/>
    <col min="5" max="5" width="14.140625" style="11" bestFit="1" customWidth="1"/>
    <col min="6" max="6" width="9.85546875" style="11" bestFit="1" customWidth="1"/>
    <col min="7" max="7" width="9.85546875" style="11" customWidth="1"/>
    <col min="8" max="9" width="9.85546875" style="11" bestFit="1" customWidth="1"/>
    <col min="10" max="16" width="9.85546875" style="2" bestFit="1" customWidth="1"/>
    <col min="17" max="17" width="10.7109375" style="2" bestFit="1" customWidth="1"/>
    <col min="18" max="18" width="9.85546875" style="2" bestFit="1" customWidth="1"/>
    <col min="19" max="19" width="0.85546875" style="2" customWidth="1"/>
    <col min="20" max="20" width="5.28515625" style="2" customWidth="1"/>
    <col min="21" max="21" width="1.42578125" style="2" customWidth="1"/>
    <col min="22" max="22" width="35.5703125" style="2" bestFit="1" customWidth="1"/>
    <col min="23" max="23" width="28.7109375" style="2" bestFit="1" customWidth="1"/>
    <col min="24" max="24" width="14.140625" style="2" bestFit="1" customWidth="1"/>
    <col min="25" max="35" width="9.85546875" style="2" bestFit="1" customWidth="1"/>
    <col min="36" max="36" width="10.7109375" style="2" bestFit="1" customWidth="1"/>
    <col min="37" max="37" width="9.85546875" style="2" bestFit="1" customWidth="1"/>
    <col min="38" max="38" width="0.85546875" style="2" customWidth="1"/>
    <col min="39" max="39" width="5" style="2" customWidth="1"/>
    <col min="40" max="40" width="1.7109375" style="2" customWidth="1"/>
    <col min="41" max="41" width="35.5703125" style="2" bestFit="1" customWidth="1"/>
    <col min="42" max="42" width="28.7109375" style="2" bestFit="1" customWidth="1"/>
    <col min="43" max="43" width="14.140625" style="2" bestFit="1" customWidth="1"/>
    <col min="44" max="54" width="9.85546875" style="2" bestFit="1" customWidth="1"/>
    <col min="55" max="55" width="10.7109375" style="2" bestFit="1" customWidth="1"/>
    <col min="56" max="56" width="9.85546875" style="2" bestFit="1" customWidth="1"/>
    <col min="57" max="16384" width="9.140625" style="2"/>
  </cols>
  <sheetData>
    <row r="1" spans="1:5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2"/>
      <c r="T1" s="1" t="str">
        <f>A1</f>
        <v>Puget Sound Energy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2"/>
      <c r="AM1" s="1" t="str">
        <f>T1</f>
        <v>Puget Sound Energy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2">
      <c r="A2" s="1" t="str">
        <f>'Exh. JDT-7 (Delivery Rev)'!A2:O2</f>
        <v>2022 General Rate Case (GRC)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2"/>
      <c r="T2" s="1" t="str">
        <f t="shared" ref="T2:T4" si="0">A2</f>
        <v>2022 General Rate Case (GRC)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2"/>
      <c r="AM2" s="1" t="str">
        <f t="shared" ref="AM2:AM4" si="1">T2</f>
        <v>2022 General Rate Case (GRC)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2"/>
      <c r="T3" s="1" t="str">
        <f t="shared" si="0"/>
        <v>Gas Decoupling Mechanism (Schedule 142)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2"/>
      <c r="AM3" s="1" t="str">
        <f t="shared" si="1"/>
        <v>Gas Decoupling Mechanism (Schedule 142)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x14ac:dyDescent="0.2">
      <c r="A4" s="1" t="s">
        <v>97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2"/>
      <c r="T4" s="1" t="str">
        <f t="shared" si="0"/>
        <v>Development of Monthly Allowed Delivery Revenue Per Customer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22"/>
      <c r="AM4" s="1" t="str">
        <f t="shared" si="1"/>
        <v>Development of Monthly Allowed Delivery Revenue Per Customer</v>
      </c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x14ac:dyDescent="0.2">
      <c r="A5" s="1" t="str">
        <f>'Exh. JDT-7 (Delivery Rev)'!A5:O5</f>
        <v>Proposed Effective January 1, 2023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2"/>
      <c r="T5" s="1" t="str">
        <f>'Exh. JDT-7 (Delivery Rev)'!A40</f>
        <v>Proposed Effective January 1, 2024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2"/>
      <c r="AM5" s="1" t="str">
        <f>'Exh. JDT-7 (Delivery Rev)'!A78</f>
        <v>Proposed Effective January 1, 2025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x14ac:dyDescent="0.2">
      <c r="A6" s="8"/>
      <c r="B6" s="8"/>
      <c r="C6" s="8"/>
      <c r="J6" s="8"/>
      <c r="K6" s="8"/>
      <c r="L6" s="8"/>
      <c r="M6" s="8"/>
      <c r="N6" s="8"/>
      <c r="O6" s="8"/>
      <c r="P6" s="8"/>
      <c r="Q6" s="8"/>
      <c r="R6" s="8"/>
      <c r="S6" s="22"/>
      <c r="T6" s="8"/>
      <c r="U6" s="8"/>
      <c r="V6" s="8"/>
      <c r="W6" s="11"/>
      <c r="X6" s="11"/>
      <c r="Y6" s="11"/>
      <c r="Z6" s="11"/>
      <c r="AA6" s="11"/>
      <c r="AB6" s="11"/>
      <c r="AC6" s="8"/>
      <c r="AD6" s="8"/>
      <c r="AE6" s="8"/>
      <c r="AF6" s="8"/>
      <c r="AG6" s="8"/>
      <c r="AH6" s="8"/>
      <c r="AI6" s="8"/>
      <c r="AJ6" s="8"/>
      <c r="AK6" s="8"/>
      <c r="AL6" s="22"/>
      <c r="AM6" s="8"/>
      <c r="AN6" s="8"/>
      <c r="AO6" s="8"/>
      <c r="AP6" s="11"/>
      <c r="AQ6" s="11"/>
      <c r="AR6" s="11"/>
      <c r="AS6" s="11"/>
      <c r="AT6" s="11"/>
      <c r="AU6" s="11"/>
      <c r="AV6" s="8"/>
      <c r="AW6" s="8"/>
      <c r="AX6" s="8"/>
      <c r="AY6" s="8"/>
      <c r="AZ6" s="8"/>
      <c r="BA6" s="8"/>
      <c r="BB6" s="8"/>
      <c r="BC6" s="8"/>
      <c r="BD6" s="8"/>
    </row>
    <row r="7" spans="1:56" ht="22.5" x14ac:dyDescent="0.2">
      <c r="A7" s="38" t="s">
        <v>98</v>
      </c>
      <c r="B7" s="38"/>
      <c r="C7" s="23"/>
      <c r="D7" s="38" t="s">
        <v>8</v>
      </c>
      <c r="E7" s="38" t="s">
        <v>75</v>
      </c>
      <c r="F7" s="50" t="s">
        <v>99</v>
      </c>
      <c r="G7" s="50" t="s">
        <v>100</v>
      </c>
      <c r="H7" s="50" t="s">
        <v>101</v>
      </c>
      <c r="I7" s="50" t="s">
        <v>102</v>
      </c>
      <c r="J7" s="50" t="s">
        <v>103</v>
      </c>
      <c r="K7" s="50" t="s">
        <v>104</v>
      </c>
      <c r="L7" s="50" t="s">
        <v>105</v>
      </c>
      <c r="M7" s="50" t="s">
        <v>106</v>
      </c>
      <c r="N7" s="50" t="s">
        <v>107</v>
      </c>
      <c r="O7" s="50" t="s">
        <v>108</v>
      </c>
      <c r="P7" s="50" t="s">
        <v>109</v>
      </c>
      <c r="Q7" s="50" t="s">
        <v>110</v>
      </c>
      <c r="R7" s="38" t="s">
        <v>111</v>
      </c>
      <c r="S7" s="22"/>
      <c r="T7" s="38" t="s">
        <v>98</v>
      </c>
      <c r="U7" s="38"/>
      <c r="V7" s="23"/>
      <c r="W7" s="38" t="s">
        <v>8</v>
      </c>
      <c r="X7" s="38" t="s">
        <v>75</v>
      </c>
      <c r="Y7" s="50" t="s">
        <v>99</v>
      </c>
      <c r="Z7" s="50" t="s">
        <v>100</v>
      </c>
      <c r="AA7" s="50" t="s">
        <v>101</v>
      </c>
      <c r="AB7" s="50" t="s">
        <v>102</v>
      </c>
      <c r="AC7" s="50" t="s">
        <v>103</v>
      </c>
      <c r="AD7" s="50" t="s">
        <v>104</v>
      </c>
      <c r="AE7" s="50" t="s">
        <v>105</v>
      </c>
      <c r="AF7" s="50" t="s">
        <v>106</v>
      </c>
      <c r="AG7" s="50" t="s">
        <v>107</v>
      </c>
      <c r="AH7" s="50" t="s">
        <v>108</v>
      </c>
      <c r="AI7" s="50" t="s">
        <v>109</v>
      </c>
      <c r="AJ7" s="50" t="s">
        <v>110</v>
      </c>
      <c r="AK7" s="38" t="s">
        <v>111</v>
      </c>
      <c r="AL7" s="22"/>
      <c r="AM7" s="38" t="s">
        <v>98</v>
      </c>
      <c r="AN7" s="38"/>
      <c r="AO7" s="23"/>
      <c r="AP7" s="38" t="s">
        <v>8</v>
      </c>
      <c r="AQ7" s="38" t="s">
        <v>75</v>
      </c>
      <c r="AR7" s="50" t="s">
        <v>99</v>
      </c>
      <c r="AS7" s="50" t="s">
        <v>100</v>
      </c>
      <c r="AT7" s="50" t="s">
        <v>101</v>
      </c>
      <c r="AU7" s="50" t="s">
        <v>102</v>
      </c>
      <c r="AV7" s="50" t="s">
        <v>103</v>
      </c>
      <c r="AW7" s="50" t="s">
        <v>104</v>
      </c>
      <c r="AX7" s="50" t="s">
        <v>105</v>
      </c>
      <c r="AY7" s="50" t="s">
        <v>106</v>
      </c>
      <c r="AZ7" s="50" t="s">
        <v>107</v>
      </c>
      <c r="BA7" s="50" t="s">
        <v>108</v>
      </c>
      <c r="BB7" s="50" t="s">
        <v>109</v>
      </c>
      <c r="BC7" s="50" t="s">
        <v>110</v>
      </c>
      <c r="BD7" s="38" t="s">
        <v>111</v>
      </c>
    </row>
    <row r="8" spans="1:56" x14ac:dyDescent="0.2">
      <c r="A8" s="8"/>
      <c r="B8" s="8"/>
      <c r="C8" s="11" t="s">
        <v>20</v>
      </c>
      <c r="D8" s="11" t="s">
        <v>21</v>
      </c>
      <c r="E8" s="11" t="s">
        <v>53</v>
      </c>
      <c r="F8" s="11" t="s">
        <v>54</v>
      </c>
      <c r="G8" s="11" t="s">
        <v>55</v>
      </c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30</v>
      </c>
      <c r="N8" s="11" t="s">
        <v>31</v>
      </c>
      <c r="O8" s="11" t="s">
        <v>32</v>
      </c>
      <c r="P8" s="11" t="s">
        <v>112</v>
      </c>
      <c r="Q8" s="11" t="s">
        <v>113</v>
      </c>
      <c r="R8" s="11" t="s">
        <v>114</v>
      </c>
      <c r="S8" s="22"/>
      <c r="T8" s="8"/>
      <c r="U8" s="8"/>
      <c r="V8" s="11" t="s">
        <v>20</v>
      </c>
      <c r="W8" s="11" t="s">
        <v>21</v>
      </c>
      <c r="X8" s="11" t="s">
        <v>53</v>
      </c>
      <c r="Y8" s="11" t="s">
        <v>54</v>
      </c>
      <c r="Z8" s="11" t="s">
        <v>55</v>
      </c>
      <c r="AA8" s="11" t="s">
        <v>25</v>
      </c>
      <c r="AB8" s="11" t="s">
        <v>26</v>
      </c>
      <c r="AC8" s="11" t="s">
        <v>27</v>
      </c>
      <c r="AD8" s="11" t="s">
        <v>28</v>
      </c>
      <c r="AE8" s="11" t="s">
        <v>29</v>
      </c>
      <c r="AF8" s="11" t="s">
        <v>30</v>
      </c>
      <c r="AG8" s="11" t="s">
        <v>31</v>
      </c>
      <c r="AH8" s="11" t="s">
        <v>32</v>
      </c>
      <c r="AI8" s="11" t="s">
        <v>112</v>
      </c>
      <c r="AJ8" s="11" t="s">
        <v>113</v>
      </c>
      <c r="AK8" s="11" t="s">
        <v>114</v>
      </c>
      <c r="AL8" s="22"/>
      <c r="AM8" s="8"/>
      <c r="AN8" s="8"/>
      <c r="AO8" s="11" t="s">
        <v>20</v>
      </c>
      <c r="AP8" s="11" t="s">
        <v>21</v>
      </c>
      <c r="AQ8" s="11" t="s">
        <v>53</v>
      </c>
      <c r="AR8" s="11" t="s">
        <v>54</v>
      </c>
      <c r="AS8" s="11" t="s">
        <v>55</v>
      </c>
      <c r="AT8" s="11" t="s">
        <v>25</v>
      </c>
      <c r="AU8" s="11" t="s">
        <v>26</v>
      </c>
      <c r="AV8" s="11" t="s">
        <v>27</v>
      </c>
      <c r="AW8" s="11" t="s">
        <v>28</v>
      </c>
      <c r="AX8" s="11" t="s">
        <v>29</v>
      </c>
      <c r="AY8" s="11" t="s">
        <v>30</v>
      </c>
      <c r="AZ8" s="11" t="s">
        <v>31</v>
      </c>
      <c r="BA8" s="11" t="s">
        <v>32</v>
      </c>
      <c r="BB8" s="11" t="s">
        <v>112</v>
      </c>
      <c r="BC8" s="11" t="s">
        <v>113</v>
      </c>
      <c r="BD8" s="11" t="s">
        <v>114</v>
      </c>
    </row>
    <row r="9" spans="1:56" x14ac:dyDescent="0.2">
      <c r="A9" s="11"/>
      <c r="B9" s="51" t="s">
        <v>115</v>
      </c>
      <c r="C9" s="12"/>
      <c r="J9" s="11"/>
      <c r="K9" s="11"/>
      <c r="L9" s="8"/>
      <c r="M9" s="8"/>
      <c r="N9" s="8"/>
      <c r="O9" s="8"/>
      <c r="P9" s="8"/>
      <c r="Q9" s="8"/>
      <c r="R9" s="8"/>
      <c r="S9" s="22"/>
      <c r="T9" s="11"/>
      <c r="U9" s="51" t="s">
        <v>115</v>
      </c>
      <c r="V9" s="12"/>
      <c r="W9" s="11"/>
      <c r="X9" s="11"/>
      <c r="Y9" s="11"/>
      <c r="Z9" s="11"/>
      <c r="AA9" s="11"/>
      <c r="AB9" s="11"/>
      <c r="AC9" s="11"/>
      <c r="AD9" s="11"/>
      <c r="AE9" s="8"/>
      <c r="AF9" s="8"/>
      <c r="AG9" s="8"/>
      <c r="AH9" s="8"/>
      <c r="AI9" s="8"/>
      <c r="AJ9" s="8"/>
      <c r="AK9" s="8"/>
      <c r="AL9" s="22"/>
      <c r="AM9" s="11"/>
      <c r="AN9" s="51" t="s">
        <v>115</v>
      </c>
      <c r="AO9" s="12"/>
      <c r="AP9" s="11"/>
      <c r="AQ9" s="11"/>
      <c r="AR9" s="11"/>
      <c r="AS9" s="11"/>
      <c r="AT9" s="11"/>
      <c r="AU9" s="11"/>
      <c r="AV9" s="11"/>
      <c r="AW9" s="11"/>
      <c r="AX9" s="8"/>
      <c r="AY9" s="8"/>
      <c r="AZ9" s="8"/>
      <c r="BA9" s="8"/>
      <c r="BB9" s="8"/>
      <c r="BC9" s="8"/>
      <c r="BD9" s="8"/>
    </row>
    <row r="10" spans="1:56" x14ac:dyDescent="0.2">
      <c r="A10" s="11">
        <v>1</v>
      </c>
      <c r="B10" s="52" t="s">
        <v>116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53"/>
      <c r="S10" s="22"/>
      <c r="T10" s="11">
        <v>1</v>
      </c>
      <c r="U10" s="52" t="str">
        <f>B10</f>
        <v>Schedules 23 (23D1, 23D2) &amp; 53</v>
      </c>
      <c r="W10" s="11"/>
      <c r="X10" s="11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53"/>
      <c r="AL10" s="22"/>
      <c r="AM10" s="11">
        <v>1</v>
      </c>
      <c r="AN10" s="52" t="str">
        <f>U10</f>
        <v>Schedules 23 (23D1, 23D2) &amp; 53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53"/>
    </row>
    <row r="11" spans="1:56" x14ac:dyDescent="0.2">
      <c r="A11" s="11">
        <f t="shared" ref="A11:A33" si="2">A10+1</f>
        <v>2</v>
      </c>
      <c r="B11" s="11"/>
      <c r="C11" s="8" t="s">
        <v>117</v>
      </c>
      <c r="D11" s="13" t="s">
        <v>118</v>
      </c>
      <c r="F11" s="24">
        <v>97941516</v>
      </c>
      <c r="G11" s="24">
        <v>83022104</v>
      </c>
      <c r="H11" s="24">
        <v>75914577</v>
      </c>
      <c r="I11" s="24">
        <v>53571434</v>
      </c>
      <c r="J11" s="24">
        <v>30561974</v>
      </c>
      <c r="K11" s="24">
        <v>20171882</v>
      </c>
      <c r="L11" s="24">
        <v>14529332</v>
      </c>
      <c r="M11" s="24">
        <v>13851846</v>
      </c>
      <c r="N11" s="24">
        <v>20485033</v>
      </c>
      <c r="O11" s="24">
        <v>47224738</v>
      </c>
      <c r="P11" s="24">
        <v>77482026</v>
      </c>
      <c r="Q11" s="24">
        <v>101612899</v>
      </c>
      <c r="R11" s="53">
        <f>SUM(F11:Q11)</f>
        <v>636369361</v>
      </c>
      <c r="S11" s="22"/>
      <c r="T11" s="11">
        <f t="shared" ref="T11:T33" si="3">T10+1</f>
        <v>2</v>
      </c>
      <c r="U11" s="11"/>
      <c r="V11" s="8" t="str">
        <f>C11</f>
        <v>Forecasted Delivered Volumes</v>
      </c>
      <c r="W11" s="11" t="str">
        <f>D11</f>
        <v>Exhibit JDT-3, Gas Normalized Revenue</v>
      </c>
      <c r="X11" s="11"/>
      <c r="Y11" s="24">
        <v>97939022</v>
      </c>
      <c r="Z11" s="24">
        <v>84388896</v>
      </c>
      <c r="AA11" s="24">
        <v>77323969</v>
      </c>
      <c r="AB11" s="24">
        <v>53507958</v>
      </c>
      <c r="AC11" s="24">
        <v>30480725</v>
      </c>
      <c r="AD11" s="24">
        <v>20098155</v>
      </c>
      <c r="AE11" s="24">
        <v>14466554</v>
      </c>
      <c r="AF11" s="24">
        <v>13798925</v>
      </c>
      <c r="AG11" s="24">
        <v>20484242</v>
      </c>
      <c r="AH11" s="24">
        <v>47350638</v>
      </c>
      <c r="AI11" s="24">
        <v>77723497</v>
      </c>
      <c r="AJ11" s="24">
        <v>101901968</v>
      </c>
      <c r="AK11" s="53">
        <f>SUM(Y11:AJ11)</f>
        <v>639464549</v>
      </c>
      <c r="AL11" s="22"/>
      <c r="AM11" s="11">
        <f t="shared" ref="AM11:AM33" si="4">AM10+1</f>
        <v>2</v>
      </c>
      <c r="AN11" s="11"/>
      <c r="AO11" s="8" t="str">
        <f>V11</f>
        <v>Forecasted Delivered Volumes</v>
      </c>
      <c r="AP11" s="11" t="str">
        <f>W11</f>
        <v>Exhibit JDT-3, Gas Normalized Revenue</v>
      </c>
      <c r="AQ11" s="11"/>
      <c r="AR11" s="24">
        <v>98177784</v>
      </c>
      <c r="AS11" s="24">
        <v>83246249</v>
      </c>
      <c r="AT11" s="24">
        <v>76142390</v>
      </c>
      <c r="AU11" s="24">
        <v>53627420</v>
      </c>
      <c r="AV11" s="24">
        <v>30542138</v>
      </c>
      <c r="AW11" s="24">
        <v>20137499</v>
      </c>
      <c r="AX11" s="24">
        <v>14471809</v>
      </c>
      <c r="AY11" s="24">
        <v>13773292</v>
      </c>
      <c r="AZ11" s="24">
        <v>20476927</v>
      </c>
      <c r="BA11" s="24">
        <v>47450436</v>
      </c>
      <c r="BB11" s="24">
        <v>77975344</v>
      </c>
      <c r="BC11" s="24">
        <v>102246425</v>
      </c>
      <c r="BD11" s="53">
        <f>SUM(AR11:BC11)</f>
        <v>638267713</v>
      </c>
    </row>
    <row r="12" spans="1:56" x14ac:dyDescent="0.2">
      <c r="A12" s="11">
        <f t="shared" si="2"/>
        <v>3</v>
      </c>
      <c r="B12" s="11"/>
      <c r="C12" s="8" t="s">
        <v>119</v>
      </c>
      <c r="D12" s="13" t="s">
        <v>120</v>
      </c>
      <c r="F12" s="54">
        <f t="shared" ref="F12:Q12" si="5">F11/$R11</f>
        <v>0.15390671204863365</v>
      </c>
      <c r="G12" s="54">
        <f t="shared" si="5"/>
        <v>0.13046213266700626</v>
      </c>
      <c r="H12" s="54">
        <f t="shared" si="5"/>
        <v>0.11929326214056997</v>
      </c>
      <c r="I12" s="54">
        <f t="shared" si="5"/>
        <v>8.4182924702435505E-2</v>
      </c>
      <c r="J12" s="54">
        <f t="shared" si="5"/>
        <v>4.8025527112076034E-2</v>
      </c>
      <c r="K12" s="54">
        <f t="shared" si="5"/>
        <v>3.1698386560128564E-2</v>
      </c>
      <c r="L12" s="54">
        <f t="shared" si="5"/>
        <v>2.2831602038741145E-2</v>
      </c>
      <c r="M12" s="54">
        <f t="shared" si="5"/>
        <v>2.1766990758689278E-2</v>
      </c>
      <c r="N12" s="54">
        <f t="shared" si="5"/>
        <v>3.2190476561928631E-2</v>
      </c>
      <c r="O12" s="54">
        <f t="shared" si="5"/>
        <v>7.4209634992153564E-2</v>
      </c>
      <c r="P12" s="54">
        <f t="shared" si="5"/>
        <v>0.12175637412562357</v>
      </c>
      <c r="Q12" s="54">
        <f t="shared" si="5"/>
        <v>0.15967597629201385</v>
      </c>
      <c r="R12" s="54">
        <f>SUM(F12:Q12)</f>
        <v>1</v>
      </c>
      <c r="S12" s="22"/>
      <c r="T12" s="11">
        <f t="shared" si="3"/>
        <v>3</v>
      </c>
      <c r="U12" s="11"/>
      <c r="V12" s="8" t="s">
        <v>119</v>
      </c>
      <c r="W12" s="13" t="s">
        <v>120</v>
      </c>
      <c r="X12" s="13"/>
      <c r="Y12" s="54">
        <f>Y11/$AK11</f>
        <v>0.15315786020219238</v>
      </c>
      <c r="Z12" s="54">
        <f t="shared" ref="Z12:AJ12" si="6">Z11/$AK11</f>
        <v>0.13196806004643738</v>
      </c>
      <c r="AA12" s="54">
        <f t="shared" si="6"/>
        <v>0.12091986822556444</v>
      </c>
      <c r="AB12" s="54">
        <f t="shared" si="6"/>
        <v>8.3676191406820269E-2</v>
      </c>
      <c r="AC12" s="54">
        <f t="shared" si="6"/>
        <v>4.7666012209224125E-2</v>
      </c>
      <c r="AD12" s="54">
        <f t="shared" si="6"/>
        <v>3.1429662569144236E-2</v>
      </c>
      <c r="AE12" s="54">
        <f t="shared" si="6"/>
        <v>2.2622917912529971E-2</v>
      </c>
      <c r="AF12" s="54">
        <f t="shared" si="6"/>
        <v>2.157887410893829E-2</v>
      </c>
      <c r="AG12" s="54">
        <f t="shared" si="6"/>
        <v>3.2033428642812847E-2</v>
      </c>
      <c r="AH12" s="54">
        <f t="shared" si="6"/>
        <v>7.4047322989284278E-2</v>
      </c>
      <c r="AI12" s="54">
        <f t="shared" si="6"/>
        <v>0.12154465344723903</v>
      </c>
      <c r="AJ12" s="54">
        <f t="shared" si="6"/>
        <v>0.15935514823981276</v>
      </c>
      <c r="AK12" s="54">
        <f>SUM(Y12:AJ12)</f>
        <v>1.0000000000000002</v>
      </c>
      <c r="AL12" s="22"/>
      <c r="AM12" s="11">
        <f t="shared" si="4"/>
        <v>3</v>
      </c>
      <c r="AN12" s="11"/>
      <c r="AO12" s="8" t="s">
        <v>119</v>
      </c>
      <c r="AP12" s="13" t="s">
        <v>120</v>
      </c>
      <c r="AQ12" s="13"/>
      <c r="AR12" s="54">
        <f>AR11/$BD11</f>
        <v>0.1538191294974684</v>
      </c>
      <c r="AS12" s="54">
        <f t="shared" ref="AS12:BC12" si="7">AS11/$BD11</f>
        <v>0.13042528598027331</v>
      </c>
      <c r="AT12" s="54">
        <f t="shared" si="7"/>
        <v>0.11929538099634378</v>
      </c>
      <c r="AU12" s="54">
        <f t="shared" si="7"/>
        <v>8.402026125987043E-2</v>
      </c>
      <c r="AV12" s="54">
        <f t="shared" si="7"/>
        <v>4.7851610504384072E-2</v>
      </c>
      <c r="AW12" s="54">
        <f t="shared" si="7"/>
        <v>3.1550239170565722E-2</v>
      </c>
      <c r="AX12" s="54">
        <f t="shared" si="7"/>
        <v>2.2673572084634021E-2</v>
      </c>
      <c r="AY12" s="54">
        <f t="shared" si="7"/>
        <v>2.157917707487109E-2</v>
      </c>
      <c r="AZ12" s="54">
        <f t="shared" si="7"/>
        <v>3.2082034831049024E-2</v>
      </c>
      <c r="BA12" s="54">
        <f t="shared" si="7"/>
        <v>7.4342529057239023E-2</v>
      </c>
      <c r="BB12" s="54">
        <f t="shared" si="7"/>
        <v>0.12216714461945531</v>
      </c>
      <c r="BC12" s="54">
        <f t="shared" si="7"/>
        <v>0.16019363492384581</v>
      </c>
      <c r="BD12" s="54">
        <f>SUM(AR12:BC12)</f>
        <v>1</v>
      </c>
    </row>
    <row r="13" spans="1:56" x14ac:dyDescent="0.2">
      <c r="A13" s="11">
        <f t="shared" si="2"/>
        <v>4</v>
      </c>
      <c r="B13" s="11"/>
      <c r="C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2"/>
      <c r="T13" s="11">
        <f t="shared" si="3"/>
        <v>4</v>
      </c>
      <c r="U13" s="11"/>
      <c r="V13" s="8"/>
      <c r="W13" s="11"/>
      <c r="X13" s="11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22"/>
      <c r="AM13" s="11">
        <f t="shared" si="4"/>
        <v>4</v>
      </c>
      <c r="AN13" s="11"/>
      <c r="AO13" s="8"/>
      <c r="AP13" s="11"/>
      <c r="AQ13" s="11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6" x14ac:dyDescent="0.2">
      <c r="A14" s="11">
        <f t="shared" si="2"/>
        <v>5</v>
      </c>
      <c r="B14" s="52" t="s">
        <v>121</v>
      </c>
      <c r="D14" s="8"/>
      <c r="E14" s="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8"/>
      <c r="S14" s="22"/>
      <c r="T14" s="11">
        <f t="shared" si="3"/>
        <v>5</v>
      </c>
      <c r="U14" s="52" t="str">
        <f>B14</f>
        <v>Schedules 31 &amp; 31T</v>
      </c>
      <c r="W14" s="8"/>
      <c r="X14" s="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8"/>
      <c r="AL14" s="22"/>
      <c r="AM14" s="11">
        <f t="shared" si="4"/>
        <v>5</v>
      </c>
      <c r="AN14" s="52" t="str">
        <f>U14</f>
        <v>Schedules 31 &amp; 31T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x14ac:dyDescent="0.2">
      <c r="A15" s="11">
        <f t="shared" si="2"/>
        <v>6</v>
      </c>
      <c r="B15" s="11"/>
      <c r="C15" s="8" t="str">
        <f>C11</f>
        <v>Forecasted Delivered Volumes</v>
      </c>
      <c r="D15" s="11" t="str">
        <f>D11</f>
        <v>Exhibit JDT-3, Gas Normalized Revenue</v>
      </c>
      <c r="F15" s="24">
        <v>32817084</v>
      </c>
      <c r="G15" s="24">
        <v>30027991</v>
      </c>
      <c r="H15" s="24">
        <v>27314446</v>
      </c>
      <c r="I15" s="24">
        <v>19909362</v>
      </c>
      <c r="J15" s="24">
        <v>14090953</v>
      </c>
      <c r="K15" s="24">
        <v>10822794</v>
      </c>
      <c r="L15" s="24">
        <v>8983513</v>
      </c>
      <c r="M15" s="24">
        <v>9267701</v>
      </c>
      <c r="N15" s="24">
        <v>10443109</v>
      </c>
      <c r="O15" s="24">
        <v>17484716</v>
      </c>
      <c r="P15" s="24">
        <v>26617127</v>
      </c>
      <c r="Q15" s="24">
        <v>35447849</v>
      </c>
      <c r="R15" s="53">
        <f>SUM(F15:Q15)</f>
        <v>243226645</v>
      </c>
      <c r="S15" s="22"/>
      <c r="T15" s="11">
        <f t="shared" si="3"/>
        <v>6</v>
      </c>
      <c r="U15" s="11"/>
      <c r="V15" s="8" t="str">
        <f>V11</f>
        <v>Forecasted Delivered Volumes</v>
      </c>
      <c r="W15" s="11" t="str">
        <f>W11</f>
        <v>Exhibit JDT-3, Gas Normalized Revenue</v>
      </c>
      <c r="X15" s="11"/>
      <c r="Y15" s="24">
        <v>32931681</v>
      </c>
      <c r="Z15" s="24">
        <v>30628686</v>
      </c>
      <c r="AA15" s="24">
        <v>27971589</v>
      </c>
      <c r="AB15" s="24">
        <v>20041308</v>
      </c>
      <c r="AC15" s="24">
        <v>14238978</v>
      </c>
      <c r="AD15" s="24">
        <v>10980820</v>
      </c>
      <c r="AE15" s="24">
        <v>9139235</v>
      </c>
      <c r="AF15" s="24">
        <v>9434414</v>
      </c>
      <c r="AG15" s="24">
        <v>10598109</v>
      </c>
      <c r="AH15" s="24">
        <v>17668572</v>
      </c>
      <c r="AI15" s="24">
        <v>26777445</v>
      </c>
      <c r="AJ15" s="24">
        <v>35559273</v>
      </c>
      <c r="AK15" s="53">
        <f>SUM(Y15:AJ15)</f>
        <v>245970110</v>
      </c>
      <c r="AL15" s="22"/>
      <c r="AM15" s="11">
        <f t="shared" si="4"/>
        <v>6</v>
      </c>
      <c r="AN15" s="11"/>
      <c r="AO15" s="8" t="str">
        <f>AO11</f>
        <v>Forecasted Delivered Volumes</v>
      </c>
      <c r="AP15" s="11" t="str">
        <f>AP11</f>
        <v>Exhibit JDT-3, Gas Normalized Revenue</v>
      </c>
      <c r="AQ15" s="11"/>
      <c r="AR15" s="24">
        <v>33007145</v>
      </c>
      <c r="AS15" s="24">
        <v>30238890</v>
      </c>
      <c r="AT15" s="24">
        <v>27528234</v>
      </c>
      <c r="AU15" s="24">
        <v>20112912</v>
      </c>
      <c r="AV15" s="24">
        <v>14314688</v>
      </c>
      <c r="AW15" s="24">
        <v>11058666</v>
      </c>
      <c r="AX15" s="24">
        <v>9212342</v>
      </c>
      <c r="AY15" s="24">
        <v>9514510</v>
      </c>
      <c r="AZ15" s="24">
        <v>10674095</v>
      </c>
      <c r="BA15" s="24">
        <v>17763316</v>
      </c>
      <c r="BB15" s="24">
        <v>26860738</v>
      </c>
      <c r="BC15" s="24">
        <v>35622467</v>
      </c>
      <c r="BD15" s="53">
        <f>SUM(AR15:BC15)</f>
        <v>245908003</v>
      </c>
    </row>
    <row r="16" spans="1:56" x14ac:dyDescent="0.2">
      <c r="A16" s="11">
        <f t="shared" si="2"/>
        <v>7</v>
      </c>
      <c r="B16" s="11"/>
      <c r="C16" s="8" t="s">
        <v>119</v>
      </c>
      <c r="D16" s="13" t="s">
        <v>122</v>
      </c>
      <c r="E16" s="13"/>
      <c r="F16" s="54">
        <f t="shared" ref="F16:Q16" si="8">F15/$R15</f>
        <v>0.13492388549782447</v>
      </c>
      <c r="G16" s="54">
        <f t="shared" si="8"/>
        <v>0.12345683179571054</v>
      </c>
      <c r="H16" s="54">
        <f t="shared" si="8"/>
        <v>0.11230038551080619</v>
      </c>
      <c r="I16" s="54">
        <f t="shared" si="8"/>
        <v>8.1855184903775649E-2</v>
      </c>
      <c r="J16" s="54">
        <f t="shared" si="8"/>
        <v>5.7933426660553573E-2</v>
      </c>
      <c r="K16" s="54">
        <f t="shared" si="8"/>
        <v>4.4496745000943465E-2</v>
      </c>
      <c r="L16" s="54">
        <f t="shared" si="8"/>
        <v>3.693474043520191E-2</v>
      </c>
      <c r="M16" s="54">
        <f t="shared" si="8"/>
        <v>3.8103148608574527E-2</v>
      </c>
      <c r="N16" s="54">
        <f t="shared" si="8"/>
        <v>4.2935711258114836E-2</v>
      </c>
      <c r="O16" s="54">
        <f t="shared" si="8"/>
        <v>7.1886515558359163E-2</v>
      </c>
      <c r="P16" s="54">
        <f t="shared" si="8"/>
        <v>0.10943343398910921</v>
      </c>
      <c r="Q16" s="54">
        <f t="shared" si="8"/>
        <v>0.14573999078102648</v>
      </c>
      <c r="R16" s="54">
        <f>SUM(F16:Q16)</f>
        <v>1</v>
      </c>
      <c r="S16" s="22"/>
      <c r="T16" s="11">
        <f t="shared" si="3"/>
        <v>7</v>
      </c>
      <c r="U16" s="11"/>
      <c r="V16" s="8" t="s">
        <v>119</v>
      </c>
      <c r="W16" s="13" t="s">
        <v>122</v>
      </c>
      <c r="X16" s="13"/>
      <c r="Y16" s="54">
        <f>Y15/$AK15</f>
        <v>0.13388488950954244</v>
      </c>
      <c r="Z16" s="54">
        <f t="shared" ref="Z16:AJ16" si="9">Z15/$AK15</f>
        <v>0.12452198358572918</v>
      </c>
      <c r="AA16" s="54">
        <f t="shared" si="9"/>
        <v>0.11371946371857947</v>
      </c>
      <c r="AB16" s="54">
        <f t="shared" si="9"/>
        <v>8.1478631692281631E-2</v>
      </c>
      <c r="AC16" s="54">
        <f t="shared" si="9"/>
        <v>5.7889058146130032E-2</v>
      </c>
      <c r="AD16" s="54">
        <f t="shared" si="9"/>
        <v>4.4642903969104211E-2</v>
      </c>
      <c r="AE16" s="54">
        <f t="shared" si="9"/>
        <v>3.7155876378638042E-2</v>
      </c>
      <c r="AF16" s="54">
        <f t="shared" si="9"/>
        <v>3.835593682500691E-2</v>
      </c>
      <c r="AG16" s="54">
        <f t="shared" si="9"/>
        <v>4.308697914555553E-2</v>
      </c>
      <c r="AH16" s="54">
        <f t="shared" si="9"/>
        <v>7.1832191317880045E-2</v>
      </c>
      <c r="AI16" s="54">
        <f t="shared" si="9"/>
        <v>0.10886462993410052</v>
      </c>
      <c r="AJ16" s="54">
        <f t="shared" si="9"/>
        <v>0.14456745577745198</v>
      </c>
      <c r="AK16" s="54">
        <f>SUM(Y16:AJ16)</f>
        <v>0.99999999999999989</v>
      </c>
      <c r="AL16" s="22"/>
      <c r="AM16" s="11">
        <f t="shared" si="4"/>
        <v>7</v>
      </c>
      <c r="AN16" s="11"/>
      <c r="AO16" s="8" t="s">
        <v>119</v>
      </c>
      <c r="AP16" s="13" t="s">
        <v>122</v>
      </c>
      <c r="AQ16" s="13"/>
      <c r="AR16" s="54">
        <f>AR15/$BD15</f>
        <v>0.13422558272737467</v>
      </c>
      <c r="AS16" s="54">
        <f t="shared" ref="AS16:BC16" si="10">AS15/$BD15</f>
        <v>0.12296830371966382</v>
      </c>
      <c r="AT16" s="54">
        <f t="shared" si="10"/>
        <v>0.11194525458368267</v>
      </c>
      <c r="AU16" s="54">
        <f t="shared" si="10"/>
        <v>8.179039215734675E-2</v>
      </c>
      <c r="AV16" s="54">
        <f t="shared" si="10"/>
        <v>5.8211558084183213E-2</v>
      </c>
      <c r="AW16" s="54">
        <f t="shared" si="10"/>
        <v>4.4970744608096386E-2</v>
      </c>
      <c r="AX16" s="54">
        <f t="shared" si="10"/>
        <v>3.7462554644876689E-2</v>
      </c>
      <c r="AY16" s="54">
        <f t="shared" si="10"/>
        <v>3.8691339378653732E-2</v>
      </c>
      <c r="AZ16" s="54">
        <f t="shared" si="10"/>
        <v>4.3406863012913001E-2</v>
      </c>
      <c r="BA16" s="54">
        <f t="shared" si="10"/>
        <v>7.2235615690799615E-2</v>
      </c>
      <c r="BB16" s="54">
        <f t="shared" si="10"/>
        <v>0.10923084109629405</v>
      </c>
      <c r="BC16" s="54">
        <f t="shared" si="10"/>
        <v>0.14486095029611543</v>
      </c>
      <c r="BD16" s="54">
        <f>SUM(AR16:BC16)</f>
        <v>1</v>
      </c>
    </row>
    <row r="17" spans="1:56" x14ac:dyDescent="0.2">
      <c r="A17" s="11">
        <f t="shared" si="2"/>
        <v>8</v>
      </c>
      <c r="B17" s="11"/>
      <c r="C17" s="8"/>
      <c r="D17" s="13"/>
      <c r="E17" s="1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22"/>
      <c r="T17" s="11">
        <f t="shared" si="3"/>
        <v>8</v>
      </c>
      <c r="U17" s="11"/>
      <c r="V17" s="8"/>
      <c r="W17" s="13"/>
      <c r="X17" s="13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22"/>
      <c r="AM17" s="11">
        <f t="shared" si="4"/>
        <v>8</v>
      </c>
      <c r="AN17" s="11"/>
      <c r="AO17" s="8"/>
      <c r="AP17" s="13"/>
      <c r="AQ17" s="13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</row>
    <row r="18" spans="1:56" x14ac:dyDescent="0.2">
      <c r="A18" s="11">
        <f t="shared" si="2"/>
        <v>9</v>
      </c>
      <c r="B18" s="52" t="s">
        <v>123</v>
      </c>
      <c r="D18" s="8"/>
      <c r="E18" s="8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S18" s="22"/>
      <c r="T18" s="11">
        <f t="shared" si="3"/>
        <v>9</v>
      </c>
      <c r="U18" s="52" t="str">
        <f>B18</f>
        <v>Schedules 41, 41T, 86 &amp; 86T</v>
      </c>
      <c r="V18" s="8"/>
      <c r="W18" s="8"/>
      <c r="X18" s="8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L18" s="22"/>
      <c r="AM18" s="11">
        <f t="shared" si="4"/>
        <v>9</v>
      </c>
      <c r="AN18" s="52" t="str">
        <f>U18</f>
        <v>Schedules 41, 41T, 86 &amp; 86T</v>
      </c>
      <c r="AP18" s="8"/>
      <c r="AQ18" s="8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</row>
    <row r="19" spans="1:56" x14ac:dyDescent="0.2">
      <c r="A19" s="11">
        <f t="shared" si="2"/>
        <v>10</v>
      </c>
      <c r="B19" s="11"/>
      <c r="C19" s="8" t="str">
        <f>C11</f>
        <v>Forecasted Delivered Volumes</v>
      </c>
      <c r="D19" s="11" t="str">
        <f>D15</f>
        <v>Exhibit JDT-3, Gas Normalized Revenue</v>
      </c>
      <c r="F19" s="24">
        <v>10829670</v>
      </c>
      <c r="G19" s="24">
        <v>10811029</v>
      </c>
      <c r="H19" s="24">
        <v>9918653</v>
      </c>
      <c r="I19" s="24">
        <v>8393688</v>
      </c>
      <c r="J19" s="24">
        <v>6950483</v>
      </c>
      <c r="K19" s="24">
        <v>6107460</v>
      </c>
      <c r="L19" s="24">
        <v>5095595</v>
      </c>
      <c r="M19" s="24">
        <v>5222649</v>
      </c>
      <c r="N19" s="24">
        <v>5624870</v>
      </c>
      <c r="O19" s="24">
        <v>7775065</v>
      </c>
      <c r="P19" s="24">
        <v>10236009</v>
      </c>
      <c r="Q19" s="24">
        <v>11656134</v>
      </c>
      <c r="R19" s="53">
        <f>SUM(F19:Q19)</f>
        <v>98621305</v>
      </c>
      <c r="S19" s="22"/>
      <c r="T19" s="11">
        <f t="shared" si="3"/>
        <v>10</v>
      </c>
      <c r="U19" s="11"/>
      <c r="V19" s="8" t="str">
        <f>V11</f>
        <v>Forecasted Delivered Volumes</v>
      </c>
      <c r="W19" s="11" t="str">
        <f>W11</f>
        <v>Exhibit JDT-3, Gas Normalized Revenue</v>
      </c>
      <c r="X19" s="11"/>
      <c r="Y19" s="24">
        <v>10935593</v>
      </c>
      <c r="Z19" s="24">
        <v>10987148</v>
      </c>
      <c r="AA19" s="24">
        <v>10103231</v>
      </c>
      <c r="AB19" s="24">
        <v>8447335</v>
      </c>
      <c r="AC19" s="24">
        <v>6999569</v>
      </c>
      <c r="AD19" s="24">
        <v>6164306</v>
      </c>
      <c r="AE19" s="24">
        <v>5145462</v>
      </c>
      <c r="AF19" s="24">
        <v>5272062</v>
      </c>
      <c r="AG19" s="24">
        <v>5665821</v>
      </c>
      <c r="AH19" s="24">
        <v>7807382</v>
      </c>
      <c r="AI19" s="24">
        <v>10271053</v>
      </c>
      <c r="AJ19" s="24">
        <v>11669923</v>
      </c>
      <c r="AK19" s="53">
        <f>SUM(Y19:AJ19)</f>
        <v>99468885</v>
      </c>
      <c r="AL19" s="22"/>
      <c r="AM19" s="11">
        <f t="shared" si="4"/>
        <v>10</v>
      </c>
      <c r="AN19" s="11"/>
      <c r="AO19" s="8" t="str">
        <f>AO11</f>
        <v>Forecasted Delivered Volumes</v>
      </c>
      <c r="AP19" s="11" t="str">
        <f>AP11</f>
        <v>Exhibit JDT-3, Gas Normalized Revenue</v>
      </c>
      <c r="AQ19" s="11"/>
      <c r="AR19" s="24">
        <v>10870286</v>
      </c>
      <c r="AS19" s="24">
        <v>10878659</v>
      </c>
      <c r="AT19" s="24">
        <v>9979581</v>
      </c>
      <c r="AU19" s="24">
        <v>8480906</v>
      </c>
      <c r="AV19" s="24">
        <v>7024487</v>
      </c>
      <c r="AW19" s="24">
        <v>6195122</v>
      </c>
      <c r="AX19" s="24">
        <v>5171002</v>
      </c>
      <c r="AY19" s="24">
        <v>5296747</v>
      </c>
      <c r="AZ19" s="24">
        <v>5684350</v>
      </c>
      <c r="BA19" s="24">
        <v>7813613</v>
      </c>
      <c r="BB19" s="24">
        <v>10284391</v>
      </c>
      <c r="BC19" s="24">
        <v>11674801</v>
      </c>
      <c r="BD19" s="53">
        <f>SUM(AR19:BC19)</f>
        <v>99353945</v>
      </c>
    </row>
    <row r="20" spans="1:56" x14ac:dyDescent="0.2">
      <c r="A20" s="11">
        <f t="shared" si="2"/>
        <v>11</v>
      </c>
      <c r="B20" s="11"/>
      <c r="C20" s="8" t="s">
        <v>119</v>
      </c>
      <c r="D20" s="13" t="s">
        <v>124</v>
      </c>
      <c r="E20" s="13"/>
      <c r="F20" s="54">
        <f t="shared" ref="F20:Q20" si="11">F19/$R19</f>
        <v>0.10981065399611169</v>
      </c>
      <c r="G20" s="54">
        <f t="shared" si="11"/>
        <v>0.10962163804261159</v>
      </c>
      <c r="H20" s="54">
        <f t="shared" si="11"/>
        <v>0.10057312666872538</v>
      </c>
      <c r="I20" s="54">
        <f t="shared" si="11"/>
        <v>8.5110291331066859E-2</v>
      </c>
      <c r="J20" s="54">
        <f t="shared" si="11"/>
        <v>7.0476485785703202E-2</v>
      </c>
      <c r="K20" s="54">
        <f t="shared" si="11"/>
        <v>6.1928403806865061E-2</v>
      </c>
      <c r="L20" s="54">
        <f t="shared" si="11"/>
        <v>5.1668298244481756E-2</v>
      </c>
      <c r="M20" s="54">
        <f t="shared" si="11"/>
        <v>5.2956599996319256E-2</v>
      </c>
      <c r="N20" s="54">
        <f t="shared" si="11"/>
        <v>5.7035039234169534E-2</v>
      </c>
      <c r="O20" s="54">
        <f t="shared" si="11"/>
        <v>7.8837579770415736E-2</v>
      </c>
      <c r="P20" s="54">
        <f t="shared" si="11"/>
        <v>0.1037910520449917</v>
      </c>
      <c r="Q20" s="54">
        <f t="shared" si="11"/>
        <v>0.11819083107853826</v>
      </c>
      <c r="R20" s="54">
        <f>SUM(F20:Q20)</f>
        <v>1</v>
      </c>
      <c r="S20" s="22"/>
      <c r="T20" s="11">
        <f t="shared" si="3"/>
        <v>11</v>
      </c>
      <c r="U20" s="11"/>
      <c r="V20" s="8" t="s">
        <v>119</v>
      </c>
      <c r="W20" s="13" t="s">
        <v>124</v>
      </c>
      <c r="X20" s="13"/>
      <c r="Y20" s="54">
        <f>Y19/$AK19</f>
        <v>0.10993983696509718</v>
      </c>
      <c r="Z20" s="54">
        <f t="shared" ref="Z20:AJ20" si="12">Z19/$AK19</f>
        <v>0.11045813974892751</v>
      </c>
      <c r="AA20" s="54">
        <f t="shared" si="12"/>
        <v>0.10157177292175337</v>
      </c>
      <c r="AB20" s="54">
        <f t="shared" si="12"/>
        <v>8.492439620691436E-2</v>
      </c>
      <c r="AC20" s="54">
        <f t="shared" si="12"/>
        <v>7.0369432612017321E-2</v>
      </c>
      <c r="AD20" s="54">
        <f t="shared" si="12"/>
        <v>6.1972203669519367E-2</v>
      </c>
      <c r="AE20" s="54">
        <f t="shared" si="12"/>
        <v>5.1729362403127373E-2</v>
      </c>
      <c r="AF20" s="54">
        <f t="shared" si="12"/>
        <v>5.3002122221436382E-2</v>
      </c>
      <c r="AG20" s="54">
        <f t="shared" si="12"/>
        <v>5.6960737018415357E-2</v>
      </c>
      <c r="AH20" s="54">
        <f t="shared" si="12"/>
        <v>7.8490695859313189E-2</v>
      </c>
      <c r="AI20" s="54">
        <f t="shared" si="12"/>
        <v>0.10325895379243469</v>
      </c>
      <c r="AJ20" s="54">
        <f t="shared" si="12"/>
        <v>0.11732234658104392</v>
      </c>
      <c r="AK20" s="54">
        <f>SUM(Y20:AJ20)</f>
        <v>1.0000000000000002</v>
      </c>
      <c r="AL20" s="22"/>
      <c r="AM20" s="11">
        <f t="shared" si="4"/>
        <v>11</v>
      </c>
      <c r="AN20" s="11"/>
      <c r="AO20" s="8" t="s">
        <v>119</v>
      </c>
      <c r="AP20" s="13" t="s">
        <v>124</v>
      </c>
      <c r="AQ20" s="13"/>
      <c r="AR20" s="54">
        <f>AR19/$BD19</f>
        <v>0.10940970688179519</v>
      </c>
      <c r="AS20" s="54">
        <f t="shared" ref="AS20:BC20" si="13">AS19/$BD19</f>
        <v>0.1094939813411536</v>
      </c>
      <c r="AT20" s="54">
        <f t="shared" si="13"/>
        <v>0.1004447382537251</v>
      </c>
      <c r="AU20" s="54">
        <f t="shared" si="13"/>
        <v>8.5360536010925386E-2</v>
      </c>
      <c r="AV20" s="54">
        <f t="shared" si="13"/>
        <v>7.0701641489927747E-2</v>
      </c>
      <c r="AW20" s="54">
        <f t="shared" si="13"/>
        <v>6.2354061532232059E-2</v>
      </c>
      <c r="AX20" s="54">
        <f t="shared" si="13"/>
        <v>5.204626751358489E-2</v>
      </c>
      <c r="AY20" s="54">
        <f t="shared" si="13"/>
        <v>5.331189415780118E-2</v>
      </c>
      <c r="AZ20" s="54">
        <f t="shared" si="13"/>
        <v>5.7213128275882756E-2</v>
      </c>
      <c r="BA20" s="54">
        <f t="shared" si="13"/>
        <v>7.8644214882458874E-2</v>
      </c>
      <c r="BB20" s="54">
        <f t="shared" si="13"/>
        <v>0.10351265870721087</v>
      </c>
      <c r="BC20" s="54">
        <f t="shared" si="13"/>
        <v>0.11750717095330236</v>
      </c>
      <c r="BD20" s="54">
        <f>SUM(AR20:BC20)</f>
        <v>0.99999999999999989</v>
      </c>
    </row>
    <row r="21" spans="1:56" x14ac:dyDescent="0.2">
      <c r="A21" s="11">
        <f t="shared" si="2"/>
        <v>12</v>
      </c>
      <c r="B21" s="11"/>
      <c r="C21" s="8"/>
      <c r="D21" s="13"/>
      <c r="E21" s="1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22"/>
      <c r="T21" s="11">
        <f t="shared" si="3"/>
        <v>12</v>
      </c>
      <c r="U21" s="11"/>
      <c r="V21" s="8"/>
      <c r="W21" s="13"/>
      <c r="X21" s="13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22"/>
      <c r="AM21" s="11">
        <f t="shared" si="4"/>
        <v>12</v>
      </c>
      <c r="AN21" s="11"/>
      <c r="AO21" s="8"/>
      <c r="AP21" s="13"/>
      <c r="AQ21" s="13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</row>
    <row r="22" spans="1:56" x14ac:dyDescent="0.2">
      <c r="A22" s="11">
        <f t="shared" si="2"/>
        <v>13</v>
      </c>
      <c r="B22" s="51" t="s">
        <v>125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22"/>
      <c r="T22" s="11">
        <f t="shared" si="3"/>
        <v>13</v>
      </c>
      <c r="U22" s="51" t="s">
        <v>125</v>
      </c>
      <c r="W22" s="11"/>
      <c r="X22" s="11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22"/>
      <c r="AM22" s="11">
        <f t="shared" si="4"/>
        <v>13</v>
      </c>
      <c r="AN22" s="51" t="s">
        <v>125</v>
      </c>
      <c r="AP22" s="11"/>
      <c r="AQ22" s="11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</row>
    <row r="23" spans="1:56" x14ac:dyDescent="0.2">
      <c r="A23" s="11">
        <f t="shared" si="2"/>
        <v>14</v>
      </c>
      <c r="B23" s="52" t="str">
        <f>B10</f>
        <v>Schedules 23 (23D1, 23D2) &amp; 53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2"/>
      <c r="T23" s="11">
        <f t="shared" si="3"/>
        <v>14</v>
      </c>
      <c r="U23" s="52" t="str">
        <f>B23</f>
        <v>Schedules 23 (23D1, 23D2) &amp; 53</v>
      </c>
      <c r="W23" s="11"/>
      <c r="X23" s="11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2"/>
      <c r="AM23" s="11">
        <f t="shared" si="4"/>
        <v>14</v>
      </c>
      <c r="AN23" s="52" t="str">
        <f>U23</f>
        <v>Schedules 23 (23D1, 23D2) &amp; 53</v>
      </c>
      <c r="AP23" s="11"/>
      <c r="AQ23" s="11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x14ac:dyDescent="0.2">
      <c r="A24" s="11">
        <f t="shared" si="2"/>
        <v>15</v>
      </c>
      <c r="B24" s="11"/>
      <c r="C24" s="8" t="s">
        <v>126</v>
      </c>
      <c r="D24" s="11" t="s">
        <v>127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55">
        <f>'Exh. JDT-7 (Allowed RPC)'!D18</f>
        <v>439.53</v>
      </c>
      <c r="S24" s="22"/>
      <c r="T24" s="11">
        <f t="shared" si="3"/>
        <v>15</v>
      </c>
      <c r="U24" s="11"/>
      <c r="V24" s="8" t="s">
        <v>126</v>
      </c>
      <c r="W24" s="11" t="str">
        <f>D24</f>
        <v>Exhibit JDT-7, Page 2</v>
      </c>
      <c r="X24" s="1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55">
        <f>'Exh. JDT-7 (Allowed RPC)'!D41</f>
        <v>458.96</v>
      </c>
      <c r="AL24" s="22"/>
      <c r="AM24" s="11">
        <f t="shared" si="4"/>
        <v>15</v>
      </c>
      <c r="AN24" s="11"/>
      <c r="AO24" s="8" t="s">
        <v>126</v>
      </c>
      <c r="AP24" s="11" t="str">
        <f>W24</f>
        <v>Exhibit JDT-7, Page 2</v>
      </c>
      <c r="AQ24" s="11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55">
        <f>'Exh. JDT-7 (Allowed RPC)'!D64</f>
        <v>470.96</v>
      </c>
    </row>
    <row r="25" spans="1:56" x14ac:dyDescent="0.2">
      <c r="A25" s="11">
        <f t="shared" si="2"/>
        <v>16</v>
      </c>
      <c r="B25" s="11"/>
      <c r="C25" s="8" t="s">
        <v>125</v>
      </c>
      <c r="D25" s="11" t="str">
        <f>"("&amp;A$12&amp;") x ("&amp;A24&amp;")"</f>
        <v>(3) x (15)</v>
      </c>
      <c r="E25" s="11" t="s">
        <v>128</v>
      </c>
      <c r="F25" s="56">
        <f>$R24*F$12</f>
        <v>67.646617146735949</v>
      </c>
      <c r="G25" s="56">
        <f t="shared" ref="G25:Q25" si="14">$R24*G$12</f>
        <v>57.342021171129261</v>
      </c>
      <c r="H25" s="56">
        <f t="shared" si="14"/>
        <v>52.432967508644715</v>
      </c>
      <c r="I25" s="56">
        <f t="shared" si="14"/>
        <v>37.000920894461473</v>
      </c>
      <c r="J25" s="56">
        <f t="shared" si="14"/>
        <v>21.108659931570777</v>
      </c>
      <c r="K25" s="56">
        <f t="shared" si="14"/>
        <v>13.932391844773306</v>
      </c>
      <c r="L25" s="56">
        <f t="shared" si="14"/>
        <v>10.035174044087896</v>
      </c>
      <c r="M25" s="56">
        <f t="shared" si="14"/>
        <v>9.5672454481666982</v>
      </c>
      <c r="N25" s="56">
        <f t="shared" si="14"/>
        <v>14.148680163264491</v>
      </c>
      <c r="O25" s="56">
        <f t="shared" si="14"/>
        <v>32.617360868101251</v>
      </c>
      <c r="P25" s="56">
        <f t="shared" si="14"/>
        <v>53.515579119435323</v>
      </c>
      <c r="Q25" s="56">
        <f t="shared" si="14"/>
        <v>70.182381859628848</v>
      </c>
      <c r="R25" s="55">
        <f>SUM(F25:Q25)</f>
        <v>439.53</v>
      </c>
      <c r="S25" s="22"/>
      <c r="T25" s="11">
        <f t="shared" si="3"/>
        <v>16</v>
      </c>
      <c r="U25" s="11"/>
      <c r="V25" s="8" t="s">
        <v>125</v>
      </c>
      <c r="W25" s="11" t="str">
        <f>"("&amp;T$12&amp;") x ("&amp;T24&amp;")"</f>
        <v>(3) x (15)</v>
      </c>
      <c r="X25" s="11" t="str">
        <f>E25</f>
        <v>Sheet No. 1142-C</v>
      </c>
      <c r="Y25" s="56">
        <f>$AK24*Y$12</f>
        <v>70.293331518398219</v>
      </c>
      <c r="Z25" s="56">
        <f t="shared" ref="Z25:AJ25" si="15">$AK24*Z$12</f>
        <v>60.568060838912899</v>
      </c>
      <c r="AA25" s="56">
        <f t="shared" si="15"/>
        <v>55.497382720805057</v>
      </c>
      <c r="AB25" s="56">
        <f t="shared" si="15"/>
        <v>38.404024808074226</v>
      </c>
      <c r="AC25" s="56">
        <f t="shared" si="15"/>
        <v>21.876792963545505</v>
      </c>
      <c r="AD25" s="56">
        <f t="shared" si="15"/>
        <v>14.424957932734438</v>
      </c>
      <c r="AE25" s="56">
        <f t="shared" si="15"/>
        <v>10.383014405134755</v>
      </c>
      <c r="AF25" s="56">
        <f t="shared" si="15"/>
        <v>9.9038400610383182</v>
      </c>
      <c r="AG25" s="56">
        <f t="shared" si="15"/>
        <v>14.702062409905384</v>
      </c>
      <c r="AH25" s="56">
        <f t="shared" si="15"/>
        <v>33.984759359161913</v>
      </c>
      <c r="AI25" s="56">
        <f t="shared" si="15"/>
        <v>55.784134146144822</v>
      </c>
      <c r="AJ25" s="56">
        <f t="shared" si="15"/>
        <v>73.137638836144461</v>
      </c>
      <c r="AK25" s="55">
        <f>SUM(Y25:AJ25)</f>
        <v>458.96</v>
      </c>
      <c r="AL25" s="22"/>
      <c r="AM25" s="11">
        <f t="shared" si="4"/>
        <v>16</v>
      </c>
      <c r="AN25" s="11"/>
      <c r="AO25" s="8" t="s">
        <v>125</v>
      </c>
      <c r="AP25" s="11" t="str">
        <f>"("&amp;AM$12&amp;") x ("&amp;AM24&amp;")"</f>
        <v>(3) x (15)</v>
      </c>
      <c r="AQ25" s="11" t="str">
        <f>X25</f>
        <v>Sheet No. 1142-C</v>
      </c>
      <c r="AR25" s="56">
        <f>$BD24*AR$12</f>
        <v>72.442657228127715</v>
      </c>
      <c r="AS25" s="56">
        <f t="shared" ref="AS25:BC25" si="16">$BD24*AS$12</f>
        <v>61.425092685269512</v>
      </c>
      <c r="AT25" s="56">
        <f t="shared" si="16"/>
        <v>56.183352634038066</v>
      </c>
      <c r="AU25" s="56">
        <f t="shared" si="16"/>
        <v>39.570182242948576</v>
      </c>
      <c r="AV25" s="56">
        <f t="shared" si="16"/>
        <v>22.536194483144723</v>
      </c>
      <c r="AW25" s="56">
        <f t="shared" si="16"/>
        <v>14.858900639769631</v>
      </c>
      <c r="AX25" s="56">
        <f t="shared" si="16"/>
        <v>10.678345508979238</v>
      </c>
      <c r="AY25" s="56">
        <f t="shared" si="16"/>
        <v>10.162929235181288</v>
      </c>
      <c r="AZ25" s="56">
        <f t="shared" si="16"/>
        <v>15.109355124030847</v>
      </c>
      <c r="BA25" s="56">
        <f t="shared" si="16"/>
        <v>35.012357484797292</v>
      </c>
      <c r="BB25" s="56">
        <f t="shared" si="16"/>
        <v>57.535838429978668</v>
      </c>
      <c r="BC25" s="56">
        <f t="shared" si="16"/>
        <v>75.444794303734412</v>
      </c>
      <c r="BD25" s="55">
        <f>SUM(AR25:BC25)</f>
        <v>470.96000000000004</v>
      </c>
    </row>
    <row r="26" spans="1:56" x14ac:dyDescent="0.2">
      <c r="A26" s="11">
        <f t="shared" si="2"/>
        <v>17</v>
      </c>
      <c r="B26" s="11"/>
      <c r="C26" s="8"/>
      <c r="D26" s="57"/>
      <c r="E26" s="5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55"/>
      <c r="S26" s="22"/>
      <c r="T26" s="11">
        <f t="shared" si="3"/>
        <v>17</v>
      </c>
      <c r="U26" s="11"/>
      <c r="V26" s="8"/>
      <c r="W26" s="57"/>
      <c r="X26" s="5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55"/>
      <c r="AL26" s="22"/>
      <c r="AM26" s="11">
        <f t="shared" si="4"/>
        <v>17</v>
      </c>
      <c r="AN26" s="11"/>
      <c r="AO26" s="8"/>
      <c r="AP26" s="57"/>
      <c r="AQ26" s="57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55"/>
    </row>
    <row r="27" spans="1:56" x14ac:dyDescent="0.2">
      <c r="A27" s="11">
        <f t="shared" si="2"/>
        <v>18</v>
      </c>
      <c r="B27" s="52" t="str">
        <f>B14</f>
        <v>Schedules 31 &amp; 31T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55"/>
      <c r="S27" s="22"/>
      <c r="T27" s="11">
        <f t="shared" si="3"/>
        <v>18</v>
      </c>
      <c r="U27" s="52" t="str">
        <f>B27</f>
        <v>Schedules 31 &amp; 31T</v>
      </c>
      <c r="W27" s="11"/>
      <c r="X27" s="11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55"/>
      <c r="AL27" s="22"/>
      <c r="AM27" s="11">
        <f t="shared" si="4"/>
        <v>18</v>
      </c>
      <c r="AN27" s="52" t="str">
        <f>U27</f>
        <v>Schedules 31 &amp; 31T</v>
      </c>
      <c r="AP27" s="11"/>
      <c r="AQ27" s="11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55"/>
    </row>
    <row r="28" spans="1:56" x14ac:dyDescent="0.2">
      <c r="A28" s="11">
        <f t="shared" si="2"/>
        <v>19</v>
      </c>
      <c r="B28" s="11"/>
      <c r="C28" s="8" t="s">
        <v>126</v>
      </c>
      <c r="D28" s="11" t="str">
        <f>$D$24</f>
        <v>Exhibit JDT-7, Page 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55">
        <f>'Exh. JDT-7 (Allowed RPC)'!E18</f>
        <v>2350.88</v>
      </c>
      <c r="S28" s="22"/>
      <c r="T28" s="11">
        <f t="shared" si="3"/>
        <v>19</v>
      </c>
      <c r="U28" s="11"/>
      <c r="V28" s="8" t="s">
        <v>126</v>
      </c>
      <c r="W28" s="11" t="str">
        <f>D28</f>
        <v>Exhibit JDT-7, Page 2</v>
      </c>
      <c r="X28" s="11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55">
        <f>'Exh. JDT-7 (Allowed RPC)'!E41</f>
        <v>2494.3200000000002</v>
      </c>
      <c r="AL28" s="22"/>
      <c r="AM28" s="11">
        <f t="shared" si="4"/>
        <v>19</v>
      </c>
      <c r="AN28" s="11"/>
      <c r="AO28" s="8" t="s">
        <v>126</v>
      </c>
      <c r="AP28" s="11" t="str">
        <f>W28</f>
        <v>Exhibit JDT-7, Page 2</v>
      </c>
      <c r="AQ28" s="11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55">
        <f>'Exh. JDT-7 (Allowed RPC)'!E64</f>
        <v>2590.61</v>
      </c>
    </row>
    <row r="29" spans="1:56" x14ac:dyDescent="0.2">
      <c r="A29" s="11">
        <f t="shared" si="2"/>
        <v>20</v>
      </c>
      <c r="B29" s="11"/>
      <c r="C29" s="8" t="s">
        <v>125</v>
      </c>
      <c r="D29" s="11" t="str">
        <f>"("&amp;A$16&amp;") x ("&amp;A28&amp;")"</f>
        <v>(7) x (19)</v>
      </c>
      <c r="E29" s="11" t="s">
        <v>129</v>
      </c>
      <c r="F29" s="56">
        <f>$R28*F$16</f>
        <v>317.18986393912559</v>
      </c>
      <c r="G29" s="56">
        <f t="shared" ref="G29:Q29" si="17">$R28*G$16</f>
        <v>290.23219673189999</v>
      </c>
      <c r="H29" s="56">
        <f t="shared" si="17"/>
        <v>264.00473028964404</v>
      </c>
      <c r="I29" s="56">
        <f t="shared" si="17"/>
        <v>192.43171708658809</v>
      </c>
      <c r="J29" s="56">
        <f t="shared" si="17"/>
        <v>136.19453406776219</v>
      </c>
      <c r="K29" s="56">
        <f t="shared" si="17"/>
        <v>104.60650788781798</v>
      </c>
      <c r="L29" s="56">
        <f t="shared" si="17"/>
        <v>86.82914259430747</v>
      </c>
      <c r="M29" s="56">
        <f t="shared" si="17"/>
        <v>89.575930000925695</v>
      </c>
      <c r="N29" s="56">
        <f t="shared" si="17"/>
        <v>100.93670488247702</v>
      </c>
      <c r="O29" s="56">
        <f t="shared" si="17"/>
        <v>168.9965716958354</v>
      </c>
      <c r="P29" s="56">
        <f t="shared" si="17"/>
        <v>257.26487129631704</v>
      </c>
      <c r="Q29" s="56">
        <f t="shared" si="17"/>
        <v>342.61722952729957</v>
      </c>
      <c r="R29" s="55">
        <f>SUM(F29:Q29)</f>
        <v>2350.88</v>
      </c>
      <c r="S29" s="22"/>
      <c r="T29" s="11">
        <f t="shared" si="3"/>
        <v>20</v>
      </c>
      <c r="U29" s="11"/>
      <c r="V29" s="8" t="s">
        <v>125</v>
      </c>
      <c r="W29" s="11" t="str">
        <f>"("&amp;T$16&amp;") x ("&amp;T28&amp;")"</f>
        <v>(7) x (19)</v>
      </c>
      <c r="X29" s="11" t="str">
        <f>E29</f>
        <v>Sheet No. 1142-D</v>
      </c>
      <c r="Y29" s="56">
        <f>$AK28*Y$16</f>
        <v>333.95175760144195</v>
      </c>
      <c r="Z29" s="56">
        <f t="shared" ref="Z29:AJ29" si="18">$AK28*Z$16</f>
        <v>310.59767409755602</v>
      </c>
      <c r="AA29" s="56">
        <f t="shared" si="18"/>
        <v>283.65273274252718</v>
      </c>
      <c r="AB29" s="56">
        <f t="shared" si="18"/>
        <v>203.23378060269192</v>
      </c>
      <c r="AC29" s="56">
        <f t="shared" si="18"/>
        <v>144.39383551505506</v>
      </c>
      <c r="AD29" s="56">
        <f t="shared" si="18"/>
        <v>111.35368822821603</v>
      </c>
      <c r="AE29" s="56">
        <f t="shared" si="18"/>
        <v>92.678645568764452</v>
      </c>
      <c r="AF29" s="56">
        <f t="shared" si="18"/>
        <v>95.671980341351244</v>
      </c>
      <c r="AG29" s="56">
        <f t="shared" si="18"/>
        <v>107.47271382234207</v>
      </c>
      <c r="AH29" s="56">
        <f t="shared" si="18"/>
        <v>179.17247144801456</v>
      </c>
      <c r="AI29" s="56">
        <f t="shared" si="18"/>
        <v>271.54322373722562</v>
      </c>
      <c r="AJ29" s="56">
        <f t="shared" si="18"/>
        <v>360.59749629481405</v>
      </c>
      <c r="AK29" s="55">
        <f>SUM(Y29:AJ29)</f>
        <v>2494.3200000000002</v>
      </c>
      <c r="AL29" s="22"/>
      <c r="AM29" s="11">
        <f t="shared" si="4"/>
        <v>20</v>
      </c>
      <c r="AN29" s="11"/>
      <c r="AO29" s="8" t="s">
        <v>125</v>
      </c>
      <c r="AP29" s="11" t="str">
        <f>"("&amp;AM$16&amp;") x ("&amp;AM28&amp;")"</f>
        <v>(7) x (19)</v>
      </c>
      <c r="AQ29" s="11" t="str">
        <f>X29</f>
        <v>Sheet No. 1142-D</v>
      </c>
      <c r="AR29" s="56">
        <f>$BD28*AR$16</f>
        <v>347.7261368693641</v>
      </c>
      <c r="AS29" s="56">
        <f t="shared" ref="AS29:BC29" si="19">$BD28*AS$16</f>
        <v>318.56291729919832</v>
      </c>
      <c r="AT29" s="56">
        <f t="shared" si="19"/>
        <v>290.00649597703415</v>
      </c>
      <c r="AU29" s="56">
        <f t="shared" si="19"/>
        <v>211.88700782674408</v>
      </c>
      <c r="AV29" s="56">
        <f t="shared" si="19"/>
        <v>150.80344448846589</v>
      </c>
      <c r="AW29" s="56">
        <f t="shared" si="19"/>
        <v>116.50166068918058</v>
      </c>
      <c r="AX29" s="56">
        <f t="shared" si="19"/>
        <v>97.050868688564009</v>
      </c>
      <c r="AY29" s="56">
        <f t="shared" si="19"/>
        <v>100.23417070773415</v>
      </c>
      <c r="AZ29" s="56">
        <f t="shared" si="19"/>
        <v>112.45025338988256</v>
      </c>
      <c r="BA29" s="56">
        <f t="shared" si="19"/>
        <v>187.1343083647424</v>
      </c>
      <c r="BB29" s="56">
        <f t="shared" si="19"/>
        <v>282.97450925247034</v>
      </c>
      <c r="BC29" s="56">
        <f t="shared" si="19"/>
        <v>375.27822644661961</v>
      </c>
      <c r="BD29" s="55">
        <f>SUM(AR29:BC29)</f>
        <v>2590.61</v>
      </c>
    </row>
    <row r="30" spans="1:56" x14ac:dyDescent="0.2">
      <c r="A30" s="11">
        <f t="shared" si="2"/>
        <v>21</v>
      </c>
      <c r="B30" s="11"/>
      <c r="C30" s="8"/>
      <c r="J30" s="11"/>
      <c r="K30" s="11"/>
      <c r="L30" s="11"/>
      <c r="M30" s="11"/>
      <c r="N30" s="11"/>
      <c r="O30" s="11"/>
      <c r="P30" s="11"/>
      <c r="Q30" s="11"/>
      <c r="R30" s="8"/>
      <c r="S30" s="22"/>
      <c r="T30" s="11">
        <f t="shared" si="3"/>
        <v>21</v>
      </c>
      <c r="U30" s="11"/>
      <c r="V30" s="8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8"/>
      <c r="AL30" s="22"/>
      <c r="AM30" s="11">
        <f t="shared" si="4"/>
        <v>21</v>
      </c>
      <c r="AN30" s="11"/>
      <c r="AO30" s="8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8"/>
    </row>
    <row r="31" spans="1:56" x14ac:dyDescent="0.2">
      <c r="A31" s="11">
        <f t="shared" si="2"/>
        <v>22</v>
      </c>
      <c r="B31" s="52" t="str">
        <f>B18</f>
        <v>Schedules 41, 41T, 86 &amp; 86T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55"/>
      <c r="S31" s="22"/>
      <c r="T31" s="11">
        <f t="shared" si="3"/>
        <v>22</v>
      </c>
      <c r="U31" s="52" t="str">
        <f>B31</f>
        <v>Schedules 41, 41T, 86 &amp; 86T</v>
      </c>
      <c r="W31" s="11"/>
      <c r="X31" s="11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55"/>
      <c r="AL31" s="22"/>
      <c r="AM31" s="11">
        <f t="shared" si="4"/>
        <v>22</v>
      </c>
      <c r="AN31" s="52" t="str">
        <f>U31</f>
        <v>Schedules 41, 41T, 86 &amp; 86T</v>
      </c>
      <c r="AP31" s="11"/>
      <c r="AQ31" s="11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55"/>
    </row>
    <row r="32" spans="1:56" x14ac:dyDescent="0.2">
      <c r="A32" s="11">
        <f t="shared" si="2"/>
        <v>23</v>
      </c>
      <c r="B32" s="11"/>
      <c r="C32" s="8" t="s">
        <v>126</v>
      </c>
      <c r="D32" s="11" t="str">
        <f>$D$24</f>
        <v>Exhibit JDT-7, Page 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55">
        <f>'Exh. JDT-7 (Allowed RPC)'!F18</f>
        <v>17019.939999999999</v>
      </c>
      <c r="S32" s="22"/>
      <c r="T32" s="11">
        <f t="shared" si="3"/>
        <v>23</v>
      </c>
      <c r="U32" s="11"/>
      <c r="V32" s="8" t="s">
        <v>126</v>
      </c>
      <c r="W32" s="11" t="str">
        <f>D32</f>
        <v>Exhibit JDT-7, Page 2</v>
      </c>
      <c r="X32" s="11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55">
        <f>'Exh. JDT-7 (Allowed RPC)'!F41</f>
        <v>18048.650000000001</v>
      </c>
      <c r="AL32" s="22"/>
      <c r="AM32" s="11">
        <f t="shared" si="4"/>
        <v>23</v>
      </c>
      <c r="AN32" s="11"/>
      <c r="AO32" s="8" t="s">
        <v>126</v>
      </c>
      <c r="AP32" s="11" t="str">
        <f>W32</f>
        <v>Exhibit JDT-7, Page 2</v>
      </c>
      <c r="AQ32" s="11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55">
        <f>'Exh. JDT-7 (Allowed RPC)'!F64</f>
        <v>18844.2</v>
      </c>
    </row>
    <row r="33" spans="1:56" x14ac:dyDescent="0.2">
      <c r="A33" s="11">
        <f t="shared" si="2"/>
        <v>24</v>
      </c>
      <c r="B33" s="11"/>
      <c r="C33" s="8" t="s">
        <v>125</v>
      </c>
      <c r="D33" s="11" t="str">
        <f>"("&amp;A$20&amp;") x ("&amp;A32&amp;")"</f>
        <v>(11) x (23)</v>
      </c>
      <c r="E33" s="11" t="s">
        <v>130</v>
      </c>
      <c r="F33" s="56">
        <f>$R32*F$20</f>
        <v>1868.9707423745811</v>
      </c>
      <c r="G33" s="56">
        <f t="shared" ref="G33:Q33" si="20">$R32*G$20</f>
        <v>1865.7537021869666</v>
      </c>
      <c r="H33" s="56">
        <f t="shared" si="20"/>
        <v>1711.7485815141058</v>
      </c>
      <c r="I33" s="56">
        <f t="shared" si="20"/>
        <v>1448.572051837278</v>
      </c>
      <c r="J33" s="56">
        <f t="shared" si="20"/>
        <v>1199.5055594835212</v>
      </c>
      <c r="K33" s="56">
        <f t="shared" si="20"/>
        <v>1054.0177170886147</v>
      </c>
      <c r="L33" s="56">
        <f t="shared" si="20"/>
        <v>879.39133602318475</v>
      </c>
      <c r="M33" s="56">
        <f t="shared" si="20"/>
        <v>901.31815454135392</v>
      </c>
      <c r="N33" s="56">
        <f t="shared" si="20"/>
        <v>970.73294566321135</v>
      </c>
      <c r="O33" s="56">
        <f t="shared" si="20"/>
        <v>1341.8108774376894</v>
      </c>
      <c r="P33" s="56">
        <f t="shared" si="20"/>
        <v>1766.517478342636</v>
      </c>
      <c r="Q33" s="56">
        <f t="shared" si="20"/>
        <v>2011.6008535068563</v>
      </c>
      <c r="R33" s="55">
        <f>SUM(F33:Q33)</f>
        <v>17019.939999999999</v>
      </c>
      <c r="S33" s="22"/>
      <c r="T33" s="11">
        <f t="shared" si="3"/>
        <v>24</v>
      </c>
      <c r="U33" s="11"/>
      <c r="V33" s="8" t="s">
        <v>125</v>
      </c>
      <c r="W33" s="11" t="str">
        <f>"("&amp;T$20&amp;") x ("&amp;T32&amp;")"</f>
        <v>(11) x (23)</v>
      </c>
      <c r="X33" s="11" t="str">
        <f>E33</f>
        <v>Sheet No. 1142-D1</v>
      </c>
      <c r="Y33" s="56">
        <f>$AK32*Y$20</f>
        <v>1984.2656384401014</v>
      </c>
      <c r="Z33" s="56">
        <f t="shared" ref="Z33:AJ33" si="21">$AK32*Z$20</f>
        <v>1993.6203039794807</v>
      </c>
      <c r="AA33" s="56">
        <f t="shared" si="21"/>
        <v>1833.2333793442042</v>
      </c>
      <c r="AB33" s="56">
        <f t="shared" si="21"/>
        <v>1532.7707035999249</v>
      </c>
      <c r="AC33" s="56">
        <f t="shared" si="21"/>
        <v>1270.0732599128864</v>
      </c>
      <c r="AD33" s="56">
        <f t="shared" si="21"/>
        <v>1118.5146137598708</v>
      </c>
      <c r="AE33" s="56">
        <f t="shared" si="21"/>
        <v>933.64515673720496</v>
      </c>
      <c r="AF33" s="56">
        <f t="shared" si="21"/>
        <v>956.61675323192787</v>
      </c>
      <c r="AG33" s="56">
        <f t="shared" si="21"/>
        <v>1028.0644061874225</v>
      </c>
      <c r="AH33" s="56">
        <f t="shared" si="21"/>
        <v>1416.6510978211932</v>
      </c>
      <c r="AI33" s="56">
        <f t="shared" si="21"/>
        <v>1863.6847163658265</v>
      </c>
      <c r="AJ33" s="56">
        <f t="shared" si="21"/>
        <v>2117.5099706199585</v>
      </c>
      <c r="AK33" s="55">
        <f>SUM(Y33:AJ33)</f>
        <v>18048.650000000001</v>
      </c>
      <c r="AL33" s="22"/>
      <c r="AM33" s="11">
        <f t="shared" si="4"/>
        <v>24</v>
      </c>
      <c r="AN33" s="11"/>
      <c r="AO33" s="8" t="s">
        <v>125</v>
      </c>
      <c r="AP33" s="11" t="str">
        <f>"("&amp;AM$20&amp;") x ("&amp;AM32&amp;")"</f>
        <v>(11) x (23)</v>
      </c>
      <c r="AQ33" s="11" t="str">
        <f>X33</f>
        <v>Sheet No. 1142-D1</v>
      </c>
      <c r="AR33" s="56">
        <f>$BD32*AR$20</f>
        <v>2061.738398421925</v>
      </c>
      <c r="AS33" s="56">
        <f t="shared" ref="AS33:BC33" si="22">$BD32*AS$20</f>
        <v>2063.3264831889664</v>
      </c>
      <c r="AT33" s="56">
        <f t="shared" si="22"/>
        <v>1892.8007366008467</v>
      </c>
      <c r="AU33" s="56">
        <f t="shared" si="22"/>
        <v>1608.5510126970803</v>
      </c>
      <c r="AV33" s="56">
        <f t="shared" si="22"/>
        <v>1332.3158725644964</v>
      </c>
      <c r="AW33" s="56">
        <f t="shared" si="22"/>
        <v>1175.0124063256874</v>
      </c>
      <c r="AX33" s="56">
        <f t="shared" si="22"/>
        <v>980.77027427949645</v>
      </c>
      <c r="AY33" s="56">
        <f t="shared" si="22"/>
        <v>1004.6199958884371</v>
      </c>
      <c r="AZ33" s="56">
        <f t="shared" si="22"/>
        <v>1078.1356318563899</v>
      </c>
      <c r="BA33" s="56">
        <f t="shared" si="22"/>
        <v>1481.9873140880316</v>
      </c>
      <c r="BB33" s="56">
        <f t="shared" si="22"/>
        <v>1950.613243210423</v>
      </c>
      <c r="BC33" s="56">
        <f t="shared" si="22"/>
        <v>2214.3286308782203</v>
      </c>
      <c r="BD33" s="55">
        <f>SUM(AR33:BC33)</f>
        <v>18844.2</v>
      </c>
    </row>
    <row r="34" spans="1:56" x14ac:dyDescent="0.2">
      <c r="D34" s="8"/>
      <c r="E34" s="8"/>
      <c r="F34" s="8"/>
      <c r="G34" s="8"/>
      <c r="H34" s="8"/>
      <c r="I34" s="8"/>
      <c r="S34" s="22"/>
      <c r="X34" s="8"/>
      <c r="AL34" s="22"/>
    </row>
    <row r="35" spans="1:56" x14ac:dyDescent="0.2">
      <c r="D35" s="8"/>
      <c r="E35" s="8"/>
      <c r="F35" s="8"/>
      <c r="G35" s="8"/>
      <c r="H35" s="8"/>
      <c r="I35" s="8"/>
      <c r="X35" s="8"/>
    </row>
    <row r="37" spans="1:56" ht="15" x14ac:dyDescent="0.25">
      <c r="G37" s="58"/>
    </row>
    <row r="39" spans="1:56" x14ac:dyDescent="0.2">
      <c r="G39" s="55"/>
    </row>
  </sheetData>
  <mergeCells count="15">
    <mergeCell ref="A5:R5"/>
    <mergeCell ref="T5:AK5"/>
    <mergeCell ref="AM5:BD5"/>
    <mergeCell ref="A3:R3"/>
    <mergeCell ref="T3:AK3"/>
    <mergeCell ref="AM3:BD3"/>
    <mergeCell ref="A4:R4"/>
    <mergeCell ref="T4:AK4"/>
    <mergeCell ref="AM4:BD4"/>
    <mergeCell ref="A1:R1"/>
    <mergeCell ref="T1:AK1"/>
    <mergeCell ref="AM1:BD1"/>
    <mergeCell ref="A2:R2"/>
    <mergeCell ref="T2:AK2"/>
    <mergeCell ref="AM2:BD2"/>
  </mergeCells>
  <printOptions horizontalCentered="1"/>
  <pageMargins left="0.45" right="0.45" top="0.75" bottom="0.75" header="0.3" footer="0.3"/>
  <pageSetup scale="56" fitToWidth="3" orientation="landscape" blackAndWhite="1" horizontalDpi="1200" verticalDpi="1200" r:id="rId1"/>
  <headerFooter>
    <oddFooter>&amp;R&amp;A
 Page &amp;P of &amp;N</oddFooter>
  </headerFooter>
  <colBreaks count="2" manualBreakCount="2">
    <brk id="18" max="1048575" man="1"/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19756A-673B-4328-B980-43D87035CE46}"/>
</file>

<file path=customXml/itemProps2.xml><?xml version="1.0" encoding="utf-8"?>
<ds:datastoreItem xmlns:ds="http://schemas.openxmlformats.org/officeDocument/2006/customXml" ds:itemID="{35E670AB-988C-4EDB-A95C-87747655AFB3}"/>
</file>

<file path=customXml/itemProps3.xml><?xml version="1.0" encoding="utf-8"?>
<ds:datastoreItem xmlns:ds="http://schemas.openxmlformats.org/officeDocument/2006/customXml" ds:itemID="{0961ECAF-17B0-4819-80C0-0F52AC1413D3}"/>
</file>

<file path=customXml/itemProps4.xml><?xml version="1.0" encoding="utf-8"?>
<ds:datastoreItem xmlns:ds="http://schemas.openxmlformats.org/officeDocument/2006/customXml" ds:itemID="{032A4F76-BCAC-4FAB-B63E-798DE9E23C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Exh. JDT-7 (Delivery Rev)</vt:lpstr>
      <vt:lpstr>Exh. JDT-7 (Allowed RPC)</vt:lpstr>
      <vt:lpstr>Exh. JDT-7 (Del Rev Rates)</vt:lpstr>
      <vt:lpstr>Exh. JDT-7 (Monthly Allow RPC)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2022-01-24T04:06:41Z</cp:lastPrinted>
  <dcterms:created xsi:type="dcterms:W3CDTF">2022-01-24T04:06:29Z</dcterms:created>
  <dcterms:modified xsi:type="dcterms:W3CDTF">2022-01-24T04:07:43Z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