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8970" windowHeight="11340"/>
  </bookViews>
  <sheets>
    <sheet name="Summary" sheetId="4" r:id="rId1"/>
    <sheet name="Total Adj" sheetId="13" r:id="rId2"/>
    <sheet name="Restating Adj" sheetId="1" r:id="rId3"/>
    <sheet name="Pro Forma Adj" sheetId="2" r:id="rId4"/>
    <sheet name="CWC Calc" sheetId="6" r:id="rId5"/>
    <sheet name="Interest Calc" sheetId="7" r:id="rId6"/>
    <sheet name="Variables" sheetId="3" r:id="rId7"/>
    <sheet name="Check Sheet" sheetId="5" r:id="rId8"/>
    <sheet name="Page 1.4" sheetId="12" r:id="rId9"/>
    <sheet name="Page 1.5" sheetId="10" r:id="rId10"/>
    <sheet name="Page 1.6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Cost_Debt">Variables!$D$8</definedName>
    <definedName name="Cost_equity">Variables!$D$10</definedName>
    <definedName name="Cost_pref">Variables!$D$9</definedName>
    <definedName name="FranchiseTax">[1]Variables!$B$33</definedName>
    <definedName name="gross_up_factor">Variables!$D$34</definedName>
    <definedName name="net_to_gross_bump_up_factor" localSheetId="8">Variables!#REF!</definedName>
    <definedName name="net_to_gross_bump_up_factor" localSheetId="10">Variables!#REF!</definedName>
    <definedName name="net_to_gross_bump_up_factor" localSheetId="1">Variables!#REF!</definedName>
    <definedName name="net_to_gross_bump_up_factor">Variables!#REF!</definedName>
    <definedName name="NetToGross">[1]Variables!$B$30</definedName>
    <definedName name="Overall_ROR">Variables!$E$11</definedName>
    <definedName name="Percent_common">Variables!$C$10</definedName>
    <definedName name="Percent_debt">Variables!$C$8</definedName>
    <definedName name="Percent_pref">Variables!$C$9</definedName>
    <definedName name="_xlnm.Print_Area" localSheetId="8">'Page 1.4'!$A$1:$K$80</definedName>
    <definedName name="_xlnm.Print_Area" localSheetId="9">'Page 1.5'!$A$1:$K$80</definedName>
    <definedName name="_xlnm.Print_Area" localSheetId="10">'Page 1.6'!$A$1:$K$80</definedName>
    <definedName name="_xlnm.Print_Area" localSheetId="3">'Pro Forma Adj'!$A$5:$Y$87</definedName>
    <definedName name="_xlnm.Print_Area" localSheetId="2">'Restating Adj'!$A$5:$AP$88</definedName>
    <definedName name="_xlnm.Print_Area" localSheetId="1">'Total Adj'!$A$5:$BF$88</definedName>
    <definedName name="_xlnm.Print_Titles" localSheetId="3">'Pro Forma Adj'!$A:$A</definedName>
    <definedName name="_xlnm.Print_Titles" localSheetId="2">'Restating Adj'!$A:$A</definedName>
    <definedName name="_xlnm.Print_Titles" localSheetId="1">'Total Adj'!$A:$A</definedName>
    <definedName name="ResourceSupplier">[1]Variables!$B$35</definedName>
    <definedName name="Restated_Op_revenue">Summary!$F$37</definedName>
    <definedName name="Restated_rate_base">Summary!$F$64</definedName>
    <definedName name="Restated_ROE">Summary!$F$67</definedName>
    <definedName name="Unadj_Op_revenue">Summary!$B$37</definedName>
    <definedName name="Unadj_rate_base">Summary!$B$64</definedName>
    <definedName name="Unadj_ROE">Summary!$B$67</definedName>
    <definedName name="uncollectible_perc">Variables!$D$20</definedName>
    <definedName name="UncollectibleAccounts">[1]Variables!$B$32</definedName>
    <definedName name="WA_rev_tax_perc">Variables!$D$22</definedName>
    <definedName name="WaRevenueTax">[1]Variables!$B$34</definedName>
    <definedName name="Weighted_cost_debt">Variables!$E$8</definedName>
    <definedName name="Weighted_cost_equity">Variables!$E$10</definedName>
    <definedName name="Weighted_cost_pref">Variables!$E$9</definedName>
    <definedName name="WUTC_reg_fee_perc">Variables!$D$21</definedName>
  </definedNames>
  <calcPr calcId="125725"/>
</workbook>
</file>

<file path=xl/calcChain.xml><?xml version="1.0" encoding="utf-8"?>
<calcChain xmlns="http://schemas.openxmlformats.org/spreadsheetml/2006/main">
  <c r="W83" i="5"/>
  <c r="S83"/>
  <c r="O83"/>
  <c r="K83"/>
  <c r="G83"/>
  <c r="C83"/>
  <c r="W79"/>
  <c r="W70"/>
  <c r="W30"/>
  <c r="W29"/>
  <c r="W22"/>
  <c r="W9"/>
  <c r="S79"/>
  <c r="S78"/>
  <c r="S76"/>
  <c r="S75"/>
  <c r="S74"/>
  <c r="S73"/>
  <c r="S72"/>
  <c r="S71"/>
  <c r="S70"/>
  <c r="S67"/>
  <c r="S64"/>
  <c r="S62"/>
  <c r="S61"/>
  <c r="S60"/>
  <c r="S59"/>
  <c r="S58"/>
  <c r="S57"/>
  <c r="S56"/>
  <c r="S55"/>
  <c r="S54"/>
  <c r="S51"/>
  <c r="S50"/>
  <c r="S49"/>
  <c r="S48"/>
  <c r="S47"/>
  <c r="S46"/>
  <c r="S45"/>
  <c r="S44"/>
  <c r="S43"/>
  <c r="S42"/>
  <c r="S41"/>
  <c r="S40"/>
  <c r="S37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3"/>
  <c r="S12"/>
  <c r="S11"/>
  <c r="S10"/>
  <c r="S9"/>
  <c r="O79"/>
  <c r="O78"/>
  <c r="O76"/>
  <c r="O75"/>
  <c r="O74"/>
  <c r="O73"/>
  <c r="O72"/>
  <c r="O71"/>
  <c r="O70"/>
  <c r="O67"/>
  <c r="O64"/>
  <c r="O62"/>
  <c r="O61"/>
  <c r="O60"/>
  <c r="O59"/>
  <c r="O58"/>
  <c r="O57"/>
  <c r="O56"/>
  <c r="O55"/>
  <c r="O54"/>
  <c r="O51"/>
  <c r="O50"/>
  <c r="O49"/>
  <c r="O48"/>
  <c r="O47"/>
  <c r="O46"/>
  <c r="O45"/>
  <c r="O44"/>
  <c r="O43"/>
  <c r="O42"/>
  <c r="O41"/>
  <c r="O40"/>
  <c r="O37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3"/>
  <c r="O12"/>
  <c r="O11"/>
  <c r="O10"/>
  <c r="O9"/>
  <c r="K79"/>
  <c r="K78"/>
  <c r="K76"/>
  <c r="K75"/>
  <c r="K74"/>
  <c r="K73"/>
  <c r="K72"/>
  <c r="K71"/>
  <c r="K70"/>
  <c r="K67"/>
  <c r="K64"/>
  <c r="K62"/>
  <c r="K61"/>
  <c r="K60"/>
  <c r="K59"/>
  <c r="K58"/>
  <c r="K57"/>
  <c r="K56"/>
  <c r="K55"/>
  <c r="K54"/>
  <c r="K51"/>
  <c r="K50"/>
  <c r="K49"/>
  <c r="K48"/>
  <c r="K47"/>
  <c r="K46"/>
  <c r="K45"/>
  <c r="K44"/>
  <c r="K43"/>
  <c r="K42"/>
  <c r="K41"/>
  <c r="K40"/>
  <c r="K37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3"/>
  <c r="K12"/>
  <c r="K11"/>
  <c r="K10"/>
  <c r="K9"/>
  <c r="G79"/>
  <c r="G78"/>
  <c r="G76"/>
  <c r="G75"/>
  <c r="G74"/>
  <c r="G73"/>
  <c r="G72"/>
  <c r="G71"/>
  <c r="G70"/>
  <c r="G67"/>
  <c r="G64"/>
  <c r="G62"/>
  <c r="G61"/>
  <c r="G60"/>
  <c r="G59"/>
  <c r="G58"/>
  <c r="G57"/>
  <c r="G56"/>
  <c r="G55"/>
  <c r="G54"/>
  <c r="G51"/>
  <c r="G50"/>
  <c r="G49"/>
  <c r="G48"/>
  <c r="G47"/>
  <c r="G46"/>
  <c r="G45"/>
  <c r="G44"/>
  <c r="G43"/>
  <c r="G42"/>
  <c r="G41"/>
  <c r="G40"/>
  <c r="G37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3"/>
  <c r="G12"/>
  <c r="G11"/>
  <c r="G10"/>
  <c r="G9"/>
  <c r="C79"/>
  <c r="C78"/>
  <c r="C76"/>
  <c r="C75"/>
  <c r="C74"/>
  <c r="C73"/>
  <c r="C72"/>
  <c r="C71"/>
  <c r="C70"/>
  <c r="C67"/>
  <c r="C64"/>
  <c r="C62"/>
  <c r="C61"/>
  <c r="C60"/>
  <c r="C59"/>
  <c r="C58"/>
  <c r="C57"/>
  <c r="C56"/>
  <c r="C55"/>
  <c r="C54"/>
  <c r="C51"/>
  <c r="C50"/>
  <c r="C49"/>
  <c r="C48"/>
  <c r="C47"/>
  <c r="C46"/>
  <c r="C45"/>
  <c r="C44"/>
  <c r="C43"/>
  <c r="C42"/>
  <c r="C41"/>
  <c r="C40"/>
  <c r="C37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3"/>
  <c r="C12"/>
  <c r="C11"/>
  <c r="C10"/>
  <c r="C9"/>
  <c r="B76" i="4"/>
  <c r="B75"/>
  <c r="B74"/>
  <c r="B73"/>
  <c r="B72"/>
  <c r="B60"/>
  <c r="B59"/>
  <c r="B58"/>
  <c r="B57"/>
  <c r="B56"/>
  <c r="B55"/>
  <c r="B54"/>
  <c r="B50"/>
  <c r="B49"/>
  <c r="B48"/>
  <c r="B47"/>
  <c r="B46"/>
  <c r="B45"/>
  <c r="B44"/>
  <c r="B43"/>
  <c r="B42"/>
  <c r="B41"/>
  <c r="B40"/>
  <c r="B34"/>
  <c r="B33"/>
  <c r="B32"/>
  <c r="B29"/>
  <c r="B28"/>
  <c r="B27"/>
  <c r="B25"/>
  <c r="B24"/>
  <c r="B23"/>
  <c r="B22"/>
  <c r="B21"/>
  <c r="B20"/>
  <c r="B19"/>
  <c r="B18"/>
  <c r="B17"/>
  <c r="B16"/>
  <c r="B12"/>
  <c r="B11"/>
  <c r="B10"/>
  <c r="B9"/>
  <c r="C15" i="6"/>
  <c r="C14"/>
  <c r="C13"/>
  <c r="C12"/>
  <c r="C11"/>
  <c r="AI62" i="1"/>
  <c r="AI37"/>
  <c r="AH78"/>
  <c r="AH63"/>
  <c r="AH59"/>
  <c r="AH53"/>
  <c r="AH35"/>
  <c r="AH31"/>
  <c r="P78" i="2"/>
  <c r="P59"/>
  <c r="P45"/>
  <c r="P35"/>
  <c r="P31"/>
  <c r="AG78" i="1"/>
  <c r="AG43"/>
  <c r="AG30"/>
  <c r="AF79"/>
  <c r="AF78"/>
  <c r="AF59"/>
  <c r="AE51"/>
  <c r="AE50"/>
  <c r="AE48"/>
  <c r="AE45"/>
  <c r="AF35"/>
  <c r="AD61"/>
  <c r="AC78"/>
  <c r="AC59"/>
  <c r="AC45"/>
  <c r="AC35"/>
  <c r="AC28"/>
  <c r="AB57"/>
  <c r="AB50"/>
  <c r="AB49"/>
  <c r="AB45"/>
  <c r="AB43"/>
  <c r="Q78" i="2"/>
  <c r="Q59"/>
  <c r="Q45"/>
  <c r="Q35"/>
  <c r="Q15"/>
  <c r="X59" i="1"/>
  <c r="X35"/>
  <c r="W59"/>
  <c r="W35"/>
  <c r="M32" i="2"/>
  <c r="V76" i="1"/>
  <c r="U35"/>
  <c r="T59"/>
  <c r="T35"/>
  <c r="L86" i="2"/>
  <c r="S59" i="1"/>
  <c r="N32" i="2"/>
  <c r="Z59" i="1"/>
  <c r="Y35"/>
  <c r="J57" i="2"/>
  <c r="Q57" i="1"/>
  <c r="P79"/>
  <c r="P78"/>
  <c r="P60"/>
  <c r="P59"/>
  <c r="P57"/>
  <c r="P43"/>
  <c r="P35"/>
  <c r="P32"/>
  <c r="P30"/>
  <c r="I15" i="2"/>
  <c r="C22" i="6"/>
  <c r="O22" i="1"/>
  <c r="N63"/>
  <c r="N22"/>
  <c r="G79" i="2"/>
  <c r="G78"/>
  <c r="G59"/>
  <c r="G45"/>
  <c r="G35"/>
  <c r="G28"/>
  <c r="L24" i="1"/>
  <c r="L23"/>
  <c r="L22"/>
  <c r="L19"/>
  <c r="K79"/>
  <c r="K59"/>
  <c r="K35"/>
  <c r="K26"/>
  <c r="F79" i="2"/>
  <c r="F35"/>
  <c r="F28"/>
  <c r="C42" i="6"/>
  <c r="E28" i="2"/>
  <c r="E26"/>
  <c r="E25"/>
  <c r="E24"/>
  <c r="E23"/>
  <c r="E22"/>
  <c r="E21"/>
  <c r="E19"/>
  <c r="C23" i="6"/>
  <c r="I28" i="1"/>
  <c r="I26"/>
  <c r="I25"/>
  <c r="I24"/>
  <c r="I23"/>
  <c r="I22"/>
  <c r="I21"/>
  <c r="I19"/>
  <c r="H28"/>
  <c r="H26"/>
  <c r="H22"/>
  <c r="D15" i="2"/>
  <c r="G23" i="1"/>
  <c r="G15"/>
  <c r="C12" i="2"/>
  <c r="D79" i="1"/>
  <c r="D78"/>
  <c r="D59"/>
  <c r="D35"/>
  <c r="D12"/>
  <c r="C12"/>
  <c r="C41" i="6"/>
  <c r="C40"/>
  <c r="C39"/>
  <c r="W63" i="2"/>
  <c r="W57"/>
  <c r="V57"/>
  <c r="W50"/>
  <c r="W49"/>
  <c r="W45"/>
  <c r="W43"/>
  <c r="V43"/>
  <c r="W37"/>
  <c r="V30"/>
  <c r="W23"/>
  <c r="W22"/>
  <c r="V22"/>
  <c r="V21"/>
  <c r="W19"/>
  <c r="V19"/>
  <c r="W15"/>
  <c r="W14"/>
  <c r="C38" i="6"/>
  <c r="C37"/>
  <c r="C36"/>
  <c r="U23" i="2"/>
  <c r="U22"/>
  <c r="U19"/>
  <c r="U14"/>
  <c r="C21" i="6"/>
  <c r="C20"/>
  <c r="C19"/>
  <c r="M23" i="1"/>
  <c r="M22"/>
  <c r="M19"/>
  <c r="M14"/>
  <c r="T15" i="2"/>
  <c r="AN15" i="1"/>
  <c r="AM28"/>
  <c r="AM26"/>
  <c r="AL28"/>
  <c r="AK28"/>
  <c r="AJ79"/>
  <c r="AJ78"/>
  <c r="AJ63"/>
  <c r="AJ59"/>
  <c r="AJ37"/>
  <c r="AJ35"/>
  <c r="AR63" i="13"/>
  <c r="AR53"/>
  <c r="AR54" s="1"/>
  <c r="AR31"/>
  <c r="AP78"/>
  <c r="AP30"/>
  <c r="AN51"/>
  <c r="AN48"/>
  <c r="AL78"/>
  <c r="AL45"/>
  <c r="AL54" s="1"/>
  <c r="AL28"/>
  <c r="AL29" s="1"/>
  <c r="AT78"/>
  <c r="AT45"/>
  <c r="AT54" s="1"/>
  <c r="AT15"/>
  <c r="AT16" s="1"/>
  <c r="AE35"/>
  <c r="AC76"/>
  <c r="B76" s="1"/>
  <c r="AA59"/>
  <c r="AA65" s="1"/>
  <c r="Z86"/>
  <c r="B86" s="1"/>
  <c r="V43"/>
  <c r="V54" s="1"/>
  <c r="T22"/>
  <c r="T29" s="1"/>
  <c r="P45"/>
  <c r="P28"/>
  <c r="P29" s="1"/>
  <c r="BC57"/>
  <c r="BD49"/>
  <c r="BD43"/>
  <c r="BD37"/>
  <c r="BD23"/>
  <c r="BD19"/>
  <c r="BD15"/>
  <c r="BB22"/>
  <c r="BB14"/>
  <c r="BB16" s="1"/>
  <c r="Q23"/>
  <c r="Q19"/>
  <c r="AZ28"/>
  <c r="AW79"/>
  <c r="AW63"/>
  <c r="BI84"/>
  <c r="BI82"/>
  <c r="BI81"/>
  <c r="BI73"/>
  <c r="BI72"/>
  <c r="BI68"/>
  <c r="BI66"/>
  <c r="BI56"/>
  <c r="BI55"/>
  <c r="BI42"/>
  <c r="BI41"/>
  <c r="BI18"/>
  <c r="BI17"/>
  <c r="H86"/>
  <c r="H79"/>
  <c r="H78"/>
  <c r="H77"/>
  <c r="H76"/>
  <c r="H64"/>
  <c r="H63"/>
  <c r="H62"/>
  <c r="H61"/>
  <c r="H60"/>
  <c r="H59"/>
  <c r="H58"/>
  <c r="H57"/>
  <c r="H53"/>
  <c r="H52"/>
  <c r="H51"/>
  <c r="H50"/>
  <c r="H49"/>
  <c r="H48"/>
  <c r="H47"/>
  <c r="H46"/>
  <c r="H45"/>
  <c r="H44"/>
  <c r="H43"/>
  <c r="H37"/>
  <c r="H36"/>
  <c r="H35"/>
  <c r="H34"/>
  <c r="H32"/>
  <c r="H31"/>
  <c r="H30"/>
  <c r="H28"/>
  <c r="H27"/>
  <c r="H26"/>
  <c r="H25"/>
  <c r="H24"/>
  <c r="H23"/>
  <c r="H22"/>
  <c r="H21"/>
  <c r="H20"/>
  <c r="H19"/>
  <c r="H15"/>
  <c r="H14"/>
  <c r="H13"/>
  <c r="H12"/>
  <c r="BF86"/>
  <c r="BE86"/>
  <c r="BD86"/>
  <c r="BC86"/>
  <c r="BB86"/>
  <c r="BA86"/>
  <c r="AZ86"/>
  <c r="AY86"/>
  <c r="AX86"/>
  <c r="AW86"/>
  <c r="AV86"/>
  <c r="AU86"/>
  <c r="BF79"/>
  <c r="BE79"/>
  <c r="BD79"/>
  <c r="BC79"/>
  <c r="BB79"/>
  <c r="BA79"/>
  <c r="AZ79"/>
  <c r="AY79"/>
  <c r="AX79"/>
  <c r="AV79"/>
  <c r="AU79"/>
  <c r="BF78"/>
  <c r="BE78"/>
  <c r="BD78"/>
  <c r="BC78"/>
  <c r="BB78"/>
  <c r="BA78"/>
  <c r="AZ78"/>
  <c r="AY78"/>
  <c r="AX78"/>
  <c r="AW78"/>
  <c r="AV78"/>
  <c r="AU78"/>
  <c r="BE77"/>
  <c r="BD77"/>
  <c r="BC77"/>
  <c r="BB77"/>
  <c r="BA77"/>
  <c r="AZ77"/>
  <c r="AY77"/>
  <c r="AX77"/>
  <c r="AW77"/>
  <c r="AV77"/>
  <c r="AU77"/>
  <c r="BF76"/>
  <c r="BE76"/>
  <c r="BD76"/>
  <c r="BC76"/>
  <c r="BB76"/>
  <c r="BA76"/>
  <c r="AZ76"/>
  <c r="AY76"/>
  <c r="AX76"/>
  <c r="AW76"/>
  <c r="AV76"/>
  <c r="AU76"/>
  <c r="BF64"/>
  <c r="BE64"/>
  <c r="BD64"/>
  <c r="BC64"/>
  <c r="BB64"/>
  <c r="BA64"/>
  <c r="AZ64"/>
  <c r="AY64"/>
  <c r="AX64"/>
  <c r="AW64"/>
  <c r="AV64"/>
  <c r="AU64"/>
  <c r="BF63"/>
  <c r="BE63"/>
  <c r="BD63"/>
  <c r="BC63"/>
  <c r="BB63"/>
  <c r="BA63"/>
  <c r="AZ63"/>
  <c r="AY63"/>
  <c r="AX63"/>
  <c r="AV63"/>
  <c r="AU63"/>
  <c r="BF62"/>
  <c r="BE62"/>
  <c r="BD62"/>
  <c r="BC62"/>
  <c r="BB62"/>
  <c r="BA62"/>
  <c r="AZ62"/>
  <c r="AY62"/>
  <c r="AX62"/>
  <c r="AW62"/>
  <c r="AV62"/>
  <c r="AU62"/>
  <c r="BF61"/>
  <c r="BE61"/>
  <c r="BD61"/>
  <c r="BC61"/>
  <c r="BB61"/>
  <c r="BA61"/>
  <c r="AZ61"/>
  <c r="AY61"/>
  <c r="AX61"/>
  <c r="AW61"/>
  <c r="AV61"/>
  <c r="AU61"/>
  <c r="BF60"/>
  <c r="BE60"/>
  <c r="BD60"/>
  <c r="BC60"/>
  <c r="BB60"/>
  <c r="BA60"/>
  <c r="AZ60"/>
  <c r="AY60"/>
  <c r="AX60"/>
  <c r="AW60"/>
  <c r="AV60"/>
  <c r="AU60"/>
  <c r="BF59"/>
  <c r="BE59"/>
  <c r="BD59"/>
  <c r="BC59"/>
  <c r="BB59"/>
  <c r="BA59"/>
  <c r="AZ59"/>
  <c r="AY59"/>
  <c r="AX59"/>
  <c r="AW59"/>
  <c r="AV59"/>
  <c r="AU59"/>
  <c r="BF58"/>
  <c r="BE58"/>
  <c r="BD58"/>
  <c r="BC58"/>
  <c r="BB58"/>
  <c r="BA58"/>
  <c r="AZ58"/>
  <c r="AY58"/>
  <c r="AX58"/>
  <c r="AW58"/>
  <c r="AV58"/>
  <c r="AU58"/>
  <c r="BF57"/>
  <c r="BE57"/>
  <c r="BD57"/>
  <c r="BB57"/>
  <c r="BA57"/>
  <c r="AZ57"/>
  <c r="AY57"/>
  <c r="AX57"/>
  <c r="AW57"/>
  <c r="AV57"/>
  <c r="AU57"/>
  <c r="BF53"/>
  <c r="BE53"/>
  <c r="BD53"/>
  <c r="BC53"/>
  <c r="BB53"/>
  <c r="BA53"/>
  <c r="AZ53"/>
  <c r="AY53"/>
  <c r="AX53"/>
  <c r="AW53"/>
  <c r="AV53"/>
  <c r="AU53"/>
  <c r="BF52"/>
  <c r="BE52"/>
  <c r="BD52"/>
  <c r="BC52"/>
  <c r="BB52"/>
  <c r="BA52"/>
  <c r="AZ52"/>
  <c r="AY52"/>
  <c r="AX52"/>
  <c r="AW52"/>
  <c r="AV52"/>
  <c r="AU52"/>
  <c r="BF51"/>
  <c r="BD51"/>
  <c r="BC51"/>
  <c r="BB51"/>
  <c r="BA51"/>
  <c r="AZ51"/>
  <c r="AY51"/>
  <c r="AX51"/>
  <c r="AW51"/>
  <c r="AV51"/>
  <c r="AU51"/>
  <c r="BF50"/>
  <c r="BE50"/>
  <c r="BD50"/>
  <c r="BC50"/>
  <c r="BB50"/>
  <c r="BA50"/>
  <c r="AZ50"/>
  <c r="AY50"/>
  <c r="AX50"/>
  <c r="AW50"/>
  <c r="AV50"/>
  <c r="AU50"/>
  <c r="BF49"/>
  <c r="BE49"/>
  <c r="BC49"/>
  <c r="BB49"/>
  <c r="BA49"/>
  <c r="AZ49"/>
  <c r="AY49"/>
  <c r="AX49"/>
  <c r="AW49"/>
  <c r="AV49"/>
  <c r="AU49"/>
  <c r="BF48"/>
  <c r="BE48"/>
  <c r="BD48"/>
  <c r="BC48"/>
  <c r="BB48"/>
  <c r="BA48"/>
  <c r="AZ48"/>
  <c r="AY48"/>
  <c r="AX48"/>
  <c r="AW48"/>
  <c r="AV48"/>
  <c r="AU48"/>
  <c r="BF47"/>
  <c r="BE47"/>
  <c r="BD47"/>
  <c r="BC47"/>
  <c r="BB47"/>
  <c r="BA47"/>
  <c r="AZ47"/>
  <c r="AY47"/>
  <c r="AX47"/>
  <c r="AW47"/>
  <c r="AV47"/>
  <c r="AU47"/>
  <c r="BF46"/>
  <c r="BE46"/>
  <c r="BD46"/>
  <c r="BC46"/>
  <c r="BB46"/>
  <c r="BA46"/>
  <c r="AZ46"/>
  <c r="AY46"/>
  <c r="AX46"/>
  <c r="AW46"/>
  <c r="AV46"/>
  <c r="AU46"/>
  <c r="BF45"/>
  <c r="BE45"/>
  <c r="BD45"/>
  <c r="BC45"/>
  <c r="BB45"/>
  <c r="BA45"/>
  <c r="AZ45"/>
  <c r="AY45"/>
  <c r="AX45"/>
  <c r="AW45"/>
  <c r="AV45"/>
  <c r="AU45"/>
  <c r="BF44"/>
  <c r="BE44"/>
  <c r="BD44"/>
  <c r="BC44"/>
  <c r="BB44"/>
  <c r="BA44"/>
  <c r="AZ44"/>
  <c r="AY44"/>
  <c r="AX44"/>
  <c r="AW44"/>
  <c r="AV44"/>
  <c r="AU44"/>
  <c r="BF43"/>
  <c r="BE43"/>
  <c r="BC43"/>
  <c r="BB43"/>
  <c r="BA43"/>
  <c r="AZ43"/>
  <c r="AY43"/>
  <c r="AX43"/>
  <c r="AW43"/>
  <c r="AV43"/>
  <c r="AU43"/>
  <c r="BF37"/>
  <c r="BE37"/>
  <c r="BC37"/>
  <c r="BB37"/>
  <c r="BA37"/>
  <c r="AZ37"/>
  <c r="AY37"/>
  <c r="AX37"/>
  <c r="AW37"/>
  <c r="AV37"/>
  <c r="AU37"/>
  <c r="BF36"/>
  <c r="BE36"/>
  <c r="BD36"/>
  <c r="BC36"/>
  <c r="BB36"/>
  <c r="BA36"/>
  <c r="AZ36"/>
  <c r="AY36"/>
  <c r="AX36"/>
  <c r="AW36"/>
  <c r="AV36"/>
  <c r="AU36"/>
  <c r="BF35"/>
  <c r="BE35"/>
  <c r="BD35"/>
  <c r="BC35"/>
  <c r="BB35"/>
  <c r="BA35"/>
  <c r="AZ35"/>
  <c r="AY35"/>
  <c r="AX35"/>
  <c r="AW35"/>
  <c r="AV35"/>
  <c r="AU35"/>
  <c r="BF34"/>
  <c r="BE34"/>
  <c r="BD34"/>
  <c r="BC34"/>
  <c r="BB34"/>
  <c r="BA34"/>
  <c r="AZ34"/>
  <c r="AY34"/>
  <c r="AX34"/>
  <c r="AW34"/>
  <c r="AV34"/>
  <c r="AU34"/>
  <c r="BF32"/>
  <c r="BE32"/>
  <c r="BD32"/>
  <c r="BC32"/>
  <c r="BB32"/>
  <c r="BA32"/>
  <c r="AZ32"/>
  <c r="AY32"/>
  <c r="AX32"/>
  <c r="AW32"/>
  <c r="AV32"/>
  <c r="AU32"/>
  <c r="BF31"/>
  <c r="BE31"/>
  <c r="BD31"/>
  <c r="BC31"/>
  <c r="BB31"/>
  <c r="BA31"/>
  <c r="AZ31"/>
  <c r="AY31"/>
  <c r="AX31"/>
  <c r="AW31"/>
  <c r="AV31"/>
  <c r="AU31"/>
  <c r="BF30"/>
  <c r="BE30"/>
  <c r="BD30"/>
  <c r="BC30"/>
  <c r="BB30"/>
  <c r="BA30"/>
  <c r="AZ30"/>
  <c r="AY30"/>
  <c r="AX30"/>
  <c r="AW30"/>
  <c r="AV30"/>
  <c r="AU30"/>
  <c r="BF28"/>
  <c r="BE28"/>
  <c r="BD28"/>
  <c r="BC28"/>
  <c r="BB28"/>
  <c r="BA28"/>
  <c r="AY28"/>
  <c r="AX28"/>
  <c r="AW28"/>
  <c r="AV28"/>
  <c r="AU28"/>
  <c r="BF27"/>
  <c r="BE27"/>
  <c r="BD27"/>
  <c r="BC27"/>
  <c r="BB27"/>
  <c r="BA27"/>
  <c r="AZ27"/>
  <c r="AY27"/>
  <c r="AX27"/>
  <c r="AW27"/>
  <c r="AV27"/>
  <c r="AU27"/>
  <c r="BF26"/>
  <c r="BE26"/>
  <c r="BD26"/>
  <c r="BC26"/>
  <c r="BB26"/>
  <c r="BA26"/>
  <c r="AZ26"/>
  <c r="AY26"/>
  <c r="AX26"/>
  <c r="AW26"/>
  <c r="AV26"/>
  <c r="AU26"/>
  <c r="BF25"/>
  <c r="BE25"/>
  <c r="BD25"/>
  <c r="BC25"/>
  <c r="BB25"/>
  <c r="BA25"/>
  <c r="AZ25"/>
  <c r="AY25"/>
  <c r="AX25"/>
  <c r="AW25"/>
  <c r="AV25"/>
  <c r="AU25"/>
  <c r="BF24"/>
  <c r="BE24"/>
  <c r="BD24"/>
  <c r="BC24"/>
  <c r="BB24"/>
  <c r="BA24"/>
  <c r="AZ24"/>
  <c r="AY24"/>
  <c r="AX24"/>
  <c r="AW24"/>
  <c r="AV24"/>
  <c r="AU24"/>
  <c r="BF23"/>
  <c r="BE23"/>
  <c r="BC23"/>
  <c r="BB23"/>
  <c r="BA23"/>
  <c r="AZ23"/>
  <c r="AY23"/>
  <c r="AX23"/>
  <c r="AW23"/>
  <c r="AV23"/>
  <c r="AU23"/>
  <c r="BF22"/>
  <c r="BE22"/>
  <c r="BD22"/>
  <c r="BC22"/>
  <c r="BA22"/>
  <c r="AZ22"/>
  <c r="AY22"/>
  <c r="AX22"/>
  <c r="AW22"/>
  <c r="AV22"/>
  <c r="AU22"/>
  <c r="BF21"/>
  <c r="BE21"/>
  <c r="BD21"/>
  <c r="BC21"/>
  <c r="BB21"/>
  <c r="BA21"/>
  <c r="AZ21"/>
  <c r="AY21"/>
  <c r="AX21"/>
  <c r="AW21"/>
  <c r="AV21"/>
  <c r="AU21"/>
  <c r="BF20"/>
  <c r="BE20"/>
  <c r="BD20"/>
  <c r="BC20"/>
  <c r="BB20"/>
  <c r="BA20"/>
  <c r="AZ20"/>
  <c r="AY20"/>
  <c r="AX20"/>
  <c r="AW20"/>
  <c r="AV20"/>
  <c r="AU20"/>
  <c r="BF19"/>
  <c r="BE19"/>
  <c r="BC19"/>
  <c r="BB19"/>
  <c r="BA19"/>
  <c r="AZ19"/>
  <c r="AY19"/>
  <c r="AX19"/>
  <c r="AW19"/>
  <c r="AV19"/>
  <c r="AU19"/>
  <c r="BF15"/>
  <c r="BE15"/>
  <c r="BC15"/>
  <c r="BB15"/>
  <c r="BA15"/>
  <c r="AZ15"/>
  <c r="AY15"/>
  <c r="AX15"/>
  <c r="AW15"/>
  <c r="AV15"/>
  <c r="AU15"/>
  <c r="BF14"/>
  <c r="BE14"/>
  <c r="BD14"/>
  <c r="BC14"/>
  <c r="BA14"/>
  <c r="AZ14"/>
  <c r="AY14"/>
  <c r="AX14"/>
  <c r="AW14"/>
  <c r="AV14"/>
  <c r="AU14"/>
  <c r="BF13"/>
  <c r="BE13"/>
  <c r="BD13"/>
  <c r="BC13"/>
  <c r="BB13"/>
  <c r="BA13"/>
  <c r="AZ13"/>
  <c r="AY13"/>
  <c r="AX13"/>
  <c r="AW13"/>
  <c r="AV13"/>
  <c r="AU13"/>
  <c r="BF12"/>
  <c r="BE12"/>
  <c r="BD12"/>
  <c r="BC12"/>
  <c r="BB12"/>
  <c r="BA12"/>
  <c r="AZ12"/>
  <c r="AY12"/>
  <c r="AX12"/>
  <c r="AW12"/>
  <c r="AV12"/>
  <c r="AU12"/>
  <c r="AT86"/>
  <c r="AS86"/>
  <c r="AR86"/>
  <c r="AQ86"/>
  <c r="AP86"/>
  <c r="AO86"/>
  <c r="AN86"/>
  <c r="AM86"/>
  <c r="AL86"/>
  <c r="AK86"/>
  <c r="AJ86"/>
  <c r="AI86"/>
  <c r="AH86"/>
  <c r="AG86"/>
  <c r="AT79"/>
  <c r="AS79"/>
  <c r="AR79"/>
  <c r="AQ79"/>
  <c r="AP79"/>
  <c r="AO79"/>
  <c r="AN79"/>
  <c r="AM79"/>
  <c r="AL79"/>
  <c r="AK79"/>
  <c r="AJ79"/>
  <c r="AI79"/>
  <c r="AH79"/>
  <c r="AG79"/>
  <c r="AS78"/>
  <c r="AR78"/>
  <c r="AQ78"/>
  <c r="AO78"/>
  <c r="AN78"/>
  <c r="AM78"/>
  <c r="AK78"/>
  <c r="AJ78"/>
  <c r="AI78"/>
  <c r="AH78"/>
  <c r="AG78"/>
  <c r="AT77"/>
  <c r="AS77"/>
  <c r="AR77"/>
  <c r="AQ77"/>
  <c r="AP77"/>
  <c r="AO77"/>
  <c r="AN77"/>
  <c r="AM77"/>
  <c r="AL77"/>
  <c r="AK77"/>
  <c r="AJ77"/>
  <c r="AI77"/>
  <c r="AH77"/>
  <c r="AG77"/>
  <c r="AT76"/>
  <c r="AS76"/>
  <c r="AR76"/>
  <c r="AQ76"/>
  <c r="AP76"/>
  <c r="AO76"/>
  <c r="AN76"/>
  <c r="AM76"/>
  <c r="AL76"/>
  <c r="AK76"/>
  <c r="AJ76"/>
  <c r="AI76"/>
  <c r="AH76"/>
  <c r="AG76"/>
  <c r="AT64"/>
  <c r="AS64"/>
  <c r="AR64"/>
  <c r="AQ64"/>
  <c r="AP64"/>
  <c r="AO64"/>
  <c r="AN64"/>
  <c r="AM64"/>
  <c r="AL64"/>
  <c r="AK64"/>
  <c r="AJ64"/>
  <c r="AI64"/>
  <c r="AH64"/>
  <c r="AG64"/>
  <c r="AT63"/>
  <c r="AS63"/>
  <c r="AQ63"/>
  <c r="AP63"/>
  <c r="AO63"/>
  <c r="AN63"/>
  <c r="AM63"/>
  <c r="AL63"/>
  <c r="AK63"/>
  <c r="AJ63"/>
  <c r="AI63"/>
  <c r="AH63"/>
  <c r="AG63"/>
  <c r="AT62"/>
  <c r="AS62"/>
  <c r="AR62"/>
  <c r="AQ62"/>
  <c r="AP62"/>
  <c r="AO62"/>
  <c r="AN62"/>
  <c r="AM62"/>
  <c r="AL62"/>
  <c r="AK62"/>
  <c r="AJ62"/>
  <c r="AI62"/>
  <c r="AH62"/>
  <c r="AG62"/>
  <c r="AT61"/>
  <c r="AS61"/>
  <c r="AR61"/>
  <c r="AQ61"/>
  <c r="AP61"/>
  <c r="AO61"/>
  <c r="AN61"/>
  <c r="AM61"/>
  <c r="B61" s="1"/>
  <c r="AL61"/>
  <c r="AK61"/>
  <c r="AJ61"/>
  <c r="AI61"/>
  <c r="AH61"/>
  <c r="AG61"/>
  <c r="AT60"/>
  <c r="AS60"/>
  <c r="AR60"/>
  <c r="AQ60"/>
  <c r="AP60"/>
  <c r="AO60"/>
  <c r="AN60"/>
  <c r="AM60"/>
  <c r="AL60"/>
  <c r="AK60"/>
  <c r="AJ60"/>
  <c r="AI60"/>
  <c r="AH60"/>
  <c r="AG60"/>
  <c r="AT59"/>
  <c r="AS59"/>
  <c r="AR59"/>
  <c r="AQ59"/>
  <c r="AP59"/>
  <c r="AO59"/>
  <c r="AN59"/>
  <c r="AM59"/>
  <c r="AL59"/>
  <c r="AK59"/>
  <c r="AJ59"/>
  <c r="AI59"/>
  <c r="AH59"/>
  <c r="AG59"/>
  <c r="AT58"/>
  <c r="AS58"/>
  <c r="AR58"/>
  <c r="AQ58"/>
  <c r="AP58"/>
  <c r="AO58"/>
  <c r="AN58"/>
  <c r="AM58"/>
  <c r="AL58"/>
  <c r="AK58"/>
  <c r="AJ58"/>
  <c r="AI58"/>
  <c r="AH58"/>
  <c r="AG58"/>
  <c r="AT57"/>
  <c r="AS57"/>
  <c r="AR57"/>
  <c r="AQ57"/>
  <c r="AP57"/>
  <c r="AO57"/>
  <c r="AN57"/>
  <c r="AM57"/>
  <c r="AL57"/>
  <c r="AK57"/>
  <c r="AJ57"/>
  <c r="AI57"/>
  <c r="AH57"/>
  <c r="AG57"/>
  <c r="AT53"/>
  <c r="AS53"/>
  <c r="AQ53"/>
  <c r="AP53"/>
  <c r="AO53"/>
  <c r="AN53"/>
  <c r="AM53"/>
  <c r="AL53"/>
  <c r="AK53"/>
  <c r="AJ53"/>
  <c r="AI53"/>
  <c r="AH53"/>
  <c r="AG53"/>
  <c r="AT52"/>
  <c r="AS52"/>
  <c r="AR52"/>
  <c r="AQ52"/>
  <c r="AP52"/>
  <c r="AO52"/>
  <c r="AN52"/>
  <c r="AM52"/>
  <c r="AL52"/>
  <c r="AK52"/>
  <c r="AJ52"/>
  <c r="AI52"/>
  <c r="AH52"/>
  <c r="AG52"/>
  <c r="AT51"/>
  <c r="AS51"/>
  <c r="AR51"/>
  <c r="AQ51"/>
  <c r="AP51"/>
  <c r="AO51"/>
  <c r="AM51"/>
  <c r="AL51"/>
  <c r="AK51"/>
  <c r="AJ51"/>
  <c r="AI51"/>
  <c r="AH51"/>
  <c r="AG51"/>
  <c r="AT50"/>
  <c r="AS50"/>
  <c r="AR50"/>
  <c r="AQ50"/>
  <c r="AP50"/>
  <c r="AO50"/>
  <c r="AN50"/>
  <c r="AM50"/>
  <c r="AL50"/>
  <c r="AK50"/>
  <c r="AJ50"/>
  <c r="AI50"/>
  <c r="AH50"/>
  <c r="AG50"/>
  <c r="AT49"/>
  <c r="AS49"/>
  <c r="AR49"/>
  <c r="AQ49"/>
  <c r="AP49"/>
  <c r="AO49"/>
  <c r="AN49"/>
  <c r="AM49"/>
  <c r="AL49"/>
  <c r="AK49"/>
  <c r="AJ49"/>
  <c r="AI49"/>
  <c r="AH49"/>
  <c r="AG49"/>
  <c r="AT48"/>
  <c r="AS48"/>
  <c r="AR48"/>
  <c r="AQ48"/>
  <c r="AP48"/>
  <c r="AO48"/>
  <c r="AM48"/>
  <c r="AL48"/>
  <c r="AK48"/>
  <c r="AJ48"/>
  <c r="AI48"/>
  <c r="AH48"/>
  <c r="AG48"/>
  <c r="AT47"/>
  <c r="AS47"/>
  <c r="AR47"/>
  <c r="AQ47"/>
  <c r="AP47"/>
  <c r="AO47"/>
  <c r="AN47"/>
  <c r="AM47"/>
  <c r="AL47"/>
  <c r="AK47"/>
  <c r="AJ47"/>
  <c r="AI47"/>
  <c r="AH47"/>
  <c r="AG47"/>
  <c r="AT46"/>
  <c r="AS46"/>
  <c r="AR46"/>
  <c r="AQ46"/>
  <c r="AP46"/>
  <c r="AO46"/>
  <c r="AN46"/>
  <c r="AM46"/>
  <c r="AL46"/>
  <c r="AK46"/>
  <c r="AJ46"/>
  <c r="AI46"/>
  <c r="AH46"/>
  <c r="AG46"/>
  <c r="AS45"/>
  <c r="AR45"/>
  <c r="AQ45"/>
  <c r="AQ54" s="1"/>
  <c r="AP45"/>
  <c r="AO45"/>
  <c r="AN45"/>
  <c r="AM45"/>
  <c r="AK45"/>
  <c r="AJ45"/>
  <c r="AI45"/>
  <c r="AH45"/>
  <c r="AG45"/>
  <c r="AT44"/>
  <c r="AS44"/>
  <c r="AR44"/>
  <c r="AQ44"/>
  <c r="AP44"/>
  <c r="AO44"/>
  <c r="AN44"/>
  <c r="AM44"/>
  <c r="AL44"/>
  <c r="AK44"/>
  <c r="AJ44"/>
  <c r="AI44"/>
  <c r="AH44"/>
  <c r="AG44"/>
  <c r="AT43"/>
  <c r="AS43"/>
  <c r="AR43"/>
  <c r="AQ43"/>
  <c r="AP43"/>
  <c r="AO43"/>
  <c r="AN43"/>
  <c r="AM43"/>
  <c r="AL43"/>
  <c r="AK43"/>
  <c r="AJ43"/>
  <c r="AI43"/>
  <c r="AH43"/>
  <c r="AG43"/>
  <c r="AT37"/>
  <c r="AS37"/>
  <c r="AR37"/>
  <c r="AQ37"/>
  <c r="AP37"/>
  <c r="AO37"/>
  <c r="AN37"/>
  <c r="AM37"/>
  <c r="AL37"/>
  <c r="AK37"/>
  <c r="AJ37"/>
  <c r="AI37"/>
  <c r="AH37"/>
  <c r="AG37"/>
  <c r="AT36"/>
  <c r="AS36"/>
  <c r="AR36"/>
  <c r="AQ36"/>
  <c r="AP36"/>
  <c r="AO36"/>
  <c r="AN36"/>
  <c r="AM36"/>
  <c r="AL36"/>
  <c r="AK36"/>
  <c r="AJ36"/>
  <c r="AI36"/>
  <c r="AH36"/>
  <c r="AG36"/>
  <c r="AT35"/>
  <c r="AS35"/>
  <c r="AR35"/>
  <c r="AQ35"/>
  <c r="AP35"/>
  <c r="AO35"/>
  <c r="AN35"/>
  <c r="AM35"/>
  <c r="AL35"/>
  <c r="AK35"/>
  <c r="AJ35"/>
  <c r="AI35"/>
  <c r="AH35"/>
  <c r="AG35"/>
  <c r="AT34"/>
  <c r="AS34"/>
  <c r="AR34"/>
  <c r="AQ34"/>
  <c r="AP34"/>
  <c r="AO34"/>
  <c r="AN34"/>
  <c r="AM34"/>
  <c r="AL34"/>
  <c r="AK34"/>
  <c r="AJ34"/>
  <c r="AI34"/>
  <c r="AH34"/>
  <c r="AG34"/>
  <c r="AT32"/>
  <c r="AS32"/>
  <c r="AR32"/>
  <c r="AQ32"/>
  <c r="AP32"/>
  <c r="AO32"/>
  <c r="AN32"/>
  <c r="AM32"/>
  <c r="AL32"/>
  <c r="AK32"/>
  <c r="AJ32"/>
  <c r="AI32"/>
  <c r="AH32"/>
  <c r="AG32"/>
  <c r="AT31"/>
  <c r="AS31"/>
  <c r="AQ31"/>
  <c r="B31" s="1"/>
  <c r="AP31"/>
  <c r="AO31"/>
  <c r="AN31"/>
  <c r="AM31"/>
  <c r="AL31"/>
  <c r="AK31"/>
  <c r="AJ31"/>
  <c r="AI31"/>
  <c r="AH31"/>
  <c r="AG31"/>
  <c r="AT30"/>
  <c r="AS30"/>
  <c r="AR30"/>
  <c r="AQ30"/>
  <c r="AO30"/>
  <c r="AN30"/>
  <c r="AM30"/>
  <c r="AL30"/>
  <c r="AK30"/>
  <c r="AJ30"/>
  <c r="AI30"/>
  <c r="AH30"/>
  <c r="AG30"/>
  <c r="AT28"/>
  <c r="AS28"/>
  <c r="AR28"/>
  <c r="AQ28"/>
  <c r="AP28"/>
  <c r="AO28"/>
  <c r="AN28"/>
  <c r="AM28"/>
  <c r="AK28"/>
  <c r="AJ28"/>
  <c r="AI28"/>
  <c r="AH28"/>
  <c r="AG28"/>
  <c r="AT27"/>
  <c r="AS27"/>
  <c r="AR27"/>
  <c r="AQ27"/>
  <c r="AP27"/>
  <c r="AO27"/>
  <c r="AN27"/>
  <c r="AM27"/>
  <c r="AL27"/>
  <c r="AK27"/>
  <c r="AJ27"/>
  <c r="AI27"/>
  <c r="AH27"/>
  <c r="AG27"/>
  <c r="AT26"/>
  <c r="AS26"/>
  <c r="AR26"/>
  <c r="AQ26"/>
  <c r="AP26"/>
  <c r="AO26"/>
  <c r="AN26"/>
  <c r="AM26"/>
  <c r="AL26"/>
  <c r="AK26"/>
  <c r="AJ26"/>
  <c r="AI26"/>
  <c r="AH26"/>
  <c r="AG26"/>
  <c r="AT25"/>
  <c r="AS25"/>
  <c r="AR25"/>
  <c r="AQ25"/>
  <c r="AP25"/>
  <c r="AO25"/>
  <c r="AN25"/>
  <c r="AM25"/>
  <c r="AL25"/>
  <c r="AK25"/>
  <c r="AJ25"/>
  <c r="AI25"/>
  <c r="AH25"/>
  <c r="AG25"/>
  <c r="AT24"/>
  <c r="AS24"/>
  <c r="AR24"/>
  <c r="AQ24"/>
  <c r="AP24"/>
  <c r="AO24"/>
  <c r="AN24"/>
  <c r="AM24"/>
  <c r="AL24"/>
  <c r="AK24"/>
  <c r="AJ24"/>
  <c r="AI24"/>
  <c r="AH24"/>
  <c r="AG24"/>
  <c r="AT23"/>
  <c r="AS23"/>
  <c r="AR23"/>
  <c r="AQ23"/>
  <c r="AP23"/>
  <c r="AO23"/>
  <c r="AN23"/>
  <c r="AM23"/>
  <c r="AL23"/>
  <c r="AK23"/>
  <c r="AJ23"/>
  <c r="AI23"/>
  <c r="AH23"/>
  <c r="AG23"/>
  <c r="AT22"/>
  <c r="AS22"/>
  <c r="AR22"/>
  <c r="AQ22"/>
  <c r="AP22"/>
  <c r="AO22"/>
  <c r="AN22"/>
  <c r="AM22"/>
  <c r="AL22"/>
  <c r="AK22"/>
  <c r="AJ22"/>
  <c r="AI22"/>
  <c r="AH22"/>
  <c r="AG22"/>
  <c r="AT21"/>
  <c r="AS21"/>
  <c r="AR21"/>
  <c r="AQ21"/>
  <c r="AP21"/>
  <c r="AO21"/>
  <c r="AN21"/>
  <c r="AM21"/>
  <c r="AL21"/>
  <c r="AK21"/>
  <c r="AJ21"/>
  <c r="AI21"/>
  <c r="AH21"/>
  <c r="AG21"/>
  <c r="AT20"/>
  <c r="AS20"/>
  <c r="AR20"/>
  <c r="AQ20"/>
  <c r="AP20"/>
  <c r="AO20"/>
  <c r="AN20"/>
  <c r="AM20"/>
  <c r="AL20"/>
  <c r="AK20"/>
  <c r="AJ20"/>
  <c r="AI20"/>
  <c r="AH20"/>
  <c r="AG20"/>
  <c r="AT19"/>
  <c r="AT29" s="1"/>
  <c r="AT38" s="1"/>
  <c r="AS19"/>
  <c r="AR19"/>
  <c r="AQ19"/>
  <c r="AP19"/>
  <c r="AO19"/>
  <c r="AN19"/>
  <c r="AM19"/>
  <c r="AL19"/>
  <c r="AK19"/>
  <c r="AJ19"/>
  <c r="AI19"/>
  <c r="AH19"/>
  <c r="AG19"/>
  <c r="AS15"/>
  <c r="AR15"/>
  <c r="AQ15"/>
  <c r="AP15"/>
  <c r="AO15"/>
  <c r="AN15"/>
  <c r="AM15"/>
  <c r="AL15"/>
  <c r="AK15"/>
  <c r="AJ15"/>
  <c r="AI15"/>
  <c r="AH15"/>
  <c r="AG15"/>
  <c r="AT14"/>
  <c r="AS14"/>
  <c r="AR14"/>
  <c r="AQ14"/>
  <c r="AP14"/>
  <c r="AO14"/>
  <c r="AN14"/>
  <c r="AM14"/>
  <c r="AL14"/>
  <c r="AK14"/>
  <c r="AJ14"/>
  <c r="AI14"/>
  <c r="AH14"/>
  <c r="AG14"/>
  <c r="AT13"/>
  <c r="AS13"/>
  <c r="AR13"/>
  <c r="AQ13"/>
  <c r="AP13"/>
  <c r="AO13"/>
  <c r="AN13"/>
  <c r="AM13"/>
  <c r="AL13"/>
  <c r="AK13"/>
  <c r="AJ13"/>
  <c r="AI13"/>
  <c r="AH13"/>
  <c r="AG13"/>
  <c r="AT12"/>
  <c r="AT65"/>
  <c r="AS12"/>
  <c r="AR12"/>
  <c r="AQ12"/>
  <c r="AP12"/>
  <c r="AO12"/>
  <c r="AN12"/>
  <c r="AN16" s="1"/>
  <c r="AM12"/>
  <c r="AL12"/>
  <c r="AK12"/>
  <c r="AJ12"/>
  <c r="AI12"/>
  <c r="AH12"/>
  <c r="AG12"/>
  <c r="AF86"/>
  <c r="AE86"/>
  <c r="AD86"/>
  <c r="AC86"/>
  <c r="AB86"/>
  <c r="AA86"/>
  <c r="AF79"/>
  <c r="AE79"/>
  <c r="AD79"/>
  <c r="AC79"/>
  <c r="AB79"/>
  <c r="AA79"/>
  <c r="AF78"/>
  <c r="AE78"/>
  <c r="AD78"/>
  <c r="AC78"/>
  <c r="AB78"/>
  <c r="AA78"/>
  <c r="AF77"/>
  <c r="AE77"/>
  <c r="AD77"/>
  <c r="AC77"/>
  <c r="AB77"/>
  <c r="AA77"/>
  <c r="AF76"/>
  <c r="AE76"/>
  <c r="AD76"/>
  <c r="AB76"/>
  <c r="AA76"/>
  <c r="AF64"/>
  <c r="AE64"/>
  <c r="AD64"/>
  <c r="AC64"/>
  <c r="AB64"/>
  <c r="AA64"/>
  <c r="AF63"/>
  <c r="AE63"/>
  <c r="AD63"/>
  <c r="AC63"/>
  <c r="AB63"/>
  <c r="AA63"/>
  <c r="AF62"/>
  <c r="AE62"/>
  <c r="AD62"/>
  <c r="AC62"/>
  <c r="AB62"/>
  <c r="AA62"/>
  <c r="AF61"/>
  <c r="AE61"/>
  <c r="AD61"/>
  <c r="AC61"/>
  <c r="AB61"/>
  <c r="AA61"/>
  <c r="AF60"/>
  <c r="AE60"/>
  <c r="AD60"/>
  <c r="AC60"/>
  <c r="AB60"/>
  <c r="AA60"/>
  <c r="AF59"/>
  <c r="AF65" s="1"/>
  <c r="AE59"/>
  <c r="AD59"/>
  <c r="AC59"/>
  <c r="AB59"/>
  <c r="AF58"/>
  <c r="AE58"/>
  <c r="AD58"/>
  <c r="AC58"/>
  <c r="AB58"/>
  <c r="AA58"/>
  <c r="AF57"/>
  <c r="AE57"/>
  <c r="AD57"/>
  <c r="AC57"/>
  <c r="AB57"/>
  <c r="AA57"/>
  <c r="AF53"/>
  <c r="AE53"/>
  <c r="AD53"/>
  <c r="AC53"/>
  <c r="AB53"/>
  <c r="AA53"/>
  <c r="AF52"/>
  <c r="AE52"/>
  <c r="AD52"/>
  <c r="AC52"/>
  <c r="AB52"/>
  <c r="AA52"/>
  <c r="AF51"/>
  <c r="AE51"/>
  <c r="AD51"/>
  <c r="AC51"/>
  <c r="AB51"/>
  <c r="AA51"/>
  <c r="AF50"/>
  <c r="AE50"/>
  <c r="AD50"/>
  <c r="AC50"/>
  <c r="AB50"/>
  <c r="AA50"/>
  <c r="AF49"/>
  <c r="AE49"/>
  <c r="AD49"/>
  <c r="AC49"/>
  <c r="AB49"/>
  <c r="AA49"/>
  <c r="AF48"/>
  <c r="AE48"/>
  <c r="AD48"/>
  <c r="AC48"/>
  <c r="AB48"/>
  <c r="AA48"/>
  <c r="AF47"/>
  <c r="AE47"/>
  <c r="AD47"/>
  <c r="AC47"/>
  <c r="AB47"/>
  <c r="AA47"/>
  <c r="AF46"/>
  <c r="AE46"/>
  <c r="AD46"/>
  <c r="AC46"/>
  <c r="AB46"/>
  <c r="AA46"/>
  <c r="AF45"/>
  <c r="AE45"/>
  <c r="AD45"/>
  <c r="AC45"/>
  <c r="AB45"/>
  <c r="AA45"/>
  <c r="AF44"/>
  <c r="AE44"/>
  <c r="AD44"/>
  <c r="AC44"/>
  <c r="AB44"/>
  <c r="AA44"/>
  <c r="AF43"/>
  <c r="AE43"/>
  <c r="AD43"/>
  <c r="AC43"/>
  <c r="AB43"/>
  <c r="AA43"/>
  <c r="AF37"/>
  <c r="AE37"/>
  <c r="AD37"/>
  <c r="AC37"/>
  <c r="AB37"/>
  <c r="AA37"/>
  <c r="AF36"/>
  <c r="AE36"/>
  <c r="AD36"/>
  <c r="AC36"/>
  <c r="AB36"/>
  <c r="AA36"/>
  <c r="AF35"/>
  <c r="AD35"/>
  <c r="AC35"/>
  <c r="AB35"/>
  <c r="AA35"/>
  <c r="AF34"/>
  <c r="AE34"/>
  <c r="AD34"/>
  <c r="AC34"/>
  <c r="AB34"/>
  <c r="AA34"/>
  <c r="AF32"/>
  <c r="AE32"/>
  <c r="AD32"/>
  <c r="AC32"/>
  <c r="AB32"/>
  <c r="AA32"/>
  <c r="AF31"/>
  <c r="AE31"/>
  <c r="AD31"/>
  <c r="AC31"/>
  <c r="AB31"/>
  <c r="AA31"/>
  <c r="AF30"/>
  <c r="AE30"/>
  <c r="AD30"/>
  <c r="AC30"/>
  <c r="AB30"/>
  <c r="AA30"/>
  <c r="AF28"/>
  <c r="AE28"/>
  <c r="AD28"/>
  <c r="AC28"/>
  <c r="AB28"/>
  <c r="AA28"/>
  <c r="AF27"/>
  <c r="AE27"/>
  <c r="AD27"/>
  <c r="AC27"/>
  <c r="AB27"/>
  <c r="AA27"/>
  <c r="AF26"/>
  <c r="AE26"/>
  <c r="AD26"/>
  <c r="AC26"/>
  <c r="AB26"/>
  <c r="AA26"/>
  <c r="AF25"/>
  <c r="AE25"/>
  <c r="AD25"/>
  <c r="AC25"/>
  <c r="AB25"/>
  <c r="AA25"/>
  <c r="AF24"/>
  <c r="AE24"/>
  <c r="AD24"/>
  <c r="AC24"/>
  <c r="AB24"/>
  <c r="AA24"/>
  <c r="AF23"/>
  <c r="AE23"/>
  <c r="AD23"/>
  <c r="AC23"/>
  <c r="AB23"/>
  <c r="AA23"/>
  <c r="AF22"/>
  <c r="AE22"/>
  <c r="AD22"/>
  <c r="AC22"/>
  <c r="AB22"/>
  <c r="AA22"/>
  <c r="AF21"/>
  <c r="AE21"/>
  <c r="AD21"/>
  <c r="AC21"/>
  <c r="AB21"/>
  <c r="AA21"/>
  <c r="AF20"/>
  <c r="AE20"/>
  <c r="AD20"/>
  <c r="AC20"/>
  <c r="AB20"/>
  <c r="AA20"/>
  <c r="AF19"/>
  <c r="AE19"/>
  <c r="AD19"/>
  <c r="AD29" s="1"/>
  <c r="AC19"/>
  <c r="AB19"/>
  <c r="AA19"/>
  <c r="AF15"/>
  <c r="AE15"/>
  <c r="AD15"/>
  <c r="AC15"/>
  <c r="AB15"/>
  <c r="AA15"/>
  <c r="AF14"/>
  <c r="AE14"/>
  <c r="AD14"/>
  <c r="AC14"/>
  <c r="AB14"/>
  <c r="AA14"/>
  <c r="AF13"/>
  <c r="AE13"/>
  <c r="AD13"/>
  <c r="AC13"/>
  <c r="AB13"/>
  <c r="AA13"/>
  <c r="AD12"/>
  <c r="AD16" s="1"/>
  <c r="AD65"/>
  <c r="AD54"/>
  <c r="AD67" s="1"/>
  <c r="AF12"/>
  <c r="AE12"/>
  <c r="AC12"/>
  <c r="AB12"/>
  <c r="AA12"/>
  <c r="L80" i="2"/>
  <c r="Z79" i="13"/>
  <c r="Z78"/>
  <c r="Z77"/>
  <c r="Z76"/>
  <c r="Z64"/>
  <c r="Z63"/>
  <c r="Z62"/>
  <c r="Z61"/>
  <c r="Z60"/>
  <c r="Z59"/>
  <c r="Z58"/>
  <c r="Z57"/>
  <c r="Z53"/>
  <c r="Z52"/>
  <c r="Z51"/>
  <c r="Z50"/>
  <c r="Z49"/>
  <c r="Z48"/>
  <c r="Z47"/>
  <c r="Z46"/>
  <c r="Z45"/>
  <c r="Z44"/>
  <c r="Z43"/>
  <c r="Z37"/>
  <c r="Z36"/>
  <c r="Z35"/>
  <c r="Z34"/>
  <c r="Z32"/>
  <c r="Z31"/>
  <c r="Z30"/>
  <c r="Z28"/>
  <c r="Z27"/>
  <c r="Z26"/>
  <c r="Z25"/>
  <c r="Z24"/>
  <c r="Z23"/>
  <c r="Z22"/>
  <c r="Z21"/>
  <c r="Z20"/>
  <c r="Z19"/>
  <c r="Z15"/>
  <c r="Z14"/>
  <c r="Z13"/>
  <c r="Z12"/>
  <c r="Y86"/>
  <c r="Y79"/>
  <c r="Y78"/>
  <c r="Y77"/>
  <c r="Y76"/>
  <c r="Y64"/>
  <c r="Y63"/>
  <c r="Y62"/>
  <c r="Y61"/>
  <c r="Y60"/>
  <c r="Y59"/>
  <c r="Y58"/>
  <c r="Y57"/>
  <c r="Y53"/>
  <c r="Y52"/>
  <c r="Y51"/>
  <c r="Y50"/>
  <c r="Y49"/>
  <c r="Y48"/>
  <c r="Y47"/>
  <c r="Y46"/>
  <c r="Y45"/>
  <c r="Y44"/>
  <c r="Y43"/>
  <c r="Y37"/>
  <c r="Y36"/>
  <c r="Y35"/>
  <c r="Y34"/>
  <c r="Y32"/>
  <c r="Y31"/>
  <c r="Y30"/>
  <c r="Y28"/>
  <c r="Y27"/>
  <c r="Y26"/>
  <c r="Y25"/>
  <c r="Y24"/>
  <c r="Y23"/>
  <c r="Y22"/>
  <c r="Y21"/>
  <c r="Y20"/>
  <c r="Y19"/>
  <c r="Y15"/>
  <c r="Y14"/>
  <c r="Y13"/>
  <c r="Y12"/>
  <c r="X86"/>
  <c r="X79"/>
  <c r="X78"/>
  <c r="X77"/>
  <c r="X76"/>
  <c r="X64"/>
  <c r="X63"/>
  <c r="X62"/>
  <c r="X61"/>
  <c r="X60"/>
  <c r="X59"/>
  <c r="X58"/>
  <c r="X57"/>
  <c r="X53"/>
  <c r="X52"/>
  <c r="X51"/>
  <c r="X50"/>
  <c r="X49"/>
  <c r="X48"/>
  <c r="X47"/>
  <c r="X46"/>
  <c r="X45"/>
  <c r="X44"/>
  <c r="X43"/>
  <c r="X37"/>
  <c r="X36"/>
  <c r="X35"/>
  <c r="X34"/>
  <c r="X32"/>
  <c r="X31"/>
  <c r="X30"/>
  <c r="X28"/>
  <c r="X27"/>
  <c r="X26"/>
  <c r="X25"/>
  <c r="X24"/>
  <c r="X23"/>
  <c r="X22"/>
  <c r="X21"/>
  <c r="X20"/>
  <c r="X19"/>
  <c r="X15"/>
  <c r="X14"/>
  <c r="X13"/>
  <c r="X12"/>
  <c r="W86"/>
  <c r="W79"/>
  <c r="W78"/>
  <c r="W77"/>
  <c r="W76"/>
  <c r="W64"/>
  <c r="W63"/>
  <c r="W62"/>
  <c r="W61"/>
  <c r="W60"/>
  <c r="W59"/>
  <c r="W58"/>
  <c r="W57"/>
  <c r="W65" s="1"/>
  <c r="W53"/>
  <c r="W52"/>
  <c r="W51"/>
  <c r="W50"/>
  <c r="W49"/>
  <c r="W48"/>
  <c r="W47"/>
  <c r="W46"/>
  <c r="W45"/>
  <c r="W44"/>
  <c r="W43"/>
  <c r="W37"/>
  <c r="W36"/>
  <c r="W35"/>
  <c r="W32"/>
  <c r="W31"/>
  <c r="W30"/>
  <c r="W28"/>
  <c r="W27"/>
  <c r="W26"/>
  <c r="W25"/>
  <c r="W24"/>
  <c r="W23"/>
  <c r="W22"/>
  <c r="W21"/>
  <c r="W20"/>
  <c r="W19"/>
  <c r="W15"/>
  <c r="W14"/>
  <c r="W13"/>
  <c r="W12"/>
  <c r="V86"/>
  <c r="V79"/>
  <c r="V78"/>
  <c r="V77"/>
  <c r="V76"/>
  <c r="V64"/>
  <c r="V63"/>
  <c r="V62"/>
  <c r="V61"/>
  <c r="V60"/>
  <c r="V59"/>
  <c r="V58"/>
  <c r="V57"/>
  <c r="V53"/>
  <c r="V52"/>
  <c r="V51"/>
  <c r="V50"/>
  <c r="V49"/>
  <c r="V48"/>
  <c r="V47"/>
  <c r="V46"/>
  <c r="V45"/>
  <c r="V44"/>
  <c r="V37"/>
  <c r="V36"/>
  <c r="V35"/>
  <c r="V34"/>
  <c r="V32"/>
  <c r="V31"/>
  <c r="V30"/>
  <c r="V28"/>
  <c r="V27"/>
  <c r="V26"/>
  <c r="V25"/>
  <c r="V24"/>
  <c r="V23"/>
  <c r="V22"/>
  <c r="V21"/>
  <c r="V20"/>
  <c r="V19"/>
  <c r="V15"/>
  <c r="V14"/>
  <c r="V13"/>
  <c r="V12"/>
  <c r="U86"/>
  <c r="U79"/>
  <c r="U78"/>
  <c r="U77"/>
  <c r="U76"/>
  <c r="U64"/>
  <c r="U63"/>
  <c r="U62"/>
  <c r="U61"/>
  <c r="U60"/>
  <c r="U59"/>
  <c r="U58"/>
  <c r="U57"/>
  <c r="U53"/>
  <c r="U52"/>
  <c r="U51"/>
  <c r="U50"/>
  <c r="U49"/>
  <c r="U48"/>
  <c r="U47"/>
  <c r="U46"/>
  <c r="U45"/>
  <c r="U44"/>
  <c r="U43"/>
  <c r="U37"/>
  <c r="U36"/>
  <c r="U35"/>
  <c r="U34"/>
  <c r="U32"/>
  <c r="U31"/>
  <c r="U30"/>
  <c r="U28"/>
  <c r="U27"/>
  <c r="U26"/>
  <c r="U25"/>
  <c r="U24"/>
  <c r="U23"/>
  <c r="U22"/>
  <c r="U21"/>
  <c r="U20"/>
  <c r="U19"/>
  <c r="U15"/>
  <c r="U16" s="1"/>
  <c r="U14"/>
  <c r="U13"/>
  <c r="U12"/>
  <c r="T86"/>
  <c r="T79"/>
  <c r="T78"/>
  <c r="T77"/>
  <c r="T76"/>
  <c r="T64"/>
  <c r="T63"/>
  <c r="T62"/>
  <c r="T61"/>
  <c r="T60"/>
  <c r="T59"/>
  <c r="T58"/>
  <c r="T57"/>
  <c r="T53"/>
  <c r="T52"/>
  <c r="T51"/>
  <c r="T50"/>
  <c r="T49"/>
  <c r="T48"/>
  <c r="T47"/>
  <c r="T46"/>
  <c r="T45"/>
  <c r="T44"/>
  <c r="T43"/>
  <c r="T37"/>
  <c r="T36"/>
  <c r="T35"/>
  <c r="T34"/>
  <c r="T32"/>
  <c r="T31"/>
  <c r="T30"/>
  <c r="T28"/>
  <c r="T27"/>
  <c r="T26"/>
  <c r="T25"/>
  <c r="T24"/>
  <c r="T23"/>
  <c r="T21"/>
  <c r="T20"/>
  <c r="T19"/>
  <c r="T15"/>
  <c r="T14"/>
  <c r="T13"/>
  <c r="T12"/>
  <c r="S86"/>
  <c r="S79"/>
  <c r="S78"/>
  <c r="S77"/>
  <c r="S76"/>
  <c r="S64"/>
  <c r="S63"/>
  <c r="S62"/>
  <c r="S61"/>
  <c r="S60"/>
  <c r="S59"/>
  <c r="S58"/>
  <c r="S57"/>
  <c r="S53"/>
  <c r="S52"/>
  <c r="S51"/>
  <c r="S50"/>
  <c r="S49"/>
  <c r="S48"/>
  <c r="S47"/>
  <c r="S46"/>
  <c r="S45"/>
  <c r="S44"/>
  <c r="S43"/>
  <c r="S37"/>
  <c r="S36"/>
  <c r="S35"/>
  <c r="S34"/>
  <c r="S32"/>
  <c r="S31"/>
  <c r="S30"/>
  <c r="S28"/>
  <c r="S27"/>
  <c r="S26"/>
  <c r="S25"/>
  <c r="S24"/>
  <c r="S23"/>
  <c r="S22"/>
  <c r="S21"/>
  <c r="S20"/>
  <c r="S19"/>
  <c r="S15"/>
  <c r="S14"/>
  <c r="S13"/>
  <c r="S12"/>
  <c r="R86"/>
  <c r="R79"/>
  <c r="R78"/>
  <c r="R77"/>
  <c r="R76"/>
  <c r="R64"/>
  <c r="R63"/>
  <c r="R62"/>
  <c r="R61"/>
  <c r="R60"/>
  <c r="R59"/>
  <c r="R58"/>
  <c r="R57"/>
  <c r="R53"/>
  <c r="R52"/>
  <c r="R51"/>
  <c r="R50"/>
  <c r="R49"/>
  <c r="R48"/>
  <c r="R47"/>
  <c r="R46"/>
  <c r="R45"/>
  <c r="R44"/>
  <c r="R43"/>
  <c r="R37"/>
  <c r="R36"/>
  <c r="R35"/>
  <c r="R34"/>
  <c r="R32"/>
  <c r="R31"/>
  <c r="R30"/>
  <c r="R28"/>
  <c r="R27"/>
  <c r="R26"/>
  <c r="R25"/>
  <c r="R24"/>
  <c r="R23"/>
  <c r="R22"/>
  <c r="R21"/>
  <c r="R20"/>
  <c r="R19"/>
  <c r="R15"/>
  <c r="R14"/>
  <c r="R13"/>
  <c r="R12"/>
  <c r="Q86"/>
  <c r="Q79"/>
  <c r="Q78"/>
  <c r="Q77"/>
  <c r="Q76"/>
  <c r="Q64"/>
  <c r="Q63"/>
  <c r="Q62"/>
  <c r="Q61"/>
  <c r="Q60"/>
  <c r="Q59"/>
  <c r="Q58"/>
  <c r="Q57"/>
  <c r="Q53"/>
  <c r="Q52"/>
  <c r="Q51"/>
  <c r="Q50"/>
  <c r="Q49"/>
  <c r="Q48"/>
  <c r="Q47"/>
  <c r="Q46"/>
  <c r="Q45"/>
  <c r="Q44"/>
  <c r="Q43"/>
  <c r="Q37"/>
  <c r="Q36"/>
  <c r="Q35"/>
  <c r="Q34"/>
  <c r="Q32"/>
  <c r="Q31"/>
  <c r="Q30"/>
  <c r="Q28"/>
  <c r="Q27"/>
  <c r="Q26"/>
  <c r="Q25"/>
  <c r="Q24"/>
  <c r="Q22"/>
  <c r="Q21"/>
  <c r="Q20"/>
  <c r="Q15"/>
  <c r="Q14"/>
  <c r="Q13"/>
  <c r="Q12"/>
  <c r="P86"/>
  <c r="P79"/>
  <c r="P78"/>
  <c r="P77"/>
  <c r="P76"/>
  <c r="P64"/>
  <c r="P63"/>
  <c r="P62"/>
  <c r="P61"/>
  <c r="P60"/>
  <c r="P59"/>
  <c r="P58"/>
  <c r="P57"/>
  <c r="P53"/>
  <c r="P52"/>
  <c r="P51"/>
  <c r="P50"/>
  <c r="P49"/>
  <c r="P48"/>
  <c r="P47"/>
  <c r="P46"/>
  <c r="P44"/>
  <c r="P43"/>
  <c r="P37"/>
  <c r="P36"/>
  <c r="P35"/>
  <c r="P34"/>
  <c r="P32"/>
  <c r="P31"/>
  <c r="P30"/>
  <c r="P27"/>
  <c r="P26"/>
  <c r="P25"/>
  <c r="P24"/>
  <c r="P23"/>
  <c r="P22"/>
  <c r="P21"/>
  <c r="P20"/>
  <c r="P19"/>
  <c r="P15"/>
  <c r="P14"/>
  <c r="P13"/>
  <c r="P12"/>
  <c r="O86"/>
  <c r="O79"/>
  <c r="O78"/>
  <c r="O77"/>
  <c r="O76"/>
  <c r="O64"/>
  <c r="O63"/>
  <c r="O62"/>
  <c r="O61"/>
  <c r="O60"/>
  <c r="O59"/>
  <c r="O58"/>
  <c r="O57"/>
  <c r="O53"/>
  <c r="O52"/>
  <c r="O51"/>
  <c r="O50"/>
  <c r="O49"/>
  <c r="O48"/>
  <c r="O47"/>
  <c r="O46"/>
  <c r="O45"/>
  <c r="O44"/>
  <c r="O43"/>
  <c r="O37"/>
  <c r="O36"/>
  <c r="O35"/>
  <c r="O32"/>
  <c r="O31"/>
  <c r="O30"/>
  <c r="O28"/>
  <c r="O27"/>
  <c r="O26"/>
  <c r="O25"/>
  <c r="O24"/>
  <c r="O23"/>
  <c r="O22"/>
  <c r="O21"/>
  <c r="O20"/>
  <c r="O19"/>
  <c r="O15"/>
  <c r="O14"/>
  <c r="O13"/>
  <c r="O12"/>
  <c r="N86"/>
  <c r="N79"/>
  <c r="N78"/>
  <c r="N77"/>
  <c r="N76"/>
  <c r="N64"/>
  <c r="N63"/>
  <c r="N62"/>
  <c r="N61"/>
  <c r="N60"/>
  <c r="N59"/>
  <c r="N58"/>
  <c r="N57"/>
  <c r="N53"/>
  <c r="N52"/>
  <c r="N51"/>
  <c r="N50"/>
  <c r="N49"/>
  <c r="N48"/>
  <c r="N47"/>
  <c r="N46"/>
  <c r="N45"/>
  <c r="N44"/>
  <c r="N43"/>
  <c r="N37"/>
  <c r="N36"/>
  <c r="N35"/>
  <c r="N34"/>
  <c r="N32"/>
  <c r="N31"/>
  <c r="N30"/>
  <c r="N28"/>
  <c r="N27"/>
  <c r="N26"/>
  <c r="N25"/>
  <c r="N24"/>
  <c r="N23"/>
  <c r="N22"/>
  <c r="N21"/>
  <c r="N20"/>
  <c r="N19"/>
  <c r="N15"/>
  <c r="N14"/>
  <c r="N13"/>
  <c r="N12"/>
  <c r="M86"/>
  <c r="M79"/>
  <c r="M78"/>
  <c r="M77"/>
  <c r="M76"/>
  <c r="M64"/>
  <c r="M63"/>
  <c r="M62"/>
  <c r="M61"/>
  <c r="M60"/>
  <c r="M59"/>
  <c r="M58"/>
  <c r="M57"/>
  <c r="M53"/>
  <c r="M52"/>
  <c r="M51"/>
  <c r="M50"/>
  <c r="M49"/>
  <c r="M48"/>
  <c r="M47"/>
  <c r="M46"/>
  <c r="M45"/>
  <c r="M44"/>
  <c r="M43"/>
  <c r="M37"/>
  <c r="M36"/>
  <c r="M35"/>
  <c r="M34"/>
  <c r="M33"/>
  <c r="M32"/>
  <c r="M31"/>
  <c r="M30"/>
  <c r="M28"/>
  <c r="M27"/>
  <c r="M26"/>
  <c r="M25"/>
  <c r="M24"/>
  <c r="M23"/>
  <c r="M22"/>
  <c r="M21"/>
  <c r="M20"/>
  <c r="M19"/>
  <c r="M15"/>
  <c r="M14"/>
  <c r="M13"/>
  <c r="M12"/>
  <c r="L86"/>
  <c r="L79"/>
  <c r="L78"/>
  <c r="L77"/>
  <c r="L76"/>
  <c r="L64"/>
  <c r="L63"/>
  <c r="L62"/>
  <c r="L61"/>
  <c r="L60"/>
  <c r="L59"/>
  <c r="L58"/>
  <c r="L57"/>
  <c r="L53"/>
  <c r="L52"/>
  <c r="L51"/>
  <c r="L50"/>
  <c r="L49"/>
  <c r="L48"/>
  <c r="L47"/>
  <c r="L46"/>
  <c r="L45"/>
  <c r="L44"/>
  <c r="L43"/>
  <c r="L37"/>
  <c r="L36"/>
  <c r="L35"/>
  <c r="L34"/>
  <c r="L32"/>
  <c r="L31"/>
  <c r="L30"/>
  <c r="L28"/>
  <c r="L27"/>
  <c r="L26"/>
  <c r="L25"/>
  <c r="L24"/>
  <c r="L23"/>
  <c r="L22"/>
  <c r="L21"/>
  <c r="L20"/>
  <c r="L19"/>
  <c r="L15"/>
  <c r="L14"/>
  <c r="L13"/>
  <c r="L12"/>
  <c r="K86"/>
  <c r="K79"/>
  <c r="K78"/>
  <c r="K77"/>
  <c r="K76"/>
  <c r="K64"/>
  <c r="K63"/>
  <c r="K62"/>
  <c r="K61"/>
  <c r="K60"/>
  <c r="K59"/>
  <c r="K58"/>
  <c r="K57"/>
  <c r="K53"/>
  <c r="K52"/>
  <c r="K51"/>
  <c r="K50"/>
  <c r="K49"/>
  <c r="K48"/>
  <c r="K47"/>
  <c r="K46"/>
  <c r="K45"/>
  <c r="K44"/>
  <c r="K43"/>
  <c r="K37"/>
  <c r="K36"/>
  <c r="K35"/>
  <c r="K34"/>
  <c r="K32"/>
  <c r="K31"/>
  <c r="K30"/>
  <c r="K28"/>
  <c r="K27"/>
  <c r="K26"/>
  <c r="K25"/>
  <c r="K24"/>
  <c r="K23"/>
  <c r="K22"/>
  <c r="K21"/>
  <c r="K20"/>
  <c r="K19"/>
  <c r="K15"/>
  <c r="K14"/>
  <c r="K13"/>
  <c r="K12"/>
  <c r="J86"/>
  <c r="J79"/>
  <c r="J78"/>
  <c r="J77"/>
  <c r="J76"/>
  <c r="J64"/>
  <c r="J63"/>
  <c r="J62"/>
  <c r="J61"/>
  <c r="J60"/>
  <c r="J59"/>
  <c r="J58"/>
  <c r="J57"/>
  <c r="J53"/>
  <c r="J52"/>
  <c r="J51"/>
  <c r="J50"/>
  <c r="J49"/>
  <c r="J48"/>
  <c r="J47"/>
  <c r="J46"/>
  <c r="J45"/>
  <c r="J44"/>
  <c r="J43"/>
  <c r="J37"/>
  <c r="J36"/>
  <c r="J35"/>
  <c r="J34"/>
  <c r="J32"/>
  <c r="J31"/>
  <c r="J30"/>
  <c r="J28"/>
  <c r="J27"/>
  <c r="J26"/>
  <c r="J25"/>
  <c r="B25" s="1"/>
  <c r="J24"/>
  <c r="J23"/>
  <c r="J22"/>
  <c r="J21"/>
  <c r="J20"/>
  <c r="J19"/>
  <c r="J29" s="1"/>
  <c r="J15"/>
  <c r="J14"/>
  <c r="J13"/>
  <c r="J12"/>
  <c r="I86"/>
  <c r="I79"/>
  <c r="I78"/>
  <c r="I77"/>
  <c r="I76"/>
  <c r="I64"/>
  <c r="I63"/>
  <c r="I62"/>
  <c r="I61"/>
  <c r="I60"/>
  <c r="I59"/>
  <c r="I58"/>
  <c r="I57"/>
  <c r="I53"/>
  <c r="I52"/>
  <c r="I51"/>
  <c r="I50"/>
  <c r="I49"/>
  <c r="I48"/>
  <c r="I47"/>
  <c r="I46"/>
  <c r="I45"/>
  <c r="I44"/>
  <c r="I43"/>
  <c r="I37"/>
  <c r="I36"/>
  <c r="I35"/>
  <c r="I34"/>
  <c r="I32"/>
  <c r="I31"/>
  <c r="I30"/>
  <c r="I28"/>
  <c r="I27"/>
  <c r="I26"/>
  <c r="I25"/>
  <c r="I24"/>
  <c r="I23"/>
  <c r="I22"/>
  <c r="I29" s="1"/>
  <c r="I21"/>
  <c r="I20"/>
  <c r="I19"/>
  <c r="I15"/>
  <c r="I14"/>
  <c r="I13"/>
  <c r="I12"/>
  <c r="G86"/>
  <c r="G79"/>
  <c r="G78"/>
  <c r="G77"/>
  <c r="G76"/>
  <c r="G64"/>
  <c r="G63"/>
  <c r="G62"/>
  <c r="G61"/>
  <c r="G60"/>
  <c r="G59"/>
  <c r="G58"/>
  <c r="G57"/>
  <c r="G53"/>
  <c r="G52"/>
  <c r="G51"/>
  <c r="G50"/>
  <c r="G49"/>
  <c r="G48"/>
  <c r="G47"/>
  <c r="G46"/>
  <c r="G45"/>
  <c r="G44"/>
  <c r="G43"/>
  <c r="G37"/>
  <c r="G36"/>
  <c r="G35"/>
  <c r="G34"/>
  <c r="G32"/>
  <c r="G31"/>
  <c r="G30"/>
  <c r="G28"/>
  <c r="G27"/>
  <c r="G26"/>
  <c r="G25"/>
  <c r="G24"/>
  <c r="G23"/>
  <c r="G22"/>
  <c r="G21"/>
  <c r="G20"/>
  <c r="G19"/>
  <c r="G15"/>
  <c r="G14"/>
  <c r="G13"/>
  <c r="G12"/>
  <c r="F86"/>
  <c r="F79"/>
  <c r="F78"/>
  <c r="F77"/>
  <c r="F76"/>
  <c r="F64"/>
  <c r="F63"/>
  <c r="F62"/>
  <c r="F61"/>
  <c r="F60"/>
  <c r="F59"/>
  <c r="F58"/>
  <c r="F57"/>
  <c r="F53"/>
  <c r="F52"/>
  <c r="F51"/>
  <c r="F50"/>
  <c r="F49"/>
  <c r="F48"/>
  <c r="F47"/>
  <c r="F46"/>
  <c r="F45"/>
  <c r="F44"/>
  <c r="F43"/>
  <c r="F37"/>
  <c r="F36"/>
  <c r="F35"/>
  <c r="F34"/>
  <c r="F32"/>
  <c r="F31"/>
  <c r="F30"/>
  <c r="F28"/>
  <c r="F27"/>
  <c r="F26"/>
  <c r="F25"/>
  <c r="F24"/>
  <c r="F23"/>
  <c r="F22"/>
  <c r="F21"/>
  <c r="F20"/>
  <c r="F19"/>
  <c r="F15"/>
  <c r="F14"/>
  <c r="F13"/>
  <c r="F12"/>
  <c r="E86"/>
  <c r="E79"/>
  <c r="E78"/>
  <c r="E77"/>
  <c r="E76"/>
  <c r="E64"/>
  <c r="E63"/>
  <c r="E62"/>
  <c r="E61"/>
  <c r="E60"/>
  <c r="E59"/>
  <c r="E58"/>
  <c r="E65" s="1"/>
  <c r="E57"/>
  <c r="E53"/>
  <c r="E52"/>
  <c r="E51"/>
  <c r="E50"/>
  <c r="E49"/>
  <c r="E48"/>
  <c r="E47"/>
  <c r="E46"/>
  <c r="E45"/>
  <c r="E44"/>
  <c r="E43"/>
  <c r="E37"/>
  <c r="E36"/>
  <c r="E35"/>
  <c r="E34"/>
  <c r="E32"/>
  <c r="E31"/>
  <c r="E30"/>
  <c r="E28"/>
  <c r="E27"/>
  <c r="E26"/>
  <c r="E25"/>
  <c r="E24"/>
  <c r="E23"/>
  <c r="E22"/>
  <c r="E21"/>
  <c r="E20"/>
  <c r="E29" s="1"/>
  <c r="E19"/>
  <c r="E15"/>
  <c r="E14"/>
  <c r="E13"/>
  <c r="E12"/>
  <c r="E16" s="1"/>
  <c r="D86"/>
  <c r="D79"/>
  <c r="D78"/>
  <c r="D77"/>
  <c r="D76"/>
  <c r="D64"/>
  <c r="D63"/>
  <c r="D62"/>
  <c r="D61"/>
  <c r="D60"/>
  <c r="D59"/>
  <c r="D58"/>
  <c r="D57"/>
  <c r="D53"/>
  <c r="D52"/>
  <c r="D51"/>
  <c r="D50"/>
  <c r="D49"/>
  <c r="D48"/>
  <c r="D47"/>
  <c r="D46"/>
  <c r="D45"/>
  <c r="D44"/>
  <c r="D43"/>
  <c r="D37"/>
  <c r="D36"/>
  <c r="D35"/>
  <c r="D34"/>
  <c r="D32"/>
  <c r="D31"/>
  <c r="D30"/>
  <c r="D28"/>
  <c r="D27"/>
  <c r="D26"/>
  <c r="D25"/>
  <c r="D24"/>
  <c r="D23"/>
  <c r="D22"/>
  <c r="D21"/>
  <c r="D20"/>
  <c r="D19"/>
  <c r="D15"/>
  <c r="D14"/>
  <c r="D13"/>
  <c r="D12"/>
  <c r="C86"/>
  <c r="C79"/>
  <c r="C78"/>
  <c r="C77"/>
  <c r="C76"/>
  <c r="C64"/>
  <c r="C63"/>
  <c r="C62"/>
  <c r="C61"/>
  <c r="C60"/>
  <c r="C59"/>
  <c r="C58"/>
  <c r="C57"/>
  <c r="C53"/>
  <c r="C52"/>
  <c r="C51"/>
  <c r="C50"/>
  <c r="C49"/>
  <c r="C48"/>
  <c r="C47"/>
  <c r="C46"/>
  <c r="C45"/>
  <c r="C44"/>
  <c r="C43"/>
  <c r="C37"/>
  <c r="C36"/>
  <c r="C35"/>
  <c r="C32"/>
  <c r="C31"/>
  <c r="C30"/>
  <c r="C28"/>
  <c r="C27"/>
  <c r="C26"/>
  <c r="C25"/>
  <c r="C24"/>
  <c r="C23"/>
  <c r="C22"/>
  <c r="C21"/>
  <c r="C20"/>
  <c r="C19"/>
  <c r="C15"/>
  <c r="C14"/>
  <c r="C13"/>
  <c r="C12"/>
  <c r="E54"/>
  <c r="BD65"/>
  <c r="AV65"/>
  <c r="AU65"/>
  <c r="AV54"/>
  <c r="AV67" s="1"/>
  <c r="AU54"/>
  <c r="AU67" s="1"/>
  <c r="AV29"/>
  <c r="AU29"/>
  <c r="AV16"/>
  <c r="AV74" s="1"/>
  <c r="AV80" s="1"/>
  <c r="AV83" s="1"/>
  <c r="AV85" s="1"/>
  <c r="AV87" s="1"/>
  <c r="AV33" s="1"/>
  <c r="AU16"/>
  <c r="AU74" s="1"/>
  <c r="AU80" s="1"/>
  <c r="AU83" s="1"/>
  <c r="AU85" s="1"/>
  <c r="AU87" s="1"/>
  <c r="AU33" s="1"/>
  <c r="BB65"/>
  <c r="BB54"/>
  <c r="BB67" s="1"/>
  <c r="BC54"/>
  <c r="BC16"/>
  <c r="AI65"/>
  <c r="AI54"/>
  <c r="AI67" s="1"/>
  <c r="AI29"/>
  <c r="AI16"/>
  <c r="AQ65"/>
  <c r="AQ29"/>
  <c r="AQ16"/>
  <c r="Z65"/>
  <c r="Z54"/>
  <c r="Z29"/>
  <c r="Z16"/>
  <c r="U65"/>
  <c r="U54"/>
  <c r="U29"/>
  <c r="R65"/>
  <c r="R54"/>
  <c r="R29"/>
  <c r="R16"/>
  <c r="P65"/>
  <c r="P16"/>
  <c r="L65"/>
  <c r="K65"/>
  <c r="L54"/>
  <c r="L67" s="1"/>
  <c r="K54"/>
  <c r="K67" s="1"/>
  <c r="L29"/>
  <c r="L16"/>
  <c r="K16"/>
  <c r="B75"/>
  <c r="BI75" s="1"/>
  <c r="BF65"/>
  <c r="BE65"/>
  <c r="BA65"/>
  <c r="AZ65"/>
  <c r="AY65"/>
  <c r="AX65"/>
  <c r="AP65"/>
  <c r="AN65"/>
  <c r="AJ65"/>
  <c r="AG65"/>
  <c r="AC65"/>
  <c r="AB65"/>
  <c r="X65"/>
  <c r="T65"/>
  <c r="Q65"/>
  <c r="O65"/>
  <c r="M65"/>
  <c r="J65"/>
  <c r="I65"/>
  <c r="H65"/>
  <c r="G65"/>
  <c r="F65"/>
  <c r="C65"/>
  <c r="B64"/>
  <c r="BI64" s="1"/>
  <c r="AS65"/>
  <c r="B60"/>
  <c r="AO65"/>
  <c r="AL65"/>
  <c r="AH65"/>
  <c r="AE65"/>
  <c r="Y65"/>
  <c r="N65"/>
  <c r="D65"/>
  <c r="B58"/>
  <c r="BI58" s="1"/>
  <c r="AK65"/>
  <c r="BF54"/>
  <c r="BF67" s="1"/>
  <c r="BA54"/>
  <c r="BA67" s="1"/>
  <c r="AZ54"/>
  <c r="AZ67" s="1"/>
  <c r="AY54"/>
  <c r="AY67" s="1"/>
  <c r="AX54"/>
  <c r="AX67" s="1"/>
  <c r="AW54"/>
  <c r="AS54"/>
  <c r="AO54"/>
  <c r="AO67" s="1"/>
  <c r="AM54"/>
  <c r="AJ54"/>
  <c r="AJ67" s="1"/>
  <c r="AH54"/>
  <c r="AG54"/>
  <c r="AF54"/>
  <c r="AE54"/>
  <c r="AE67" s="1"/>
  <c r="AC54"/>
  <c r="AC67" s="1"/>
  <c r="AB54"/>
  <c r="AA54"/>
  <c r="Y54"/>
  <c r="Y67" s="1"/>
  <c r="X54"/>
  <c r="X67" s="1"/>
  <c r="W54"/>
  <c r="T54"/>
  <c r="T67" s="1"/>
  <c r="S54"/>
  <c r="Q54"/>
  <c r="Q67" s="1"/>
  <c r="O54"/>
  <c r="N54"/>
  <c r="N67" s="1"/>
  <c r="M54"/>
  <c r="M67" s="1"/>
  <c r="J54"/>
  <c r="J67" s="1"/>
  <c r="I54"/>
  <c r="I67" s="1"/>
  <c r="H54"/>
  <c r="H67" s="1"/>
  <c r="G54"/>
  <c r="G67" s="1"/>
  <c r="F54"/>
  <c r="F67" s="1"/>
  <c r="D54"/>
  <c r="C54"/>
  <c r="C67" s="1"/>
  <c r="B52"/>
  <c r="BI52" s="1"/>
  <c r="B47"/>
  <c r="BI47" s="1"/>
  <c r="B46"/>
  <c r="BI46" s="1"/>
  <c r="B44"/>
  <c r="BI44" s="1"/>
  <c r="AP54"/>
  <c r="AP67" s="1"/>
  <c r="B39"/>
  <c r="BI39" s="1"/>
  <c r="B36"/>
  <c r="BI36" s="1"/>
  <c r="B34"/>
  <c r="BI34" s="1"/>
  <c r="B32"/>
  <c r="BF29"/>
  <c r="BE29"/>
  <c r="BA29"/>
  <c r="AW29"/>
  <c r="AS29"/>
  <c r="AR29"/>
  <c r="AP29"/>
  <c r="AO29"/>
  <c r="AN29"/>
  <c r="AN38" s="1"/>
  <c r="AM29"/>
  <c r="AK29"/>
  <c r="AJ29"/>
  <c r="AH29"/>
  <c r="AG29"/>
  <c r="AF29"/>
  <c r="AE29"/>
  <c r="AC29"/>
  <c r="AB29"/>
  <c r="AA29"/>
  <c r="Y29"/>
  <c r="X29"/>
  <c r="W29"/>
  <c r="V29"/>
  <c r="M29"/>
  <c r="G29"/>
  <c r="F29"/>
  <c r="D29"/>
  <c r="C29"/>
  <c r="AY29"/>
  <c r="AX29"/>
  <c r="B27"/>
  <c r="BI27" s="1"/>
  <c r="N29"/>
  <c r="H29"/>
  <c r="S29"/>
  <c r="B21"/>
  <c r="B20"/>
  <c r="BI20" s="1"/>
  <c r="O29"/>
  <c r="BF16"/>
  <c r="BE16"/>
  <c r="BE74" s="1"/>
  <c r="BE80" s="1"/>
  <c r="BE83" s="1"/>
  <c r="BE85" s="1"/>
  <c r="BE87" s="1"/>
  <c r="BE33" s="1"/>
  <c r="AZ16"/>
  <c r="AY16"/>
  <c r="AX16"/>
  <c r="AW16"/>
  <c r="AS16"/>
  <c r="AS74" s="1"/>
  <c r="AS80" s="1"/>
  <c r="AS83" s="1"/>
  <c r="AS85" s="1"/>
  <c r="AS87" s="1"/>
  <c r="AS33" s="1"/>
  <c r="AR16"/>
  <c r="AP16"/>
  <c r="AO16"/>
  <c r="AM16"/>
  <c r="AL16"/>
  <c r="AK16"/>
  <c r="AJ16"/>
  <c r="AJ74" s="1"/>
  <c r="AJ80" s="1"/>
  <c r="AJ83" s="1"/>
  <c r="AJ85" s="1"/>
  <c r="AJ87" s="1"/>
  <c r="AJ33" s="1"/>
  <c r="AH16"/>
  <c r="AG16"/>
  <c r="AG74" s="1"/>
  <c r="AG80" s="1"/>
  <c r="AG83" s="1"/>
  <c r="AG85" s="1"/>
  <c r="AG87" s="1"/>
  <c r="AG33" s="1"/>
  <c r="AF16"/>
  <c r="AE16"/>
  <c r="AE74" s="1"/>
  <c r="AE80" s="1"/>
  <c r="AE83" s="1"/>
  <c r="AE85" s="1"/>
  <c r="AE87" s="1"/>
  <c r="AC16"/>
  <c r="AB16"/>
  <c r="AB74" s="1"/>
  <c r="AB80" s="1"/>
  <c r="AB83" s="1"/>
  <c r="AB85" s="1"/>
  <c r="AA16"/>
  <c r="Y16"/>
  <c r="X16"/>
  <c r="W16"/>
  <c r="V16"/>
  <c r="T16"/>
  <c r="S16"/>
  <c r="O16"/>
  <c r="N16"/>
  <c r="M16"/>
  <c r="J16"/>
  <c r="I16"/>
  <c r="G16"/>
  <c r="F16"/>
  <c r="BA16"/>
  <c r="Q16"/>
  <c r="B13"/>
  <c r="BI13" s="1"/>
  <c r="D16"/>
  <c r="C16"/>
  <c r="BC29" l="1"/>
  <c r="BD29"/>
  <c r="BD54"/>
  <c r="BD67" s="1"/>
  <c r="B49"/>
  <c r="AR65"/>
  <c r="B35"/>
  <c r="BC65"/>
  <c r="BC67" s="1"/>
  <c r="B57"/>
  <c r="P54"/>
  <c r="B45"/>
  <c r="AN54"/>
  <c r="AN67" s="1"/>
  <c r="B48"/>
  <c r="B15"/>
  <c r="AA67"/>
  <c r="AF67"/>
  <c r="AH67"/>
  <c r="AS67"/>
  <c r="AQ74"/>
  <c r="AQ80" s="1"/>
  <c r="AQ83" s="1"/>
  <c r="AQ85" s="1"/>
  <c r="AQ87" s="1"/>
  <c r="AQ33" s="1"/>
  <c r="AI74"/>
  <c r="AI80" s="1"/>
  <c r="AI83" s="1"/>
  <c r="AI85" s="1"/>
  <c r="AI87" s="1"/>
  <c r="AI33" s="1"/>
  <c r="B43"/>
  <c r="B79"/>
  <c r="AP74"/>
  <c r="AP80" s="1"/>
  <c r="AP83" s="1"/>
  <c r="AP85" s="1"/>
  <c r="AP87" s="1"/>
  <c r="AX74"/>
  <c r="AX80" s="1"/>
  <c r="AX83" s="1"/>
  <c r="AX85" s="1"/>
  <c r="AX87" s="1"/>
  <c r="AX33" s="1"/>
  <c r="AT67"/>
  <c r="AL74"/>
  <c r="AL80" s="1"/>
  <c r="AL83" s="1"/>
  <c r="AL85" s="1"/>
  <c r="AL87" s="1"/>
  <c r="AL33" s="1"/>
  <c r="AL38" s="1"/>
  <c r="AL40" s="1"/>
  <c r="AL67"/>
  <c r="O67"/>
  <c r="AB67"/>
  <c r="AG67"/>
  <c r="AD74"/>
  <c r="AD80" s="1"/>
  <c r="AD83" s="1"/>
  <c r="AD85" s="1"/>
  <c r="AD87" s="1"/>
  <c r="AD33" s="1"/>
  <c r="AD38" s="1"/>
  <c r="AD40" s="1"/>
  <c r="AT74"/>
  <c r="AT80" s="1"/>
  <c r="AT83" s="1"/>
  <c r="AT85" s="1"/>
  <c r="AT87" s="1"/>
  <c r="BC74"/>
  <c r="BC80" s="1"/>
  <c r="BC83" s="1"/>
  <c r="BC85" s="1"/>
  <c r="BC87" s="1"/>
  <c r="BC33" s="1"/>
  <c r="AN74"/>
  <c r="AN80" s="1"/>
  <c r="AN83" s="1"/>
  <c r="AN85" s="1"/>
  <c r="AN87" s="1"/>
  <c r="AT40"/>
  <c r="AE33"/>
  <c r="R74"/>
  <c r="R80" s="1"/>
  <c r="R83" s="1"/>
  <c r="R85" s="1"/>
  <c r="R87" s="1"/>
  <c r="R33" s="1"/>
  <c r="R67"/>
  <c r="U67"/>
  <c r="Z74"/>
  <c r="Z80" s="1"/>
  <c r="Z83" s="1"/>
  <c r="Z85" s="1"/>
  <c r="Z87" s="1"/>
  <c r="Z67"/>
  <c r="AB87"/>
  <c r="AB33" s="1"/>
  <c r="AB38" s="1"/>
  <c r="AB40" s="1"/>
  <c r="AW65"/>
  <c r="AW67" s="1"/>
  <c r="AP38"/>
  <c r="AP40" s="1"/>
  <c r="BD16"/>
  <c r="E67"/>
  <c r="E74"/>
  <c r="E80" s="1"/>
  <c r="E83" s="1"/>
  <c r="E85" s="1"/>
  <c r="E87" s="1"/>
  <c r="E33" s="1"/>
  <c r="E38" s="1"/>
  <c r="E40" s="1"/>
  <c r="K29"/>
  <c r="K74" s="1"/>
  <c r="K80" s="1"/>
  <c r="K83" s="1"/>
  <c r="K85" s="1"/>
  <c r="K87" s="1"/>
  <c r="K33" s="1"/>
  <c r="K38" s="1"/>
  <c r="K40" s="1"/>
  <c r="BD74"/>
  <c r="BD80" s="1"/>
  <c r="BD83" s="1"/>
  <c r="BD85" s="1"/>
  <c r="BD87" s="1"/>
  <c r="BD33" s="1"/>
  <c r="BD38" s="1"/>
  <c r="BD40" s="1"/>
  <c r="AV38"/>
  <c r="AU38"/>
  <c r="AV40"/>
  <c r="AU40"/>
  <c r="BB29"/>
  <c r="BB74" s="1"/>
  <c r="BB80" s="1"/>
  <c r="BB83" s="1"/>
  <c r="BB85" s="1"/>
  <c r="BB87" s="1"/>
  <c r="BB33" s="1"/>
  <c r="BB38" s="1"/>
  <c r="BB40" s="1"/>
  <c r="BC38"/>
  <c r="BC40" s="1"/>
  <c r="Z33"/>
  <c r="AI38"/>
  <c r="AI40" s="1"/>
  <c r="AQ67"/>
  <c r="AQ38"/>
  <c r="AQ40" s="1"/>
  <c r="Z38"/>
  <c r="Z40" s="1"/>
  <c r="U74"/>
  <c r="U80" s="1"/>
  <c r="U83" s="1"/>
  <c r="U85" s="1"/>
  <c r="U87" s="1"/>
  <c r="U33" s="1"/>
  <c r="U38" s="1"/>
  <c r="U40" s="1"/>
  <c r="R38"/>
  <c r="R40" s="1"/>
  <c r="B59"/>
  <c r="B78"/>
  <c r="AZ29"/>
  <c r="AZ74" s="1"/>
  <c r="AZ80" s="1"/>
  <c r="AZ83" s="1"/>
  <c r="AZ85" s="1"/>
  <c r="AZ87" s="1"/>
  <c r="AZ33" s="1"/>
  <c r="AZ38" s="1"/>
  <c r="AZ40" s="1"/>
  <c r="B28"/>
  <c r="P67"/>
  <c r="P74"/>
  <c r="P80" s="1"/>
  <c r="P83" s="1"/>
  <c r="P85" s="1"/>
  <c r="P87" s="1"/>
  <c r="P33" s="1"/>
  <c r="P38" s="1"/>
  <c r="P40" s="1"/>
  <c r="B30"/>
  <c r="B37"/>
  <c r="AK54"/>
  <c r="AK67" s="1"/>
  <c r="B50"/>
  <c r="B23"/>
  <c r="B26"/>
  <c r="B63"/>
  <c r="L74"/>
  <c r="L80" s="1"/>
  <c r="L83" s="1"/>
  <c r="L85" s="1"/>
  <c r="L87" s="1"/>
  <c r="L33" s="1"/>
  <c r="L38" s="1"/>
  <c r="L40" s="1"/>
  <c r="B19"/>
  <c r="B24"/>
  <c r="B53"/>
  <c r="Q74"/>
  <c r="Q80" s="1"/>
  <c r="Q83" s="1"/>
  <c r="Q85" s="1"/>
  <c r="Q87" s="1"/>
  <c r="Q33" s="1"/>
  <c r="Q38" s="1"/>
  <c r="Q40" s="1"/>
  <c r="C74"/>
  <c r="N74"/>
  <c r="N80" s="1"/>
  <c r="N83" s="1"/>
  <c r="N85" s="1"/>
  <c r="N87" s="1"/>
  <c r="N33" s="1"/>
  <c r="N38" s="1"/>
  <c r="N40" s="1"/>
  <c r="D74"/>
  <c r="D80" s="1"/>
  <c r="D83" s="1"/>
  <c r="D85" s="1"/>
  <c r="D87" s="1"/>
  <c r="D33" s="1"/>
  <c r="D38" s="1"/>
  <c r="D40" s="1"/>
  <c r="BA74"/>
  <c r="BA80" s="1"/>
  <c r="BA83" s="1"/>
  <c r="BA85" s="1"/>
  <c r="BA87" s="1"/>
  <c r="BA33" s="1"/>
  <c r="BA38" s="1"/>
  <c r="BA40" s="1"/>
  <c r="H16"/>
  <c r="B16" s="1"/>
  <c r="B12"/>
  <c r="B14"/>
  <c r="AE38"/>
  <c r="AE40" s="1"/>
  <c r="AG38"/>
  <c r="AG40" s="1"/>
  <c r="AJ38"/>
  <c r="BE38"/>
  <c r="AR67"/>
  <c r="D67"/>
  <c r="W67"/>
  <c r="F74"/>
  <c r="F80" s="1"/>
  <c r="F83" s="1"/>
  <c r="F85" s="1"/>
  <c r="F87" s="1"/>
  <c r="F33" s="1"/>
  <c r="F38" s="1"/>
  <c r="F40" s="1"/>
  <c r="J74"/>
  <c r="J80" s="1"/>
  <c r="J83" s="1"/>
  <c r="J85" s="1"/>
  <c r="J87" s="1"/>
  <c r="J33" s="1"/>
  <c r="J38" s="1"/>
  <c r="J40" s="1"/>
  <c r="T74"/>
  <c r="T80" s="1"/>
  <c r="T83" s="1"/>
  <c r="T85" s="1"/>
  <c r="T87" s="1"/>
  <c r="T33" s="1"/>
  <c r="T38" s="1"/>
  <c r="T40" s="1"/>
  <c r="W74"/>
  <c r="W80" s="1"/>
  <c r="W83" s="1"/>
  <c r="W85" s="1"/>
  <c r="W87" s="1"/>
  <c r="W33" s="1"/>
  <c r="W38" s="1"/>
  <c r="W40" s="1"/>
  <c r="Y74"/>
  <c r="Y80" s="1"/>
  <c r="Y83" s="1"/>
  <c r="Y85" s="1"/>
  <c r="Y87" s="1"/>
  <c r="Y33" s="1"/>
  <c r="Y38" s="1"/>
  <c r="Y40" s="1"/>
  <c r="AX38"/>
  <c r="AS38"/>
  <c r="AS40" s="1"/>
  <c r="AJ40"/>
  <c r="AN40"/>
  <c r="AX40"/>
  <c r="BE40"/>
  <c r="S65"/>
  <c r="S67" s="1"/>
  <c r="V65"/>
  <c r="V67" s="1"/>
  <c r="AM65"/>
  <c r="AM67" s="1"/>
  <c r="G74"/>
  <c r="G80" s="1"/>
  <c r="G83" s="1"/>
  <c r="G85" s="1"/>
  <c r="G87" s="1"/>
  <c r="G33" s="1"/>
  <c r="G38" s="1"/>
  <c r="G40" s="1"/>
  <c r="I74"/>
  <c r="I80" s="1"/>
  <c r="I83" s="1"/>
  <c r="I85" s="1"/>
  <c r="I87" s="1"/>
  <c r="I33" s="1"/>
  <c r="I38" s="1"/>
  <c r="I40" s="1"/>
  <c r="M74"/>
  <c r="M80" s="1"/>
  <c r="M83" s="1"/>
  <c r="M85" s="1"/>
  <c r="M87" s="1"/>
  <c r="M38" s="1"/>
  <c r="M40" s="1"/>
  <c r="O74"/>
  <c r="O80" s="1"/>
  <c r="O83" s="1"/>
  <c r="O85" s="1"/>
  <c r="O87" s="1"/>
  <c r="O33" s="1"/>
  <c r="O38" s="1"/>
  <c r="O40" s="1"/>
  <c r="S74"/>
  <c r="S80" s="1"/>
  <c r="S83" s="1"/>
  <c r="S85" s="1"/>
  <c r="S87" s="1"/>
  <c r="S33" s="1"/>
  <c r="S38" s="1"/>
  <c r="S40" s="1"/>
  <c r="V74"/>
  <c r="V80" s="1"/>
  <c r="V83" s="1"/>
  <c r="V85" s="1"/>
  <c r="V87" s="1"/>
  <c r="V33" s="1"/>
  <c r="V38" s="1"/>
  <c r="V40" s="1"/>
  <c r="X74"/>
  <c r="X80" s="1"/>
  <c r="X83" s="1"/>
  <c r="X85" s="1"/>
  <c r="X87" s="1"/>
  <c r="X33" s="1"/>
  <c r="X38" s="1"/>
  <c r="X40" s="1"/>
  <c r="AA74"/>
  <c r="AA80" s="1"/>
  <c r="AA83" s="1"/>
  <c r="AA85" s="1"/>
  <c r="AC74"/>
  <c r="AC80" s="1"/>
  <c r="AC83" s="1"/>
  <c r="AC85" s="1"/>
  <c r="AF74"/>
  <c r="AF80" s="1"/>
  <c r="AF83" s="1"/>
  <c r="AF85" s="1"/>
  <c r="AH74"/>
  <c r="AH80" s="1"/>
  <c r="AH83" s="1"/>
  <c r="AH85" s="1"/>
  <c r="AH87" s="1"/>
  <c r="AH33" s="1"/>
  <c r="AH38" s="1"/>
  <c r="AH40" s="1"/>
  <c r="AK74"/>
  <c r="AK80" s="1"/>
  <c r="AK83" s="1"/>
  <c r="AK85" s="1"/>
  <c r="AK87" s="1"/>
  <c r="AK33" s="1"/>
  <c r="AK38" s="1"/>
  <c r="AK40" s="1"/>
  <c r="AM74"/>
  <c r="AM80" s="1"/>
  <c r="AM83" s="1"/>
  <c r="AM85" s="1"/>
  <c r="AM87" s="1"/>
  <c r="AM33" s="1"/>
  <c r="AM38" s="1"/>
  <c r="AM40" s="1"/>
  <c r="AO74"/>
  <c r="AO80" s="1"/>
  <c r="AO83" s="1"/>
  <c r="AO85" s="1"/>
  <c r="AO87" s="1"/>
  <c r="AO33" s="1"/>
  <c r="AO38" s="1"/>
  <c r="AO40" s="1"/>
  <c r="AR74"/>
  <c r="AR80" s="1"/>
  <c r="AR83" s="1"/>
  <c r="AR85" s="1"/>
  <c r="AR87" s="1"/>
  <c r="AR33" s="1"/>
  <c r="AR38" s="1"/>
  <c r="AR40" s="1"/>
  <c r="AW74"/>
  <c r="AW80" s="1"/>
  <c r="AW83" s="1"/>
  <c r="AW85" s="1"/>
  <c r="AW87" s="1"/>
  <c r="AW33" s="1"/>
  <c r="AW38" s="1"/>
  <c r="AW40" s="1"/>
  <c r="AY74"/>
  <c r="AY80" s="1"/>
  <c r="AY83" s="1"/>
  <c r="AY85" s="1"/>
  <c r="AY87" s="1"/>
  <c r="AY33" s="1"/>
  <c r="AY38" s="1"/>
  <c r="AY40" s="1"/>
  <c r="BF74"/>
  <c r="B22"/>
  <c r="B62"/>
  <c r="B29" l="1"/>
  <c r="AT71"/>
  <c r="AF87"/>
  <c r="AF33" s="1"/>
  <c r="AF38" s="1"/>
  <c r="AF40" s="1"/>
  <c r="AF71" s="1"/>
  <c r="AA87"/>
  <c r="AA33" s="1"/>
  <c r="AA38" s="1"/>
  <c r="AA40" s="1"/>
  <c r="AA71" s="1"/>
  <c r="AC87"/>
  <c r="AC33" s="1"/>
  <c r="AC38" s="1"/>
  <c r="AC40" s="1"/>
  <c r="AC71" s="1"/>
  <c r="AD71"/>
  <c r="E71"/>
  <c r="BD71"/>
  <c r="AV71"/>
  <c r="AU71"/>
  <c r="BC71"/>
  <c r="BB71"/>
  <c r="AI71"/>
  <c r="AQ71"/>
  <c r="Z71"/>
  <c r="U71"/>
  <c r="R71"/>
  <c r="P71"/>
  <c r="L71"/>
  <c r="K71"/>
  <c r="AW71"/>
  <c r="AO71"/>
  <c r="AK71"/>
  <c r="O71"/>
  <c r="I71"/>
  <c r="V71"/>
  <c r="T71"/>
  <c r="W71"/>
  <c r="J71"/>
  <c r="N71"/>
  <c r="AY71"/>
  <c r="AR71"/>
  <c r="AM71"/>
  <c r="AH71"/>
  <c r="X71"/>
  <c r="S71"/>
  <c r="M71"/>
  <c r="G71"/>
  <c r="BA71"/>
  <c r="D71"/>
  <c r="AZ71"/>
  <c r="Y71"/>
  <c r="F71"/>
  <c r="AS71"/>
  <c r="AN71"/>
  <c r="AJ71"/>
  <c r="AE71"/>
  <c r="C80"/>
  <c r="AX71"/>
  <c r="AP71"/>
  <c r="AL71"/>
  <c r="AG71"/>
  <c r="AB71"/>
  <c r="H74"/>
  <c r="H80" s="1"/>
  <c r="H83" s="1"/>
  <c r="H85" s="1"/>
  <c r="H87" s="1"/>
  <c r="H33" s="1"/>
  <c r="H38" s="1"/>
  <c r="H40" s="1"/>
  <c r="Q71"/>
  <c r="B65"/>
  <c r="H71" l="1"/>
  <c r="B74"/>
  <c r="C83"/>
  <c r="C85" l="1"/>
  <c r="K68" i="12"/>
  <c r="J68"/>
  <c r="I68"/>
  <c r="H68"/>
  <c r="G68"/>
  <c r="F68"/>
  <c r="E68"/>
  <c r="D68"/>
  <c r="G76"/>
  <c r="G78" s="1"/>
  <c r="K75"/>
  <c r="J75"/>
  <c r="I75"/>
  <c r="H75"/>
  <c r="G75"/>
  <c r="F75"/>
  <c r="E75"/>
  <c r="D75"/>
  <c r="C75" s="1"/>
  <c r="K28"/>
  <c r="J28"/>
  <c r="I28"/>
  <c r="H28"/>
  <c r="G28"/>
  <c r="F28"/>
  <c r="E28"/>
  <c r="C28"/>
  <c r="K79" i="11"/>
  <c r="K72"/>
  <c r="K71"/>
  <c r="K69"/>
  <c r="K56"/>
  <c r="K55"/>
  <c r="K54"/>
  <c r="K53"/>
  <c r="K52"/>
  <c r="K47"/>
  <c r="K46"/>
  <c r="K42"/>
  <c r="K41"/>
  <c r="K40"/>
  <c r="K38"/>
  <c r="K30"/>
  <c r="K29"/>
  <c r="K26"/>
  <c r="K25"/>
  <c r="K22"/>
  <c r="K21"/>
  <c r="K20"/>
  <c r="K19"/>
  <c r="K18"/>
  <c r="K14"/>
  <c r="K7"/>
  <c r="K6"/>
  <c r="J79"/>
  <c r="J79" i="12" s="1"/>
  <c r="J72" i="11"/>
  <c r="J72" i="12" s="1"/>
  <c r="J71" i="11"/>
  <c r="J71" i="12" s="1"/>
  <c r="J70" i="11"/>
  <c r="J70" i="12" s="1"/>
  <c r="J69" i="11"/>
  <c r="J69" i="12" s="1"/>
  <c r="J57" i="11"/>
  <c r="J57" i="12" s="1"/>
  <c r="J56" i="11"/>
  <c r="J56" i="12" s="1"/>
  <c r="J55" i="11"/>
  <c r="J55" i="12" s="1"/>
  <c r="J54" i="11"/>
  <c r="J54" i="12" s="1"/>
  <c r="J53" i="11"/>
  <c r="J53" i="12" s="1"/>
  <c r="J52" i="11"/>
  <c r="J52" i="12" s="1"/>
  <c r="J51" i="11"/>
  <c r="J51" i="12" s="1"/>
  <c r="J47" i="11"/>
  <c r="J47" i="12" s="1"/>
  <c r="J46" i="11"/>
  <c r="J46" i="12" s="1"/>
  <c r="J45" i="11"/>
  <c r="J45" i="12" s="1"/>
  <c r="J44" i="11"/>
  <c r="J44" i="12" s="1"/>
  <c r="J43" i="11"/>
  <c r="J43" i="12" s="1"/>
  <c r="J42" i="11"/>
  <c r="J42" i="12" s="1"/>
  <c r="J41" i="11"/>
  <c r="J41" i="12" s="1"/>
  <c r="J40" i="11"/>
  <c r="J40" i="12" s="1"/>
  <c r="J39" i="11"/>
  <c r="J39" i="12" s="1"/>
  <c r="J38" i="11"/>
  <c r="J38" i="12" s="1"/>
  <c r="J37" i="11"/>
  <c r="J37" i="12" s="1"/>
  <c r="J31" i="11"/>
  <c r="J31" i="12" s="1"/>
  <c r="J30" i="11"/>
  <c r="J30" i="12" s="1"/>
  <c r="J29" i="11"/>
  <c r="J29" i="12" s="1"/>
  <c r="J26" i="11"/>
  <c r="J26" i="12" s="1"/>
  <c r="J25" i="11"/>
  <c r="J25" i="12" s="1"/>
  <c r="J24" i="11"/>
  <c r="J24" i="12" s="1"/>
  <c r="J22" i="11"/>
  <c r="J21"/>
  <c r="J20"/>
  <c r="J19"/>
  <c r="J18"/>
  <c r="J17"/>
  <c r="J16"/>
  <c r="J15"/>
  <c r="J14"/>
  <c r="J13"/>
  <c r="J9"/>
  <c r="J8"/>
  <c r="J7"/>
  <c r="J6"/>
  <c r="J10" s="1"/>
  <c r="I79"/>
  <c r="I72"/>
  <c r="I70"/>
  <c r="I69"/>
  <c r="C69" s="1"/>
  <c r="I57"/>
  <c r="I56"/>
  <c r="C56" s="1"/>
  <c r="I55"/>
  <c r="I54"/>
  <c r="C54" s="1"/>
  <c r="I52"/>
  <c r="I51"/>
  <c r="I47"/>
  <c r="I46"/>
  <c r="I45"/>
  <c r="I44"/>
  <c r="I43"/>
  <c r="I42"/>
  <c r="I41"/>
  <c r="I40"/>
  <c r="I38"/>
  <c r="I37"/>
  <c r="I31"/>
  <c r="I30"/>
  <c r="I26"/>
  <c r="I24"/>
  <c r="I22"/>
  <c r="I21"/>
  <c r="I20"/>
  <c r="I19"/>
  <c r="I18"/>
  <c r="I17"/>
  <c r="I16"/>
  <c r="I15"/>
  <c r="I14"/>
  <c r="I13"/>
  <c r="I23" s="1"/>
  <c r="I8"/>
  <c r="I7"/>
  <c r="I6"/>
  <c r="H72"/>
  <c r="H71"/>
  <c r="H70"/>
  <c r="H69"/>
  <c r="H57"/>
  <c r="H56"/>
  <c r="H55"/>
  <c r="H54"/>
  <c r="H53"/>
  <c r="H52"/>
  <c r="H51"/>
  <c r="H59" s="1"/>
  <c r="H47"/>
  <c r="H46"/>
  <c r="H45"/>
  <c r="H44"/>
  <c r="H43"/>
  <c r="H42"/>
  <c r="H41"/>
  <c r="H40"/>
  <c r="H39"/>
  <c r="H38"/>
  <c r="H37"/>
  <c r="H31"/>
  <c r="H30"/>
  <c r="H29"/>
  <c r="H25"/>
  <c r="H24"/>
  <c r="H22"/>
  <c r="H21"/>
  <c r="H20"/>
  <c r="H19"/>
  <c r="H18"/>
  <c r="H17"/>
  <c r="H16"/>
  <c r="H15"/>
  <c r="H14"/>
  <c r="H13"/>
  <c r="H9"/>
  <c r="H8"/>
  <c r="H7"/>
  <c r="H6"/>
  <c r="G79"/>
  <c r="G72"/>
  <c r="G71"/>
  <c r="G70"/>
  <c r="G69"/>
  <c r="G57"/>
  <c r="G56"/>
  <c r="G55"/>
  <c r="G54"/>
  <c r="G53"/>
  <c r="G52"/>
  <c r="G47"/>
  <c r="G46"/>
  <c r="G45"/>
  <c r="G44"/>
  <c r="G43"/>
  <c r="G42"/>
  <c r="G41"/>
  <c r="G40"/>
  <c r="G39"/>
  <c r="G38"/>
  <c r="G37"/>
  <c r="G48" s="1"/>
  <c r="G31"/>
  <c r="G30"/>
  <c r="G29"/>
  <c r="G26"/>
  <c r="G25"/>
  <c r="G24"/>
  <c r="G22"/>
  <c r="G21"/>
  <c r="G20"/>
  <c r="G19"/>
  <c r="G18"/>
  <c r="G17"/>
  <c r="G16"/>
  <c r="G15"/>
  <c r="G14"/>
  <c r="G13"/>
  <c r="G23" s="1"/>
  <c r="G9"/>
  <c r="G8"/>
  <c r="G7"/>
  <c r="G6"/>
  <c r="G10" s="1"/>
  <c r="F79"/>
  <c r="F72"/>
  <c r="F71"/>
  <c r="F70"/>
  <c r="F69"/>
  <c r="F57"/>
  <c r="F56"/>
  <c r="F55"/>
  <c r="F54"/>
  <c r="F53"/>
  <c r="F52"/>
  <c r="F51"/>
  <c r="F47"/>
  <c r="F46"/>
  <c r="F45"/>
  <c r="F44"/>
  <c r="F43"/>
  <c r="F42"/>
  <c r="F41"/>
  <c r="F40"/>
  <c r="F39"/>
  <c r="F38"/>
  <c r="F37"/>
  <c r="F31"/>
  <c r="F30"/>
  <c r="F29"/>
  <c r="F26"/>
  <c r="F25"/>
  <c r="F24"/>
  <c r="F22"/>
  <c r="F21"/>
  <c r="F20"/>
  <c r="F19"/>
  <c r="F18"/>
  <c r="F17"/>
  <c r="F16"/>
  <c r="F15"/>
  <c r="F14"/>
  <c r="F13"/>
  <c r="F8"/>
  <c r="F7"/>
  <c r="F6"/>
  <c r="E79"/>
  <c r="E70"/>
  <c r="E69"/>
  <c r="E57"/>
  <c r="E56"/>
  <c r="E55"/>
  <c r="E54"/>
  <c r="E52"/>
  <c r="E51"/>
  <c r="E47"/>
  <c r="E46"/>
  <c r="E45"/>
  <c r="E44"/>
  <c r="E43"/>
  <c r="E42"/>
  <c r="E41"/>
  <c r="C41" s="1"/>
  <c r="E40"/>
  <c r="E38"/>
  <c r="E37"/>
  <c r="E31"/>
  <c r="E30"/>
  <c r="E26"/>
  <c r="E25"/>
  <c r="E24"/>
  <c r="E21"/>
  <c r="E14"/>
  <c r="E9"/>
  <c r="E8"/>
  <c r="E7"/>
  <c r="E6"/>
  <c r="D79"/>
  <c r="D72"/>
  <c r="D71"/>
  <c r="D70"/>
  <c r="D69"/>
  <c r="D57"/>
  <c r="D56"/>
  <c r="D55"/>
  <c r="D54"/>
  <c r="D53"/>
  <c r="D52"/>
  <c r="D51"/>
  <c r="D47"/>
  <c r="D46"/>
  <c r="C46" s="1"/>
  <c r="D45"/>
  <c r="D44"/>
  <c r="D43"/>
  <c r="D42"/>
  <c r="D41"/>
  <c r="D40"/>
  <c r="D39"/>
  <c r="D38"/>
  <c r="C38" s="1"/>
  <c r="D37"/>
  <c r="D31"/>
  <c r="D30"/>
  <c r="D29"/>
  <c r="D26"/>
  <c r="D25"/>
  <c r="D24"/>
  <c r="D22"/>
  <c r="D21"/>
  <c r="D20"/>
  <c r="D19"/>
  <c r="D18"/>
  <c r="D17"/>
  <c r="D16"/>
  <c r="D15"/>
  <c r="D14"/>
  <c r="C14" s="1"/>
  <c r="D13"/>
  <c r="D8"/>
  <c r="D7"/>
  <c r="G76"/>
  <c r="G78" s="1"/>
  <c r="G80" s="1"/>
  <c r="G27" s="1"/>
  <c r="K75"/>
  <c r="J75"/>
  <c r="I75"/>
  <c r="H75"/>
  <c r="G75"/>
  <c r="F75"/>
  <c r="E75"/>
  <c r="D75"/>
  <c r="C75" s="1"/>
  <c r="J59"/>
  <c r="C55"/>
  <c r="C52"/>
  <c r="F59"/>
  <c r="C47"/>
  <c r="C42"/>
  <c r="C40"/>
  <c r="H48"/>
  <c r="F48"/>
  <c r="F61" s="1"/>
  <c r="C30"/>
  <c r="K28"/>
  <c r="J28"/>
  <c r="I28"/>
  <c r="H28"/>
  <c r="G28"/>
  <c r="F28"/>
  <c r="E28"/>
  <c r="C28" s="1"/>
  <c r="C21"/>
  <c r="J23"/>
  <c r="H23"/>
  <c r="F23"/>
  <c r="C7"/>
  <c r="H10"/>
  <c r="E10"/>
  <c r="K79" i="10"/>
  <c r="K79" i="12" s="1"/>
  <c r="K69" i="10"/>
  <c r="K69" i="12" s="1"/>
  <c r="K56" i="10"/>
  <c r="K56" i="12" s="1"/>
  <c r="K55" i="10"/>
  <c r="K55" i="12" s="1"/>
  <c r="K54" i="10"/>
  <c r="K54" i="12" s="1"/>
  <c r="K52" i="10"/>
  <c r="K52" i="12" s="1"/>
  <c r="K51" i="10"/>
  <c r="K47"/>
  <c r="K47" i="12" s="1"/>
  <c r="K46" i="10"/>
  <c r="K46" i="12" s="1"/>
  <c r="K44" i="10"/>
  <c r="K43"/>
  <c r="K42"/>
  <c r="K42" i="12" s="1"/>
  <c r="K41" i="10"/>
  <c r="K41" i="12" s="1"/>
  <c r="K40" i="10"/>
  <c r="K40" i="12" s="1"/>
  <c r="K39" i="10"/>
  <c r="K38"/>
  <c r="K38" i="12" s="1"/>
  <c r="K37" i="10"/>
  <c r="K30"/>
  <c r="K30" i="12" s="1"/>
  <c r="K26" i="10"/>
  <c r="K25"/>
  <c r="K25" i="12" s="1"/>
  <c r="K24" i="10"/>
  <c r="K21"/>
  <c r="K21" i="12" s="1"/>
  <c r="K19" i="10"/>
  <c r="K19" i="12" s="1"/>
  <c r="K18" i="10"/>
  <c r="K18" i="12" s="1"/>
  <c r="K17" i="10"/>
  <c r="K16"/>
  <c r="K15"/>
  <c r="K14"/>
  <c r="K14" i="12" s="1"/>
  <c r="K13" i="10"/>
  <c r="K8"/>
  <c r="K7"/>
  <c r="K6"/>
  <c r="K6" i="12" s="1"/>
  <c r="I79" i="10"/>
  <c r="I79" i="12" s="1"/>
  <c r="I70" i="10"/>
  <c r="I70" i="12" s="1"/>
  <c r="I69" i="10"/>
  <c r="I54"/>
  <c r="I54" i="12" s="1"/>
  <c r="I52" i="10"/>
  <c r="I52" i="12" s="1"/>
  <c r="I46" i="10"/>
  <c r="I46" i="12" s="1"/>
  <c r="I41" i="10"/>
  <c r="I41" i="12" s="1"/>
  <c r="I40" i="10"/>
  <c r="I40" i="12" s="1"/>
  <c r="I38" i="10"/>
  <c r="I38" i="12" s="1"/>
  <c r="I30" i="10"/>
  <c r="I30" i="12" s="1"/>
  <c r="I26" i="10"/>
  <c r="I26" i="12" s="1"/>
  <c r="I21" i="10"/>
  <c r="I21" i="12" s="1"/>
  <c r="I20" i="10"/>
  <c r="I20" i="12" s="1"/>
  <c r="I19" i="10"/>
  <c r="I19" i="12" s="1"/>
  <c r="I18" i="10"/>
  <c r="I18" i="12" s="1"/>
  <c r="I17" i="10"/>
  <c r="I17" i="12" s="1"/>
  <c r="I16" i="10"/>
  <c r="I16" i="12" s="1"/>
  <c r="I15" i="10"/>
  <c r="I15" i="12" s="1"/>
  <c r="I14" i="10"/>
  <c r="I14" i="12" s="1"/>
  <c r="I13" i="10"/>
  <c r="I13" i="12" s="1"/>
  <c r="I9" i="10"/>
  <c r="I8"/>
  <c r="I8" i="12" s="1"/>
  <c r="I7" i="10"/>
  <c r="I6"/>
  <c r="I6" i="12" s="1"/>
  <c r="H79" i="10"/>
  <c r="H72"/>
  <c r="H72" i="12" s="1"/>
  <c r="H71" i="10"/>
  <c r="H71" i="12" s="1"/>
  <c r="H70" i="10"/>
  <c r="H70" i="12" s="1"/>
  <c r="H57" i="10"/>
  <c r="H56"/>
  <c r="H56" i="12" s="1"/>
  <c r="H55" i="10"/>
  <c r="H54"/>
  <c r="H54" i="12" s="1"/>
  <c r="H52" i="10"/>
  <c r="H52" i="12" s="1"/>
  <c r="H51" i="10"/>
  <c r="H51" i="12" s="1"/>
  <c r="H47" i="10"/>
  <c r="H47" i="12" s="1"/>
  <c r="H46" i="10"/>
  <c r="H46" i="12" s="1"/>
  <c r="H45" i="10"/>
  <c r="H45" i="12" s="1"/>
  <c r="H44" i="10"/>
  <c r="H44" i="12" s="1"/>
  <c r="H43" i="10"/>
  <c r="H43" i="12" s="1"/>
  <c r="H42" i="10"/>
  <c r="H42" i="12" s="1"/>
  <c r="H41" i="10"/>
  <c r="H41" i="12" s="1"/>
  <c r="H40" i="10"/>
  <c r="H40" i="12" s="1"/>
  <c r="H39" i="10"/>
  <c r="H39" i="12" s="1"/>
  <c r="H38" i="10"/>
  <c r="H38" i="12" s="1"/>
  <c r="H37" i="10"/>
  <c r="H37" i="12" s="1"/>
  <c r="H31" i="10"/>
  <c r="H31" i="12" s="1"/>
  <c r="H30" i="10"/>
  <c r="H30" i="12" s="1"/>
  <c r="H26" i="10"/>
  <c r="H25"/>
  <c r="H25" i="12" s="1"/>
  <c r="H24" i="10"/>
  <c r="H24" i="12" s="1"/>
  <c r="H22" i="10"/>
  <c r="H22" i="12" s="1"/>
  <c r="H21" i="10"/>
  <c r="H21" i="12" s="1"/>
  <c r="H20" i="10"/>
  <c r="H20" i="12" s="1"/>
  <c r="H19" i="10"/>
  <c r="H19" i="12" s="1"/>
  <c r="H18" i="10"/>
  <c r="H18" i="12" s="1"/>
  <c r="H17" i="10"/>
  <c r="H17" i="12" s="1"/>
  <c r="H16" i="10"/>
  <c r="H16" i="12" s="1"/>
  <c r="H15" i="10"/>
  <c r="H15" i="12" s="1"/>
  <c r="H14" i="10"/>
  <c r="H14" i="12" s="1"/>
  <c r="H13" i="10"/>
  <c r="H13" i="12" s="1"/>
  <c r="H23" s="1"/>
  <c r="H9" i="10"/>
  <c r="H9" i="12" s="1"/>
  <c r="H8" i="10"/>
  <c r="H8" i="12" s="1"/>
  <c r="H7" i="10"/>
  <c r="H7" i="12" s="1"/>
  <c r="H6" i="10"/>
  <c r="H6" i="12" s="1"/>
  <c r="H10" s="1"/>
  <c r="G79" i="10"/>
  <c r="G79" i="12" s="1"/>
  <c r="G76" i="10"/>
  <c r="G72"/>
  <c r="G71"/>
  <c r="G71" i="12" s="1"/>
  <c r="G70" i="10"/>
  <c r="G69"/>
  <c r="G69" i="12" s="1"/>
  <c r="G57" i="10"/>
  <c r="G56"/>
  <c r="G56" i="12" s="1"/>
  <c r="G55" i="10"/>
  <c r="G54"/>
  <c r="G54" i="12" s="1"/>
  <c r="G53" i="10"/>
  <c r="G52"/>
  <c r="G52" i="12" s="1"/>
  <c r="G47" i="10"/>
  <c r="G46"/>
  <c r="G46" i="12" s="1"/>
  <c r="G45" i="10"/>
  <c r="G44"/>
  <c r="G44" i="12" s="1"/>
  <c r="G43" i="10"/>
  <c r="G42"/>
  <c r="G42" i="12" s="1"/>
  <c r="G41" i="10"/>
  <c r="G40"/>
  <c r="G40" i="12" s="1"/>
  <c r="G39" i="10"/>
  <c r="G38"/>
  <c r="G38" i="12" s="1"/>
  <c r="G37" i="10"/>
  <c r="G31"/>
  <c r="G31" i="12" s="1"/>
  <c r="G30" i="10"/>
  <c r="G29"/>
  <c r="G29" i="12" s="1"/>
  <c r="G26" i="10"/>
  <c r="G25"/>
  <c r="G25" i="12" s="1"/>
  <c r="G24" i="10"/>
  <c r="G22"/>
  <c r="G22" i="12" s="1"/>
  <c r="G21" i="10"/>
  <c r="G20"/>
  <c r="G20" i="12" s="1"/>
  <c r="G19" i="10"/>
  <c r="G18"/>
  <c r="G18" i="12" s="1"/>
  <c r="G17" i="10"/>
  <c r="G16"/>
  <c r="G16" i="12" s="1"/>
  <c r="G15" i="10"/>
  <c r="G14"/>
  <c r="G14" i="12" s="1"/>
  <c r="G13" i="10"/>
  <c r="G9"/>
  <c r="G9" i="12" s="1"/>
  <c r="G8" i="10"/>
  <c r="G7"/>
  <c r="G7" i="12" s="1"/>
  <c r="G6" i="10"/>
  <c r="F79"/>
  <c r="F79" i="12" s="1"/>
  <c r="F70" i="10"/>
  <c r="F69"/>
  <c r="F69" i="12" s="1"/>
  <c r="F56" i="10"/>
  <c r="F56" i="12" s="1"/>
  <c r="F55" i="10"/>
  <c r="F55" i="12" s="1"/>
  <c r="F52" i="10"/>
  <c r="F52" i="12" s="1"/>
  <c r="F47" i="10"/>
  <c r="F47" i="12" s="1"/>
  <c r="F46" i="10"/>
  <c r="F45"/>
  <c r="F45" i="12" s="1"/>
  <c r="F44" i="10"/>
  <c r="F43"/>
  <c r="F43" i="12" s="1"/>
  <c r="F42" i="10"/>
  <c r="F41"/>
  <c r="F41" i="12" s="1"/>
  <c r="F40" i="10"/>
  <c r="F39"/>
  <c r="F39" i="12" s="1"/>
  <c r="F38" i="10"/>
  <c r="F31"/>
  <c r="F31" i="12" s="1"/>
  <c r="F30" i="10"/>
  <c r="F30" i="12" s="1"/>
  <c r="F25" i="10"/>
  <c r="F25" i="12" s="1"/>
  <c r="F22" i="10"/>
  <c r="F21"/>
  <c r="F21" i="12" s="1"/>
  <c r="F20" i="10"/>
  <c r="F19"/>
  <c r="F19" i="12" s="1"/>
  <c r="F18" i="10"/>
  <c r="F15"/>
  <c r="F15" i="12" s="1"/>
  <c r="F14" i="10"/>
  <c r="F9"/>
  <c r="F7"/>
  <c r="F7" i="12" s="1"/>
  <c r="F6" i="10"/>
  <c r="F6" i="12" s="1"/>
  <c r="E79" i="10"/>
  <c r="E79" i="12" s="1"/>
  <c r="E71" i="10"/>
  <c r="E70"/>
  <c r="E69"/>
  <c r="E69" i="12" s="1"/>
  <c r="E57" i="10"/>
  <c r="E56"/>
  <c r="E56" i="12" s="1"/>
  <c r="E55" i="10"/>
  <c r="E54"/>
  <c r="E54" i="12" s="1"/>
  <c r="E52" i="10"/>
  <c r="E51"/>
  <c r="E51" i="12" s="1"/>
  <c r="E47" i="10"/>
  <c r="E46"/>
  <c r="E46" i="12" s="1"/>
  <c r="E45" i="10"/>
  <c r="E44"/>
  <c r="E44" i="12" s="1"/>
  <c r="E43" i="10"/>
  <c r="E42"/>
  <c r="E42" i="12" s="1"/>
  <c r="E41" i="10"/>
  <c r="E40"/>
  <c r="E40" i="12" s="1"/>
  <c r="E39" i="10"/>
  <c r="E38"/>
  <c r="E38" i="12" s="1"/>
  <c r="E37" i="10"/>
  <c r="E37" i="12" s="1"/>
  <c r="E31" i="10"/>
  <c r="E31" i="12" s="1"/>
  <c r="E30" i="10"/>
  <c r="E30" i="12" s="1"/>
  <c r="E26" i="10"/>
  <c r="E26" i="12" s="1"/>
  <c r="E25" i="10"/>
  <c r="E25" i="12" s="1"/>
  <c r="E24" i="10"/>
  <c r="E24" i="12" s="1"/>
  <c r="E21" i="10"/>
  <c r="E21" i="12" s="1"/>
  <c r="E14" i="10"/>
  <c r="E14" i="12" s="1"/>
  <c r="E9" i="10"/>
  <c r="E9" i="12" s="1"/>
  <c r="E8" i="10"/>
  <c r="E8" i="12" s="1"/>
  <c r="E7" i="10"/>
  <c r="E7" i="12" s="1"/>
  <c r="E6" i="10"/>
  <c r="E6" i="12" s="1"/>
  <c r="E10" s="1"/>
  <c r="D75" i="10"/>
  <c r="D79"/>
  <c r="D79" i="12" s="1"/>
  <c r="D70" i="10"/>
  <c r="D69"/>
  <c r="D69" i="12" s="1"/>
  <c r="D57" i="10"/>
  <c r="D56"/>
  <c r="D56" i="12" s="1"/>
  <c r="D55" i="10"/>
  <c r="D54"/>
  <c r="D54" i="12" s="1"/>
  <c r="D52" i="10"/>
  <c r="D52" i="12" s="1"/>
  <c r="D51" i="10"/>
  <c r="D51" i="12" s="1"/>
  <c r="D47" i="10"/>
  <c r="D47" i="12" s="1"/>
  <c r="D46" i="10"/>
  <c r="D46" i="12" s="1"/>
  <c r="D45" i="10"/>
  <c r="D45" i="12" s="1"/>
  <c r="D44" i="10"/>
  <c r="D44" i="12" s="1"/>
  <c r="D43" i="10"/>
  <c r="D43" i="12" s="1"/>
  <c r="D42" i="10"/>
  <c r="D42" i="12" s="1"/>
  <c r="D41" i="10"/>
  <c r="D41" i="12" s="1"/>
  <c r="D40" i="10"/>
  <c r="D40" i="12" s="1"/>
  <c r="D39" i="10"/>
  <c r="D39" i="12" s="1"/>
  <c r="D38" i="10"/>
  <c r="D38" i="12" s="1"/>
  <c r="D37" i="10"/>
  <c r="D37" i="12" s="1"/>
  <c r="D31" i="10"/>
  <c r="D31" i="12" s="1"/>
  <c r="D30" i="10"/>
  <c r="D30" i="12" s="1"/>
  <c r="D26" i="10"/>
  <c r="D26" i="12" s="1"/>
  <c r="D25" i="10"/>
  <c r="D24"/>
  <c r="D24" i="12" s="1"/>
  <c r="D22" i="10"/>
  <c r="D21"/>
  <c r="D21" i="12" s="1"/>
  <c r="D20" i="10"/>
  <c r="D19"/>
  <c r="D19" i="12" s="1"/>
  <c r="D18" i="10"/>
  <c r="D16"/>
  <c r="D16" i="12" s="1"/>
  <c r="D15" i="10"/>
  <c r="D15" i="12" s="1"/>
  <c r="D14" i="10"/>
  <c r="D14" i="12" s="1"/>
  <c r="D13" i="10"/>
  <c r="D8"/>
  <c r="D8" i="12" s="1"/>
  <c r="D7" i="10"/>
  <c r="D7" i="12" s="1"/>
  <c r="K75" i="10"/>
  <c r="J75"/>
  <c r="I75"/>
  <c r="H75"/>
  <c r="G75"/>
  <c r="F75"/>
  <c r="E75"/>
  <c r="C38"/>
  <c r="J48"/>
  <c r="H48"/>
  <c r="K28"/>
  <c r="J28"/>
  <c r="I28"/>
  <c r="H28"/>
  <c r="G28"/>
  <c r="F28"/>
  <c r="E28"/>
  <c r="J22"/>
  <c r="J22" i="12" s="1"/>
  <c r="J21" i="10"/>
  <c r="J21" i="12" s="1"/>
  <c r="J20" i="10"/>
  <c r="J20" i="12" s="1"/>
  <c r="J19" i="10"/>
  <c r="J19" i="12" s="1"/>
  <c r="J18" i="10"/>
  <c r="J18" i="12" s="1"/>
  <c r="J17" i="10"/>
  <c r="J17" i="12" s="1"/>
  <c r="J16" i="10"/>
  <c r="J16" i="12" s="1"/>
  <c r="J15" i="10"/>
  <c r="J15" i="12" s="1"/>
  <c r="J14" i="10"/>
  <c r="J14" i="12" s="1"/>
  <c r="J13" i="10"/>
  <c r="J23" s="1"/>
  <c r="J9"/>
  <c r="J9" i="12" s="1"/>
  <c r="J8" i="10"/>
  <c r="J7"/>
  <c r="J7" i="12" s="1"/>
  <c r="J6" i="10"/>
  <c r="I56"/>
  <c r="I56" i="12" s="1"/>
  <c r="I31" i="10"/>
  <c r="I57"/>
  <c r="I57" i="12" s="1"/>
  <c r="I47" i="10"/>
  <c r="I47" i="12" s="1"/>
  <c r="I25" i="10"/>
  <c r="I25" i="11"/>
  <c r="C25" s="1"/>
  <c r="I24" i="10"/>
  <c r="I72"/>
  <c r="I72" i="12" s="1"/>
  <c r="I45" i="10"/>
  <c r="I45" i="12" s="1"/>
  <c r="I42" i="10"/>
  <c r="I55"/>
  <c r="I55" i="12" s="1"/>
  <c r="I71" i="10"/>
  <c r="I53"/>
  <c r="I29"/>
  <c r="I22"/>
  <c r="I22" i="12" s="1"/>
  <c r="I51" i="10"/>
  <c r="I51" i="12" s="1"/>
  <c r="I44" i="10"/>
  <c r="I43"/>
  <c r="I43" i="12" s="1"/>
  <c r="I39" i="10"/>
  <c r="I37"/>
  <c r="I37" i="12" s="1"/>
  <c r="I9" i="11"/>
  <c r="H69" i="10"/>
  <c r="H69" i="12" s="1"/>
  <c r="H79" i="11"/>
  <c r="G51"/>
  <c r="G51" i="10"/>
  <c r="F72"/>
  <c r="F72" i="12" s="1"/>
  <c r="F71" i="10"/>
  <c r="F71" i="12" s="1"/>
  <c r="F54" i="10"/>
  <c r="F53"/>
  <c r="F51"/>
  <c r="F51" i="12" s="1"/>
  <c r="F37" i="10"/>
  <c r="F29"/>
  <c r="F29" i="12" s="1"/>
  <c r="F26" i="10"/>
  <c r="F26" i="12" s="1"/>
  <c r="F24" i="10"/>
  <c r="F24" i="12" s="1"/>
  <c r="F9" i="11"/>
  <c r="F57" i="10"/>
  <c r="F57" i="12" s="1"/>
  <c r="E71" i="11"/>
  <c r="E53"/>
  <c r="E39"/>
  <c r="E72" i="10"/>
  <c r="E53"/>
  <c r="E29"/>
  <c r="E72" i="11"/>
  <c r="C72" s="1"/>
  <c r="E29"/>
  <c r="E22"/>
  <c r="C22" s="1"/>
  <c r="E20"/>
  <c r="E19"/>
  <c r="C19" s="1"/>
  <c r="E18"/>
  <c r="E17"/>
  <c r="E16"/>
  <c r="E15"/>
  <c r="E13"/>
  <c r="E19" i="10"/>
  <c r="E18"/>
  <c r="E17"/>
  <c r="E15"/>
  <c r="E13"/>
  <c r="E22"/>
  <c r="E20"/>
  <c r="E16"/>
  <c r="D9" i="11"/>
  <c r="D17" i="10"/>
  <c r="D9"/>
  <c r="D6" i="11"/>
  <c r="D72" i="10"/>
  <c r="D71"/>
  <c r="D53"/>
  <c r="D53" i="12" s="1"/>
  <c r="D29" i="10"/>
  <c r="D6"/>
  <c r="K31" i="11"/>
  <c r="C31" s="1"/>
  <c r="K57"/>
  <c r="K44"/>
  <c r="C44" s="1"/>
  <c r="K43"/>
  <c r="K15"/>
  <c r="K24"/>
  <c r="C24" s="1"/>
  <c r="K51"/>
  <c r="K39"/>
  <c r="K16"/>
  <c r="B14" i="2"/>
  <c r="F8" i="10"/>
  <c r="F8" i="12" s="1"/>
  <c r="F17" i="10"/>
  <c r="F17" i="12" s="1"/>
  <c r="F16" i="10"/>
  <c r="F13"/>
  <c r="K9" i="11"/>
  <c r="K9" i="10"/>
  <c r="K20"/>
  <c r="K22"/>
  <c r="K72"/>
  <c r="K72" i="12" s="1"/>
  <c r="K71" i="10"/>
  <c r="K71" i="12" s="1"/>
  <c r="K53" i="10"/>
  <c r="K53" i="12" s="1"/>
  <c r="K57" i="10"/>
  <c r="K31"/>
  <c r="K29"/>
  <c r="K29" i="12" s="1"/>
  <c r="B82" i="2"/>
  <c r="B76"/>
  <c r="B75"/>
  <c r="B64"/>
  <c r="B63"/>
  <c r="B62"/>
  <c r="B61"/>
  <c r="B60"/>
  <c r="B58"/>
  <c r="B53"/>
  <c r="B52"/>
  <c r="B50"/>
  <c r="B49"/>
  <c r="B48"/>
  <c r="B47"/>
  <c r="B46"/>
  <c r="B44"/>
  <c r="B43"/>
  <c r="B37"/>
  <c r="B36"/>
  <c r="B34"/>
  <c r="B30"/>
  <c r="B27"/>
  <c r="B20"/>
  <c r="B13"/>
  <c r="B12"/>
  <c r="H61" i="11" l="1"/>
  <c r="K22" i="12"/>
  <c r="K20"/>
  <c r="F16"/>
  <c r="C43" i="11"/>
  <c r="C57"/>
  <c r="D29" i="12"/>
  <c r="C18" i="11"/>
  <c r="C20"/>
  <c r="F10"/>
  <c r="F53" i="12"/>
  <c r="C79" i="11"/>
  <c r="I10"/>
  <c r="I44" i="12"/>
  <c r="I42"/>
  <c r="I24"/>
  <c r="J6"/>
  <c r="J8"/>
  <c r="H23" i="10"/>
  <c r="D48"/>
  <c r="C40"/>
  <c r="D18" i="12"/>
  <c r="D20"/>
  <c r="D22"/>
  <c r="D25"/>
  <c r="D55"/>
  <c r="D57"/>
  <c r="D70"/>
  <c r="E41"/>
  <c r="C41" s="1"/>
  <c r="E43"/>
  <c r="E45"/>
  <c r="E47"/>
  <c r="E52"/>
  <c r="C52" s="1"/>
  <c r="E55"/>
  <c r="E57"/>
  <c r="E70"/>
  <c r="F14"/>
  <c r="F18"/>
  <c r="F20"/>
  <c r="F22"/>
  <c r="F38"/>
  <c r="C38" s="1"/>
  <c r="F40"/>
  <c r="C40" s="1"/>
  <c r="F42"/>
  <c r="F44"/>
  <c r="F46"/>
  <c r="C46" s="1"/>
  <c r="F70"/>
  <c r="G6"/>
  <c r="G10" s="1"/>
  <c r="G8"/>
  <c r="G13"/>
  <c r="G15"/>
  <c r="G17"/>
  <c r="G19"/>
  <c r="G21"/>
  <c r="G24"/>
  <c r="G26"/>
  <c r="G30"/>
  <c r="C30" s="1"/>
  <c r="G37"/>
  <c r="G39"/>
  <c r="G41"/>
  <c r="G43"/>
  <c r="G45"/>
  <c r="G47"/>
  <c r="G53"/>
  <c r="G55"/>
  <c r="G57"/>
  <c r="G70"/>
  <c r="G72"/>
  <c r="H48"/>
  <c r="H55"/>
  <c r="H57"/>
  <c r="I7"/>
  <c r="I69"/>
  <c r="K7"/>
  <c r="K26"/>
  <c r="D23" i="11"/>
  <c r="D48"/>
  <c r="J48"/>
  <c r="J61" s="1"/>
  <c r="C87" i="13"/>
  <c r="K13" i="11"/>
  <c r="K17"/>
  <c r="J48" i="12"/>
  <c r="K59" i="11"/>
  <c r="H26"/>
  <c r="C26" s="1"/>
  <c r="I39"/>
  <c r="I48" s="1"/>
  <c r="I71"/>
  <c r="I71" i="12" s="1"/>
  <c r="K37" i="11"/>
  <c r="C37" s="1"/>
  <c r="C71"/>
  <c r="I29"/>
  <c r="C29" s="1"/>
  <c r="I53"/>
  <c r="I59" s="1"/>
  <c r="E59"/>
  <c r="C53"/>
  <c r="G59"/>
  <c r="G61" s="1"/>
  <c r="C51"/>
  <c r="C9"/>
  <c r="C15"/>
  <c r="C17"/>
  <c r="C6"/>
  <c r="D10"/>
  <c r="D67" s="1"/>
  <c r="E23"/>
  <c r="C13"/>
  <c r="E48"/>
  <c r="C16"/>
  <c r="K31" i="12"/>
  <c r="D6"/>
  <c r="C6" s="1"/>
  <c r="E22"/>
  <c r="E17"/>
  <c r="E19"/>
  <c r="E53"/>
  <c r="E59" s="1"/>
  <c r="G51"/>
  <c r="I25"/>
  <c r="C25" s="1"/>
  <c r="E39"/>
  <c r="E48" s="1"/>
  <c r="H79"/>
  <c r="C79" s="1"/>
  <c r="I9"/>
  <c r="K13"/>
  <c r="K15"/>
  <c r="K17"/>
  <c r="K24"/>
  <c r="K37"/>
  <c r="K39"/>
  <c r="K43"/>
  <c r="C43" s="1"/>
  <c r="K51"/>
  <c r="K8" i="11"/>
  <c r="K8" i="12" s="1"/>
  <c r="K57"/>
  <c r="K59" s="1"/>
  <c r="K9"/>
  <c r="E20"/>
  <c r="E13"/>
  <c r="E18"/>
  <c r="E29"/>
  <c r="E72"/>
  <c r="I29"/>
  <c r="E71"/>
  <c r="F9"/>
  <c r="K16"/>
  <c r="K44"/>
  <c r="C44" s="1"/>
  <c r="G23"/>
  <c r="G48"/>
  <c r="H53" i="10"/>
  <c r="H53" i="12" s="1"/>
  <c r="H29" i="10"/>
  <c r="H29" i="12" s="1"/>
  <c r="D71"/>
  <c r="C71" i="10"/>
  <c r="D17" i="12"/>
  <c r="C17" i="10"/>
  <c r="E16" i="12"/>
  <c r="C16" i="10"/>
  <c r="E15" i="12"/>
  <c r="C15" i="10"/>
  <c r="F37" i="12"/>
  <c r="F48" s="1"/>
  <c r="F48" i="10"/>
  <c r="C39"/>
  <c r="I31" i="12"/>
  <c r="C31" i="10"/>
  <c r="F13" i="12"/>
  <c r="F23" i="10"/>
  <c r="D72" i="12"/>
  <c r="C72" i="10"/>
  <c r="D9" i="12"/>
  <c r="C9" i="10"/>
  <c r="F54" i="12"/>
  <c r="C54" s="1"/>
  <c r="C54" i="10"/>
  <c r="F59" i="12"/>
  <c r="C42"/>
  <c r="C55"/>
  <c r="C57"/>
  <c r="C24"/>
  <c r="C47"/>
  <c r="C56"/>
  <c r="C69"/>
  <c r="C75" i="10"/>
  <c r="C51" i="12"/>
  <c r="D59"/>
  <c r="C7"/>
  <c r="C14"/>
  <c r="C18"/>
  <c r="C20"/>
  <c r="C22"/>
  <c r="F10"/>
  <c r="G59"/>
  <c r="G61" s="1"/>
  <c r="H59"/>
  <c r="H61" s="1"/>
  <c r="I10"/>
  <c r="I23"/>
  <c r="I67" s="1"/>
  <c r="J59"/>
  <c r="J61" s="1"/>
  <c r="D48"/>
  <c r="C15"/>
  <c r="C19"/>
  <c r="C21"/>
  <c r="D23" i="10"/>
  <c r="C79"/>
  <c r="G80" i="12"/>
  <c r="G27" s="1"/>
  <c r="G32" s="1"/>
  <c r="G34" s="1"/>
  <c r="D13"/>
  <c r="J13"/>
  <c r="J23" s="1"/>
  <c r="G67"/>
  <c r="G73" s="1"/>
  <c r="C59" i="11"/>
  <c r="G32"/>
  <c r="G34" s="1"/>
  <c r="E67"/>
  <c r="E73" s="1"/>
  <c r="E76" s="1"/>
  <c r="E78" s="1"/>
  <c r="E80" s="1"/>
  <c r="E27" s="1"/>
  <c r="E32" s="1"/>
  <c r="E34" s="1"/>
  <c r="G67"/>
  <c r="G73" s="1"/>
  <c r="I67"/>
  <c r="I73" s="1"/>
  <c r="I76" s="1"/>
  <c r="I78" s="1"/>
  <c r="I80" s="1"/>
  <c r="I27" s="1"/>
  <c r="I32" s="1"/>
  <c r="I34" s="1"/>
  <c r="F67"/>
  <c r="F73" s="1"/>
  <c r="F76" s="1"/>
  <c r="F78" s="1"/>
  <c r="F80" s="1"/>
  <c r="F27" s="1"/>
  <c r="F32" s="1"/>
  <c r="F34" s="1"/>
  <c r="F64" s="1"/>
  <c r="H67"/>
  <c r="H73" s="1"/>
  <c r="H76" s="1"/>
  <c r="H78" s="1"/>
  <c r="H80" s="1"/>
  <c r="H27" s="1"/>
  <c r="H32" s="1"/>
  <c r="H34" s="1"/>
  <c r="H64" s="1"/>
  <c r="J67"/>
  <c r="J73" s="1"/>
  <c r="J76" s="1"/>
  <c r="J78" s="1"/>
  <c r="J80" s="1"/>
  <c r="J27" s="1"/>
  <c r="J32" s="1"/>
  <c r="J34" s="1"/>
  <c r="J64" s="1"/>
  <c r="D59"/>
  <c r="D61" s="1"/>
  <c r="F10" i="10"/>
  <c r="H10"/>
  <c r="H67" s="1"/>
  <c r="H73" s="1"/>
  <c r="H76" s="1"/>
  <c r="H78" s="1"/>
  <c r="H80" s="1"/>
  <c r="H27" s="1"/>
  <c r="H32" s="1"/>
  <c r="H34" s="1"/>
  <c r="J10"/>
  <c r="J67" s="1"/>
  <c r="J73" s="1"/>
  <c r="J76" s="1"/>
  <c r="J78" s="1"/>
  <c r="J80" s="1"/>
  <c r="J27" s="1"/>
  <c r="J32" s="1"/>
  <c r="J34" s="1"/>
  <c r="C7"/>
  <c r="C8"/>
  <c r="C21"/>
  <c r="C25"/>
  <c r="C26"/>
  <c r="C44"/>
  <c r="C46"/>
  <c r="C47"/>
  <c r="D59"/>
  <c r="D61" s="1"/>
  <c r="F59"/>
  <c r="J59"/>
  <c r="J61" s="1"/>
  <c r="C52"/>
  <c r="C53"/>
  <c r="E10"/>
  <c r="G10"/>
  <c r="I10"/>
  <c r="K10"/>
  <c r="C13"/>
  <c r="E23"/>
  <c r="G23"/>
  <c r="I23"/>
  <c r="K23"/>
  <c r="C19"/>
  <c r="C20"/>
  <c r="C29"/>
  <c r="C30"/>
  <c r="E48"/>
  <c r="G48"/>
  <c r="I48"/>
  <c r="C42"/>
  <c r="C43"/>
  <c r="E59"/>
  <c r="G59"/>
  <c r="I59"/>
  <c r="K59"/>
  <c r="C56"/>
  <c r="C57"/>
  <c r="C14"/>
  <c r="C18"/>
  <c r="C22"/>
  <c r="C24"/>
  <c r="C28"/>
  <c r="C41"/>
  <c r="C6"/>
  <c r="C55"/>
  <c r="C69"/>
  <c r="G61"/>
  <c r="D10"/>
  <c r="C37"/>
  <c r="C51"/>
  <c r="W65" i="2"/>
  <c r="V65"/>
  <c r="U65"/>
  <c r="U67" s="1"/>
  <c r="W54"/>
  <c r="V54"/>
  <c r="U54"/>
  <c r="W29"/>
  <c r="V29"/>
  <c r="V74" s="1"/>
  <c r="V80" s="1"/>
  <c r="V83" s="1"/>
  <c r="V85" s="1"/>
  <c r="V87" s="1"/>
  <c r="V33" s="1"/>
  <c r="V38" s="1"/>
  <c r="V40" s="1"/>
  <c r="U29"/>
  <c r="W16"/>
  <c r="V16"/>
  <c r="U16"/>
  <c r="C37" i="12" l="1"/>
  <c r="F61" i="10"/>
  <c r="C9" i="12"/>
  <c r="D10"/>
  <c r="I39"/>
  <c r="C39" s="1"/>
  <c r="C23" i="11"/>
  <c r="U74" i="2"/>
  <c r="U80" s="1"/>
  <c r="U83" s="1"/>
  <c r="U85" s="1"/>
  <c r="U87" s="1"/>
  <c r="U33" s="1"/>
  <c r="U38" s="1"/>
  <c r="U40" s="1"/>
  <c r="F67" i="10"/>
  <c r="F73" s="1"/>
  <c r="F76" s="1"/>
  <c r="F78" s="1"/>
  <c r="F80" s="1"/>
  <c r="F23" i="12"/>
  <c r="C17"/>
  <c r="C16"/>
  <c r="D67" i="10"/>
  <c r="D73" s="1"/>
  <c r="D76" s="1"/>
  <c r="D78" s="1"/>
  <c r="D80" s="1"/>
  <c r="D27" s="1"/>
  <c r="D32" s="1"/>
  <c r="H59"/>
  <c r="H61" s="1"/>
  <c r="G64" i="11"/>
  <c r="I48" i="12"/>
  <c r="C31"/>
  <c r="K23"/>
  <c r="K23" i="11"/>
  <c r="K10" i="12"/>
  <c r="K67" s="1"/>
  <c r="C8"/>
  <c r="F67"/>
  <c r="F73" s="1"/>
  <c r="F76" s="1"/>
  <c r="F78" s="1"/>
  <c r="F80" s="1"/>
  <c r="F27" s="1"/>
  <c r="F32" s="1"/>
  <c r="F34" s="1"/>
  <c r="J67"/>
  <c r="J73" s="1"/>
  <c r="J76" s="1"/>
  <c r="J78" s="1"/>
  <c r="J80" s="1"/>
  <c r="J27" s="1"/>
  <c r="F61"/>
  <c r="E61" i="11"/>
  <c r="E64" s="1"/>
  <c r="J10" i="12"/>
  <c r="C33" i="13"/>
  <c r="I61" i="10"/>
  <c r="C29" i="12"/>
  <c r="C39" i="11"/>
  <c r="E23" i="12"/>
  <c r="E67" s="1"/>
  <c r="E73" s="1"/>
  <c r="E76" s="1"/>
  <c r="E78" s="1"/>
  <c r="E80" s="1"/>
  <c r="E27" s="1"/>
  <c r="E32" s="1"/>
  <c r="E34" s="1"/>
  <c r="I73"/>
  <c r="I76" s="1"/>
  <c r="I78" s="1"/>
  <c r="I80" s="1"/>
  <c r="I27" s="1"/>
  <c r="I32" s="1"/>
  <c r="I34" s="1"/>
  <c r="H26"/>
  <c r="I53"/>
  <c r="I59" s="1"/>
  <c r="I61" s="1"/>
  <c r="C71"/>
  <c r="E61"/>
  <c r="E64" s="1"/>
  <c r="I61" i="11"/>
  <c r="I64" s="1"/>
  <c r="C8"/>
  <c r="C10" s="1"/>
  <c r="K10"/>
  <c r="C72" i="12"/>
  <c r="J32"/>
  <c r="J34" s="1"/>
  <c r="I67" i="10"/>
  <c r="I73" s="1"/>
  <c r="I76" s="1"/>
  <c r="I78" s="1"/>
  <c r="I80" s="1"/>
  <c r="I27" s="1"/>
  <c r="I32" s="1"/>
  <c r="I34" s="1"/>
  <c r="J64" i="12"/>
  <c r="G64"/>
  <c r="E61" i="10"/>
  <c r="G67"/>
  <c r="G73" s="1"/>
  <c r="G78" s="1"/>
  <c r="G80" s="1"/>
  <c r="G27" s="1"/>
  <c r="C10" i="12"/>
  <c r="D61"/>
  <c r="D23"/>
  <c r="D67" s="1"/>
  <c r="C13"/>
  <c r="D73" i="11"/>
  <c r="K67" i="10"/>
  <c r="G32"/>
  <c r="F27"/>
  <c r="F32" s="1"/>
  <c r="F34" s="1"/>
  <c r="D34"/>
  <c r="H64"/>
  <c r="J64"/>
  <c r="F64"/>
  <c r="C10"/>
  <c r="E67"/>
  <c r="E73" s="1"/>
  <c r="E76" s="1"/>
  <c r="E78" s="1"/>
  <c r="E80" s="1"/>
  <c r="E27" s="1"/>
  <c r="E32" s="1"/>
  <c r="E34" s="1"/>
  <c r="D64"/>
  <c r="C23"/>
  <c r="G34"/>
  <c r="C59"/>
  <c r="W67" i="2"/>
  <c r="W74"/>
  <c r="W80" s="1"/>
  <c r="W83" s="1"/>
  <c r="W85" s="1"/>
  <c r="W87" s="1"/>
  <c r="W33" s="1"/>
  <c r="W38" s="1"/>
  <c r="W40" s="1"/>
  <c r="V67"/>
  <c r="V71" s="1"/>
  <c r="U71"/>
  <c r="C53" i="12" l="1"/>
  <c r="C59" s="1"/>
  <c r="C23"/>
  <c r="K67" i="11"/>
  <c r="C67" s="1"/>
  <c r="F64" i="12"/>
  <c r="C38" i="13"/>
  <c r="I64" i="12"/>
  <c r="C26"/>
  <c r="H67"/>
  <c r="H73" s="1"/>
  <c r="H76" s="1"/>
  <c r="H78" s="1"/>
  <c r="H80" s="1"/>
  <c r="H27" s="1"/>
  <c r="H32" s="1"/>
  <c r="H34" s="1"/>
  <c r="D73"/>
  <c r="C67"/>
  <c r="D76" i="11"/>
  <c r="I64" i="10"/>
  <c r="G64"/>
  <c r="C67"/>
  <c r="E64"/>
  <c r="W71" i="2"/>
  <c r="T16"/>
  <c r="H29"/>
  <c r="Y65"/>
  <c r="X65"/>
  <c r="T65"/>
  <c r="T54"/>
  <c r="Y29"/>
  <c r="X29"/>
  <c r="T29"/>
  <c r="Y16"/>
  <c r="X16"/>
  <c r="B86" i="1"/>
  <c r="B75"/>
  <c r="B64"/>
  <c r="B58"/>
  <c r="B52"/>
  <c r="B47"/>
  <c r="B46"/>
  <c r="B44"/>
  <c r="B39"/>
  <c r="B36"/>
  <c r="B34"/>
  <c r="B27"/>
  <c r="B20"/>
  <c r="B14"/>
  <c r="B13"/>
  <c r="B12"/>
  <c r="C40" i="13" l="1"/>
  <c r="H64" i="12"/>
  <c r="D76"/>
  <c r="D78" i="11"/>
  <c r="Y74" i="2"/>
  <c r="T67"/>
  <c r="X74"/>
  <c r="T74"/>
  <c r="C71" i="13" l="1"/>
  <c r="D78" i="12"/>
  <c r="D80" i="11"/>
  <c r="T80" i="2"/>
  <c r="T83" s="1"/>
  <c r="T85" s="1"/>
  <c r="T87" s="1"/>
  <c r="T33" s="1"/>
  <c r="T38" s="1"/>
  <c r="T40" s="1"/>
  <c r="D80" i="12" l="1"/>
  <c r="D27" i="11"/>
  <c r="D32" s="1"/>
  <c r="D34" s="1"/>
  <c r="D64" s="1"/>
  <c r="T71" i="2"/>
  <c r="AP74" i="1"/>
  <c r="AO74"/>
  <c r="AJ74"/>
  <c r="AJ80" s="1"/>
  <c r="AJ83" s="1"/>
  <c r="AJ85" s="1"/>
  <c r="AJ87" s="1"/>
  <c r="AJ33" s="1"/>
  <c r="AJ38" s="1"/>
  <c r="AJ40" s="1"/>
  <c r="AM67"/>
  <c r="AK67"/>
  <c r="AP65"/>
  <c r="AO65"/>
  <c r="AN65"/>
  <c r="AN67" s="1"/>
  <c r="AM65"/>
  <c r="AL65"/>
  <c r="AL67" s="1"/>
  <c r="AK65"/>
  <c r="AJ65"/>
  <c r="AJ67" s="1"/>
  <c r="AN54"/>
  <c r="AM54"/>
  <c r="AL54"/>
  <c r="AK54"/>
  <c r="AJ54"/>
  <c r="AP29"/>
  <c r="AO29"/>
  <c r="AN29"/>
  <c r="AM29"/>
  <c r="AM74" s="1"/>
  <c r="AM80" s="1"/>
  <c r="AM83" s="1"/>
  <c r="AM85" s="1"/>
  <c r="AM87" s="1"/>
  <c r="AM33" s="1"/>
  <c r="AM38" s="1"/>
  <c r="AM40" s="1"/>
  <c r="AL29"/>
  <c r="AL74" s="1"/>
  <c r="AL80" s="1"/>
  <c r="AL83" s="1"/>
  <c r="AL85" s="1"/>
  <c r="AL87" s="1"/>
  <c r="AL33" s="1"/>
  <c r="AL38" s="1"/>
  <c r="AL40" s="1"/>
  <c r="AK29"/>
  <c r="AK74" s="1"/>
  <c r="AK80" s="1"/>
  <c r="AK83" s="1"/>
  <c r="AK85" s="1"/>
  <c r="AK87" s="1"/>
  <c r="AK33" s="1"/>
  <c r="AK38" s="1"/>
  <c r="AK40" s="1"/>
  <c r="AJ29"/>
  <c r="AP16"/>
  <c r="AO16"/>
  <c r="AN16"/>
  <c r="AM16"/>
  <c r="AL16"/>
  <c r="AK16"/>
  <c r="AJ16"/>
  <c r="B62"/>
  <c r="B37"/>
  <c r="B31" i="2"/>
  <c r="B48" i="1"/>
  <c r="B61"/>
  <c r="B50"/>
  <c r="B49"/>
  <c r="B76"/>
  <c r="B86" i="2"/>
  <c r="B57"/>
  <c r="B78"/>
  <c r="B59"/>
  <c r="B45"/>
  <c r="B79"/>
  <c r="B35"/>
  <c r="B53" i="1"/>
  <c r="B31"/>
  <c r="B60"/>
  <c r="B57"/>
  <c r="B43"/>
  <c r="B32"/>
  <c r="B30"/>
  <c r="B63"/>
  <c r="B28" i="2"/>
  <c r="B26"/>
  <c r="B25"/>
  <c r="B24"/>
  <c r="B23"/>
  <c r="B22"/>
  <c r="B21"/>
  <c r="B19"/>
  <c r="B25" i="1"/>
  <c r="B24"/>
  <c r="B21"/>
  <c r="B19"/>
  <c r="B15" i="2"/>
  <c r="B15" i="1"/>
  <c r="D27" i="12" l="1"/>
  <c r="D32" s="1"/>
  <c r="D34" s="1"/>
  <c r="B23" i="1"/>
  <c r="B59"/>
  <c r="B78"/>
  <c r="B32" i="2"/>
  <c r="B35" i="1"/>
  <c r="B79"/>
  <c r="B45"/>
  <c r="AN74"/>
  <c r="AN80" s="1"/>
  <c r="AN83" s="1"/>
  <c r="AN85" s="1"/>
  <c r="AN87" s="1"/>
  <c r="AN33" s="1"/>
  <c r="AN38" s="1"/>
  <c r="AN40" s="1"/>
  <c r="AN71" s="1"/>
  <c r="B22"/>
  <c r="B28"/>
  <c r="B26"/>
  <c r="AL71"/>
  <c r="AK71"/>
  <c r="AM71"/>
  <c r="AJ71"/>
  <c r="C24" i="6"/>
  <c r="C46"/>
  <c r="C43"/>
  <c r="C27"/>
  <c r="D64" i="12" l="1"/>
  <c r="C16" i="6"/>
  <c r="C32" s="1"/>
  <c r="C33"/>
  <c r="W76" i="5" l="1"/>
  <c r="W26"/>
  <c r="W35" s="1"/>
  <c r="W13"/>
  <c r="V82"/>
  <c r="V78"/>
  <c r="V75"/>
  <c r="V74"/>
  <c r="V73"/>
  <c r="V72"/>
  <c r="V71"/>
  <c r="V61"/>
  <c r="V60"/>
  <c r="V59"/>
  <c r="V58"/>
  <c r="V57"/>
  <c r="V56"/>
  <c r="V55"/>
  <c r="V54"/>
  <c r="V50"/>
  <c r="V49"/>
  <c r="V48"/>
  <c r="V47"/>
  <c r="V46"/>
  <c r="V45"/>
  <c r="V44"/>
  <c r="V43"/>
  <c r="V42"/>
  <c r="V41"/>
  <c r="V40"/>
  <c r="V34"/>
  <c r="V33"/>
  <c r="V32"/>
  <c r="V28"/>
  <c r="V27"/>
  <c r="V25"/>
  <c r="V24"/>
  <c r="V23"/>
  <c r="V21"/>
  <c r="V20"/>
  <c r="V19"/>
  <c r="V18"/>
  <c r="V17"/>
  <c r="V16"/>
  <c r="V12"/>
  <c r="V11"/>
  <c r="V10"/>
  <c r="X78"/>
  <c r="X75"/>
  <c r="X74"/>
  <c r="X73"/>
  <c r="X72"/>
  <c r="X71"/>
  <c r="X61"/>
  <c r="X60"/>
  <c r="X59"/>
  <c r="X58"/>
  <c r="X57"/>
  <c r="X56"/>
  <c r="X55"/>
  <c r="X54"/>
  <c r="X50"/>
  <c r="X49"/>
  <c r="X48"/>
  <c r="X47"/>
  <c r="X46"/>
  <c r="X45"/>
  <c r="X44"/>
  <c r="X43"/>
  <c r="X42"/>
  <c r="X41"/>
  <c r="X40"/>
  <c r="X34"/>
  <c r="X33"/>
  <c r="X32"/>
  <c r="X28"/>
  <c r="X27"/>
  <c r="X25"/>
  <c r="X24"/>
  <c r="X23"/>
  <c r="X21"/>
  <c r="X20"/>
  <c r="X19"/>
  <c r="X18"/>
  <c r="X17"/>
  <c r="X16"/>
  <c r="X12"/>
  <c r="X11"/>
  <c r="X10"/>
  <c r="R78"/>
  <c r="R71"/>
  <c r="R61"/>
  <c r="T78"/>
  <c r="T71"/>
  <c r="T61"/>
  <c r="N78"/>
  <c r="N71"/>
  <c r="N61"/>
  <c r="P78"/>
  <c r="P71"/>
  <c r="P61"/>
  <c r="J78"/>
  <c r="J61"/>
  <c r="L61" s="1"/>
  <c r="L78"/>
  <c r="F78"/>
  <c r="H78" s="1"/>
  <c r="F71"/>
  <c r="F61"/>
  <c r="H61" s="1"/>
  <c r="H71"/>
  <c r="B82"/>
  <c r="B78"/>
  <c r="B61"/>
  <c r="W37" l="1"/>
  <c r="D78"/>
  <c r="D61"/>
  <c r="N31" i="4"/>
  <c r="L62"/>
  <c r="V62" i="5" s="1"/>
  <c r="X62" s="1"/>
  <c r="L51" i="4"/>
  <c r="N61"/>
  <c r="L31"/>
  <c r="V31" i="5" s="1"/>
  <c r="X31" s="1"/>
  <c r="D26" i="3"/>
  <c r="D30" s="1"/>
  <c r="H83" i="4"/>
  <c r="D83"/>
  <c r="N82" i="5" l="1"/>
  <c r="BI86" i="13"/>
  <c r="L64" i="4"/>
  <c r="V64" i="5" s="1"/>
  <c r="X64" s="1"/>
  <c r="V51"/>
  <c r="X51" s="1"/>
  <c r="F83" i="4"/>
  <c r="J82" i="5" s="1"/>
  <c r="F82"/>
  <c r="D32" i="3"/>
  <c r="D34" s="1"/>
  <c r="J83" i="4" l="1"/>
  <c r="N83" s="1"/>
  <c r="R82" i="5" l="1"/>
  <c r="J31" i="4"/>
  <c r="R31" i="5" s="1"/>
  <c r="T31" s="1"/>
  <c r="H31" i="4"/>
  <c r="N31" i="5" s="1"/>
  <c r="P31" s="1"/>
  <c r="F31" i="4"/>
  <c r="J31" i="5" s="1"/>
  <c r="L31" s="1"/>
  <c r="D31" i="4"/>
  <c r="F31" i="5" s="1"/>
  <c r="H31" s="1"/>
  <c r="B31" i="4"/>
  <c r="B71" i="5"/>
  <c r="B31" l="1"/>
  <c r="D31" s="1"/>
  <c r="B9"/>
  <c r="D9" s="1"/>
  <c r="B16"/>
  <c r="D16" s="1"/>
  <c r="B20"/>
  <c r="D20" s="1"/>
  <c r="B24"/>
  <c r="D24" s="1"/>
  <c r="B29"/>
  <c r="D29" s="1"/>
  <c r="B40"/>
  <c r="D40" s="1"/>
  <c r="B44"/>
  <c r="D44" s="1"/>
  <c r="B46"/>
  <c r="D46" s="1"/>
  <c r="B50"/>
  <c r="D50" s="1"/>
  <c r="B57"/>
  <c r="D57" s="1"/>
  <c r="B10"/>
  <c r="D10" s="1"/>
  <c r="B12"/>
  <c r="D12" s="1"/>
  <c r="B17"/>
  <c r="D17" s="1"/>
  <c r="B19"/>
  <c r="D19" s="1"/>
  <c r="B21"/>
  <c r="D21" s="1"/>
  <c r="B23"/>
  <c r="D23" s="1"/>
  <c r="B25"/>
  <c r="D25" s="1"/>
  <c r="B28"/>
  <c r="D28" s="1"/>
  <c r="B32"/>
  <c r="D32" s="1"/>
  <c r="B34"/>
  <c r="D34" s="1"/>
  <c r="B41"/>
  <c r="D41" s="1"/>
  <c r="B43"/>
  <c r="D43" s="1"/>
  <c r="B45"/>
  <c r="D45" s="1"/>
  <c r="B47"/>
  <c r="D47" s="1"/>
  <c r="B49"/>
  <c r="D49" s="1"/>
  <c r="B54"/>
  <c r="D54" s="1"/>
  <c r="B56"/>
  <c r="D56" s="1"/>
  <c r="B58"/>
  <c r="D58" s="1"/>
  <c r="B60"/>
  <c r="D60" s="1"/>
  <c r="B72"/>
  <c r="D72" s="1"/>
  <c r="B74"/>
  <c r="D74" s="1"/>
  <c r="B11"/>
  <c r="D11" s="1"/>
  <c r="B18"/>
  <c r="D18" s="1"/>
  <c r="B22"/>
  <c r="D22" s="1"/>
  <c r="B27"/>
  <c r="D27" s="1"/>
  <c r="B33"/>
  <c r="D33" s="1"/>
  <c r="B42"/>
  <c r="D42" s="1"/>
  <c r="B48"/>
  <c r="D48" s="1"/>
  <c r="B55"/>
  <c r="D55" s="1"/>
  <c r="B59"/>
  <c r="D59" s="1"/>
  <c r="B73"/>
  <c r="D73" s="1"/>
  <c r="B75"/>
  <c r="D75" s="1"/>
  <c r="F72" i="4"/>
  <c r="J71" i="5" s="1"/>
  <c r="L71" s="1"/>
  <c r="D71"/>
  <c r="C14" i="7"/>
  <c r="C6"/>
  <c r="D32" i="4" l="1"/>
  <c r="F32" l="1"/>
  <c r="J32" i="5" s="1"/>
  <c r="L32" s="1"/>
  <c r="F32"/>
  <c r="H32" s="1"/>
  <c r="B62" i="4"/>
  <c r="B51"/>
  <c r="B26"/>
  <c r="B26" i="5" s="1"/>
  <c r="B13" i="4"/>
  <c r="L83" i="2"/>
  <c r="L85" s="1"/>
  <c r="L87" s="1"/>
  <c r="B62" i="5" l="1"/>
  <c r="D62" s="1"/>
  <c r="B13"/>
  <c r="D13" s="1"/>
  <c r="B51"/>
  <c r="D51" s="1"/>
  <c r="D26"/>
  <c r="B71" i="4"/>
  <c r="B70" i="5" s="1"/>
  <c r="B64" i="4"/>
  <c r="B64" i="5" l="1"/>
  <c r="D64" s="1"/>
  <c r="B77" i="4"/>
  <c r="B76" i="5" s="1"/>
  <c r="D70"/>
  <c r="H73" i="4"/>
  <c r="N72" i="5" s="1"/>
  <c r="P72" s="1"/>
  <c r="B80" i="4" l="1"/>
  <c r="B79" i="5" s="1"/>
  <c r="D76"/>
  <c r="H59" i="4"/>
  <c r="N59" i="5" s="1"/>
  <c r="P59" s="1"/>
  <c r="H58" i="4"/>
  <c r="N58" i="5" s="1"/>
  <c r="P58" s="1"/>
  <c r="H57" i="4"/>
  <c r="N57" i="5" s="1"/>
  <c r="P57" s="1"/>
  <c r="H55" i="4"/>
  <c r="N55" i="5" s="1"/>
  <c r="P55" s="1"/>
  <c r="H50" i="4"/>
  <c r="N50" i="5" s="1"/>
  <c r="P50" s="1"/>
  <c r="H49" i="4"/>
  <c r="N49" i="5" s="1"/>
  <c r="P49" s="1"/>
  <c r="H47" i="4"/>
  <c r="N47" i="5" s="1"/>
  <c r="P47" s="1"/>
  <c r="H46" i="4"/>
  <c r="N46" i="5" s="1"/>
  <c r="P46" s="1"/>
  <c r="H45" i="4"/>
  <c r="N45" i="5" s="1"/>
  <c r="P45" s="1"/>
  <c r="H44" i="4"/>
  <c r="N44" i="5" s="1"/>
  <c r="P44" s="1"/>
  <c r="H43" i="4"/>
  <c r="N43" i="5" s="1"/>
  <c r="P43" s="1"/>
  <c r="H41" i="4"/>
  <c r="N41" i="5" s="1"/>
  <c r="P41" s="1"/>
  <c r="H33" i="4"/>
  <c r="N33" i="5" s="1"/>
  <c r="P33" s="1"/>
  <c r="H24" i="4"/>
  <c r="N24" i="5" s="1"/>
  <c r="P24" s="1"/>
  <c r="H17" i="4"/>
  <c r="N17" i="5" s="1"/>
  <c r="P17" s="1"/>
  <c r="H10" i="4"/>
  <c r="N10" i="5" s="1"/>
  <c r="P10" s="1"/>
  <c r="H75" i="4"/>
  <c r="N74" i="5" s="1"/>
  <c r="P74" s="1"/>
  <c r="S54" i="2"/>
  <c r="H32" i="4"/>
  <c r="BI35" i="13" s="1"/>
  <c r="S16" i="2"/>
  <c r="H27" i="4"/>
  <c r="N27" i="5" s="1"/>
  <c r="P27" s="1"/>
  <c r="S65" i="2"/>
  <c r="J32" i="4" l="1"/>
  <c r="N32" i="5"/>
  <c r="P32" s="1"/>
  <c r="B82" i="4"/>
  <c r="B81" i="5" s="1"/>
  <c r="D79"/>
  <c r="D76" i="4"/>
  <c r="D75"/>
  <c r="BI78" i="13" s="1"/>
  <c r="D73" i="4"/>
  <c r="BI76" i="13" s="1"/>
  <c r="H16" i="4"/>
  <c r="N16" i="5" s="1"/>
  <c r="P16" s="1"/>
  <c r="H21" i="4"/>
  <c r="N21" i="5" s="1"/>
  <c r="P21" s="1"/>
  <c r="H25" i="4"/>
  <c r="N25" i="5" s="1"/>
  <c r="P25" s="1"/>
  <c r="H42" i="4"/>
  <c r="N42" i="5" s="1"/>
  <c r="P42" s="1"/>
  <c r="H76" i="4"/>
  <c r="N75" i="5" s="1"/>
  <c r="P75" s="1"/>
  <c r="H29" i="4"/>
  <c r="N29" i="5" s="1"/>
  <c r="P29" s="1"/>
  <c r="H40" i="4"/>
  <c r="N40" i="5" s="1"/>
  <c r="P40" s="1"/>
  <c r="H56" i="4"/>
  <c r="N56" i="5" s="1"/>
  <c r="P56" s="1"/>
  <c r="H34" i="4"/>
  <c r="N34" i="5" s="1"/>
  <c r="P34" s="1"/>
  <c r="H54" i="4"/>
  <c r="N54" i="5" s="1"/>
  <c r="P54" s="1"/>
  <c r="H9" i="4"/>
  <c r="N9" i="5" s="1"/>
  <c r="P9" s="1"/>
  <c r="H18" i="4"/>
  <c r="N18" i="5" s="1"/>
  <c r="P18" s="1"/>
  <c r="H20" i="4"/>
  <c r="N20" i="5" s="1"/>
  <c r="P20" s="1"/>
  <c r="H23" i="4"/>
  <c r="N23" i="5" s="1"/>
  <c r="P23" s="1"/>
  <c r="H22" i="4"/>
  <c r="N22" i="5" s="1"/>
  <c r="P22" s="1"/>
  <c r="H11" i="4"/>
  <c r="N11" i="5" s="1"/>
  <c r="P11" s="1"/>
  <c r="H28" i="4"/>
  <c r="N28" i="5" s="1"/>
  <c r="P28" s="1"/>
  <c r="H60" i="4"/>
  <c r="N60" i="5" s="1"/>
  <c r="P60" s="1"/>
  <c r="S29" i="2"/>
  <c r="S74" s="1"/>
  <c r="S80" s="1"/>
  <c r="H12" i="4"/>
  <c r="N12" i="5" s="1"/>
  <c r="P12" s="1"/>
  <c r="S67" i="2"/>
  <c r="BI79" i="13" l="1"/>
  <c r="F73" i="4"/>
  <c r="F72" i="5"/>
  <c r="H72" s="1"/>
  <c r="F76" i="4"/>
  <c r="J75" i="5" s="1"/>
  <c r="L75" s="1"/>
  <c r="F75"/>
  <c r="H75" s="1"/>
  <c r="F75" i="4"/>
  <c r="F74" i="5"/>
  <c r="H74" s="1"/>
  <c r="N32" i="4"/>
  <c r="R32" i="5"/>
  <c r="T32" s="1"/>
  <c r="B84" i="4"/>
  <c r="B83" i="5" s="1"/>
  <c r="D83" s="1"/>
  <c r="H62" i="4"/>
  <c r="N62" i="5" s="1"/>
  <c r="P62" s="1"/>
  <c r="H13" i="4"/>
  <c r="N13" i="5" s="1"/>
  <c r="P13" s="1"/>
  <c r="H19" i="4"/>
  <c r="S83" i="2"/>
  <c r="S85" s="1"/>
  <c r="S87" s="1"/>
  <c r="S33" s="1"/>
  <c r="AE54" i="1"/>
  <c r="AE29"/>
  <c r="AE16"/>
  <c r="Y65"/>
  <c r="Y54"/>
  <c r="Y29"/>
  <c r="Y16"/>
  <c r="X54"/>
  <c r="X29"/>
  <c r="X16"/>
  <c r="S54"/>
  <c r="S29"/>
  <c r="S16"/>
  <c r="J76" i="4" l="1"/>
  <c r="N76" s="1"/>
  <c r="H26"/>
  <c r="N26" i="5" s="1"/>
  <c r="P26" s="1"/>
  <c r="N19"/>
  <c r="P19" s="1"/>
  <c r="J75" i="4"/>
  <c r="J74" i="5"/>
  <c r="L74" s="1"/>
  <c r="J73" i="4"/>
  <c r="J72" i="5"/>
  <c r="L72" s="1"/>
  <c r="B30" i="4"/>
  <c r="B30" i="5" s="1"/>
  <c r="AE74" i="1"/>
  <c r="S74"/>
  <c r="S80" s="1"/>
  <c r="Y67"/>
  <c r="X74"/>
  <c r="X80" s="1"/>
  <c r="Y74"/>
  <c r="Y80" s="1"/>
  <c r="X65"/>
  <c r="X67" s="1"/>
  <c r="N65"/>
  <c r="N54"/>
  <c r="N29"/>
  <c r="N16"/>
  <c r="M16"/>
  <c r="M65"/>
  <c r="M54"/>
  <c r="O65"/>
  <c r="O54"/>
  <c r="O29"/>
  <c r="O16"/>
  <c r="M74" l="1"/>
  <c r="M80" s="1"/>
  <c r="R75" i="5"/>
  <c r="T75" s="1"/>
  <c r="H71" i="4"/>
  <c r="N70" i="5" s="1"/>
  <c r="P70" s="1"/>
  <c r="N73" i="4"/>
  <c r="R72" i="5"/>
  <c r="T72" s="1"/>
  <c r="R74"/>
  <c r="T74" s="1"/>
  <c r="N75" i="4"/>
  <c r="B35"/>
  <c r="B35" i="5" s="1"/>
  <c r="D30"/>
  <c r="M83" i="1"/>
  <c r="M85" s="1"/>
  <c r="M87" s="1"/>
  <c r="M33" s="1"/>
  <c r="Y83"/>
  <c r="Y85" s="1"/>
  <c r="Y87" s="1"/>
  <c r="Y33"/>
  <c r="Y38" s="1"/>
  <c r="Y40" s="1"/>
  <c r="X83"/>
  <c r="X85" s="1"/>
  <c r="X87" s="1"/>
  <c r="X33"/>
  <c r="X38" s="1"/>
  <c r="X40" s="1"/>
  <c r="S83"/>
  <c r="S85" s="1"/>
  <c r="S87" s="1"/>
  <c r="S33"/>
  <c r="S38" s="1"/>
  <c r="S40" s="1"/>
  <c r="S65"/>
  <c r="S67" s="1"/>
  <c r="AE65"/>
  <c r="AE67" s="1"/>
  <c r="AE80"/>
  <c r="N74"/>
  <c r="N80" s="1"/>
  <c r="N67"/>
  <c r="O74"/>
  <c r="O80" s="1"/>
  <c r="M67"/>
  <c r="O67"/>
  <c r="L65"/>
  <c r="L54"/>
  <c r="L16"/>
  <c r="B37" i="4" l="1"/>
  <c r="D35" i="5"/>
  <c r="O83" i="1"/>
  <c r="O85" s="1"/>
  <c r="O87" s="1"/>
  <c r="O33" s="1"/>
  <c r="O38" s="1"/>
  <c r="O40" s="1"/>
  <c r="N83"/>
  <c r="N85" s="1"/>
  <c r="N87" s="1"/>
  <c r="N33" s="1"/>
  <c r="N38" s="1"/>
  <c r="N40" s="1"/>
  <c r="AE83"/>
  <c r="AE85" s="1"/>
  <c r="AE87" s="1"/>
  <c r="AE38"/>
  <c r="AE40" s="1"/>
  <c r="S38" i="2"/>
  <c r="L67" i="1"/>
  <c r="L29"/>
  <c r="L74" s="1"/>
  <c r="L80" s="1"/>
  <c r="M38"/>
  <c r="M40" s="1"/>
  <c r="D16"/>
  <c r="Q54" i="2"/>
  <c r="AI65" i="1"/>
  <c r="AI54"/>
  <c r="AB54"/>
  <c r="AG29"/>
  <c r="Q65"/>
  <c r="H16" i="2"/>
  <c r="D34" i="4"/>
  <c r="BI37" i="13" s="1"/>
  <c r="I29" i="1"/>
  <c r="D16" i="2"/>
  <c r="G16" i="1"/>
  <c r="V65"/>
  <c r="Q16" i="2"/>
  <c r="Q29"/>
  <c r="Q65"/>
  <c r="P16"/>
  <c r="P29"/>
  <c r="P74" s="1"/>
  <c r="P80" s="1"/>
  <c r="O65"/>
  <c r="O16"/>
  <c r="O29"/>
  <c r="N54"/>
  <c r="N16"/>
  <c r="N29"/>
  <c r="M16"/>
  <c r="M29"/>
  <c r="M54"/>
  <c r="M65"/>
  <c r="L29"/>
  <c r="L16"/>
  <c r="L54"/>
  <c r="L65"/>
  <c r="K16"/>
  <c r="K29"/>
  <c r="K54"/>
  <c r="K65"/>
  <c r="J16"/>
  <c r="J29"/>
  <c r="J65"/>
  <c r="J54"/>
  <c r="I16"/>
  <c r="I29"/>
  <c r="I54"/>
  <c r="I65"/>
  <c r="H54"/>
  <c r="H65"/>
  <c r="G29"/>
  <c r="G16"/>
  <c r="G54"/>
  <c r="G65"/>
  <c r="F16"/>
  <c r="F29"/>
  <c r="F54"/>
  <c r="F65"/>
  <c r="E16"/>
  <c r="E54"/>
  <c r="E65"/>
  <c r="D29"/>
  <c r="D54"/>
  <c r="D65"/>
  <c r="C29"/>
  <c r="C54"/>
  <c r="C65"/>
  <c r="AI16" i="1"/>
  <c r="AI29"/>
  <c r="AH16"/>
  <c r="AH29"/>
  <c r="AH54"/>
  <c r="AH65"/>
  <c r="AG16"/>
  <c r="AG74" s="1"/>
  <c r="AG80" s="1"/>
  <c r="AG54"/>
  <c r="AG65"/>
  <c r="AF65"/>
  <c r="AF16"/>
  <c r="AF29"/>
  <c r="AD54"/>
  <c r="AD16"/>
  <c r="AD29"/>
  <c r="AC29"/>
  <c r="AC16"/>
  <c r="AC54"/>
  <c r="AC65"/>
  <c r="AB65"/>
  <c r="AB16"/>
  <c r="AB29"/>
  <c r="AA65"/>
  <c r="AA16"/>
  <c r="AA29"/>
  <c r="Z16"/>
  <c r="Z29"/>
  <c r="Z54"/>
  <c r="Z65"/>
  <c r="W16"/>
  <c r="W29"/>
  <c r="W54"/>
  <c r="W65"/>
  <c r="V16"/>
  <c r="V29"/>
  <c r="V54"/>
  <c r="U29"/>
  <c r="U16"/>
  <c r="U54"/>
  <c r="T29"/>
  <c r="T16"/>
  <c r="T65"/>
  <c r="T54"/>
  <c r="R16"/>
  <c r="R29"/>
  <c r="R54"/>
  <c r="R65"/>
  <c r="Q16"/>
  <c r="Q29"/>
  <c r="Q54"/>
  <c r="P16"/>
  <c r="P29"/>
  <c r="P54"/>
  <c r="K16"/>
  <c r="K54"/>
  <c r="K65"/>
  <c r="J16"/>
  <c r="J54"/>
  <c r="J65"/>
  <c r="I16"/>
  <c r="I54"/>
  <c r="I65"/>
  <c r="H29"/>
  <c r="H16"/>
  <c r="H54"/>
  <c r="H65"/>
  <c r="G29"/>
  <c r="G54"/>
  <c r="G65"/>
  <c r="F16"/>
  <c r="F29"/>
  <c r="F54"/>
  <c r="F65"/>
  <c r="E16"/>
  <c r="E29"/>
  <c r="E54"/>
  <c r="E65"/>
  <c r="D29"/>
  <c r="D54"/>
  <c r="D65"/>
  <c r="C16"/>
  <c r="B16" s="1"/>
  <c r="C29"/>
  <c r="C54"/>
  <c r="C65"/>
  <c r="D16" i="4"/>
  <c r="D11"/>
  <c r="D59"/>
  <c r="BI62" i="13" s="1"/>
  <c r="D55" i="4"/>
  <c r="D50"/>
  <c r="BI53" i="13" s="1"/>
  <c r="D49" i="4"/>
  <c r="D47"/>
  <c r="BI50" i="13" s="1"/>
  <c r="D46" i="4"/>
  <c r="BI49" i="13" s="1"/>
  <c r="D44" i="4"/>
  <c r="D43"/>
  <c r="D41"/>
  <c r="D33"/>
  <c r="D24"/>
  <c r="D20"/>
  <c r="BI23" i="13" s="1"/>
  <c r="D18" i="4"/>
  <c r="BI21" i="13" s="1"/>
  <c r="D17" i="4"/>
  <c r="D12"/>
  <c r="BI15" i="13" s="1"/>
  <c r="D10" i="4"/>
  <c r="F11" i="5" l="1"/>
  <c r="H11" s="1"/>
  <c r="BI14" i="13"/>
  <c r="F16" i="5"/>
  <c r="H16" s="1"/>
  <c r="BI19" i="13"/>
  <c r="B37" i="5"/>
  <c r="H74" i="1"/>
  <c r="F10" i="4"/>
  <c r="J10" i="5" s="1"/>
  <c r="L10" s="1"/>
  <c r="F10"/>
  <c r="H10" s="1"/>
  <c r="F33" i="4"/>
  <c r="J33" i="5" s="1"/>
  <c r="L33" s="1"/>
  <c r="F33"/>
  <c r="H33" s="1"/>
  <c r="F44" i="4"/>
  <c r="J44" i="5" s="1"/>
  <c r="L44" s="1"/>
  <c r="F44"/>
  <c r="H44" s="1"/>
  <c r="F24" i="4"/>
  <c r="J24" i="5" s="1"/>
  <c r="L24" s="1"/>
  <c r="F24"/>
  <c r="H24" s="1"/>
  <c r="F43" i="4"/>
  <c r="J43" i="5" s="1"/>
  <c r="L43" s="1"/>
  <c r="F43"/>
  <c r="H43" s="1"/>
  <c r="F46" i="4"/>
  <c r="J46" i="5" s="1"/>
  <c r="L46" s="1"/>
  <c r="F46"/>
  <c r="H46" s="1"/>
  <c r="F49" i="4"/>
  <c r="J49" s="1"/>
  <c r="F49" i="5"/>
  <c r="H49" s="1"/>
  <c r="F55" i="4"/>
  <c r="J55" s="1"/>
  <c r="F55" i="5"/>
  <c r="H55" s="1"/>
  <c r="F17" i="4"/>
  <c r="J17" s="1"/>
  <c r="F17" i="5"/>
  <c r="H17" s="1"/>
  <c r="F41" i="4"/>
  <c r="J41" i="5" s="1"/>
  <c r="L41" s="1"/>
  <c r="F41"/>
  <c r="H41" s="1"/>
  <c r="J10" i="4"/>
  <c r="F20"/>
  <c r="F20" i="5"/>
  <c r="H20" s="1"/>
  <c r="F47" i="4"/>
  <c r="F47" i="5"/>
  <c r="H47" s="1"/>
  <c r="F59" i="4"/>
  <c r="F59" i="5"/>
  <c r="H59" s="1"/>
  <c r="F12" i="4"/>
  <c r="F12" i="5"/>
  <c r="H12" s="1"/>
  <c r="F18" i="4"/>
  <c r="F18" i="5"/>
  <c r="H18" s="1"/>
  <c r="J46" i="4"/>
  <c r="F34"/>
  <c r="F34" i="5"/>
  <c r="H34" s="1"/>
  <c r="J33" i="4"/>
  <c r="J44"/>
  <c r="F50"/>
  <c r="F50" i="5"/>
  <c r="H50" s="1"/>
  <c r="D37"/>
  <c r="B66" i="4"/>
  <c r="F11"/>
  <c r="J11" i="5" s="1"/>
  <c r="L11" s="1"/>
  <c r="F16" i="4"/>
  <c r="J74" i="2"/>
  <c r="AA74" i="1"/>
  <c r="AA80" s="1"/>
  <c r="AA83" s="1"/>
  <c r="AA85" s="1"/>
  <c r="AA87" s="1"/>
  <c r="P83" i="2"/>
  <c r="P85" s="1"/>
  <c r="P87" s="1"/>
  <c r="P33" s="1"/>
  <c r="AG83" i="1"/>
  <c r="AG85" s="1"/>
  <c r="AG87" s="1"/>
  <c r="L83"/>
  <c r="L85" s="1"/>
  <c r="L87" s="1"/>
  <c r="L33" s="1"/>
  <c r="L38" s="1"/>
  <c r="L40" s="1"/>
  <c r="S40" i="2"/>
  <c r="F67"/>
  <c r="I67"/>
  <c r="L67"/>
  <c r="E10" i="3"/>
  <c r="D9" i="4"/>
  <c r="BI12" i="13" s="1"/>
  <c r="D22" i="4"/>
  <c r="BI25" i="13" s="1"/>
  <c r="H80" i="1"/>
  <c r="H67"/>
  <c r="J67"/>
  <c r="Z67"/>
  <c r="AF74"/>
  <c r="AF80" s="1"/>
  <c r="R67"/>
  <c r="T67"/>
  <c r="AC67"/>
  <c r="K67" i="2"/>
  <c r="N74"/>
  <c r="N80" s="1"/>
  <c r="Q67"/>
  <c r="D54" i="4"/>
  <c r="BI57" i="13" s="1"/>
  <c r="D57" i="4"/>
  <c r="BI60" i="13" s="1"/>
  <c r="D60" i="4"/>
  <c r="BI63" i="13" s="1"/>
  <c r="V67" i="1"/>
  <c r="AH67"/>
  <c r="G74" i="2"/>
  <c r="G80" s="1"/>
  <c r="J80"/>
  <c r="M67"/>
  <c r="M74"/>
  <c r="M80" s="1"/>
  <c r="O74"/>
  <c r="O80" s="1"/>
  <c r="Q74"/>
  <c r="Q80" s="1"/>
  <c r="E9" i="3"/>
  <c r="D40" i="4"/>
  <c r="BI43" i="13" s="1"/>
  <c r="R54" i="2"/>
  <c r="P65"/>
  <c r="B65" s="1"/>
  <c r="E29"/>
  <c r="D74" i="1"/>
  <c r="D80" s="1"/>
  <c r="E67"/>
  <c r="E74"/>
  <c r="E80" s="1"/>
  <c r="F67"/>
  <c r="K67"/>
  <c r="Q67"/>
  <c r="U74"/>
  <c r="U80" s="1"/>
  <c r="D74" i="2"/>
  <c r="D80" s="1"/>
  <c r="R16"/>
  <c r="P65" i="1"/>
  <c r="F74"/>
  <c r="F80" s="1"/>
  <c r="AI67"/>
  <c r="C67"/>
  <c r="D67"/>
  <c r="G67"/>
  <c r="I67"/>
  <c r="P74"/>
  <c r="P80" s="1"/>
  <c r="W74"/>
  <c r="AI74"/>
  <c r="AI80" s="1"/>
  <c r="E8" i="3"/>
  <c r="J29" i="1"/>
  <c r="J74" s="1"/>
  <c r="J80" s="1"/>
  <c r="R29" i="2"/>
  <c r="K29" i="1"/>
  <c r="C74"/>
  <c r="C80" s="1"/>
  <c r="AB67"/>
  <c r="G74"/>
  <c r="G80" s="1"/>
  <c r="D19" i="4"/>
  <c r="BI22" i="13" s="1"/>
  <c r="D21" i="4"/>
  <c r="BI24" i="13" s="1"/>
  <c r="D23" i="4"/>
  <c r="BI26" i="13" s="1"/>
  <c r="D25" i="4"/>
  <c r="BI28" i="13" s="1"/>
  <c r="L74" i="2"/>
  <c r="R74" i="1"/>
  <c r="T74"/>
  <c r="T80" s="1"/>
  <c r="V74"/>
  <c r="W67"/>
  <c r="Z74"/>
  <c r="Z80" s="1"/>
  <c r="AB74"/>
  <c r="AB80" s="1"/>
  <c r="AC74"/>
  <c r="AC80" s="1"/>
  <c r="AD74"/>
  <c r="AD80" s="1"/>
  <c r="AG67"/>
  <c r="AH74"/>
  <c r="AH80" s="1"/>
  <c r="C67" i="2"/>
  <c r="D67"/>
  <c r="E67"/>
  <c r="F74"/>
  <c r="F80" s="1"/>
  <c r="G67"/>
  <c r="H67"/>
  <c r="I74"/>
  <c r="I80" s="1"/>
  <c r="J67"/>
  <c r="K74"/>
  <c r="AG38" i="1"/>
  <c r="AG40" s="1"/>
  <c r="I74"/>
  <c r="I80" s="1"/>
  <c r="J55" i="5" l="1"/>
  <c r="L55" s="1"/>
  <c r="J24" i="4"/>
  <c r="N24" s="1"/>
  <c r="J17" i="5"/>
  <c r="L17" s="1"/>
  <c r="J49"/>
  <c r="L49" s="1"/>
  <c r="J43" i="4"/>
  <c r="J41"/>
  <c r="R41" i="5" s="1"/>
  <c r="T41" s="1"/>
  <c r="E74" i="2"/>
  <c r="E80" s="1"/>
  <c r="E83" s="1"/>
  <c r="E85" s="1"/>
  <c r="E87" s="1"/>
  <c r="E33" s="1"/>
  <c r="E38" s="1"/>
  <c r="E40" s="1"/>
  <c r="B29"/>
  <c r="B29" i="1"/>
  <c r="P67"/>
  <c r="F40" i="4"/>
  <c r="F40" i="5"/>
  <c r="H40" s="1"/>
  <c r="F60" i="4"/>
  <c r="F60" i="5"/>
  <c r="H60" s="1"/>
  <c r="F54" i="4"/>
  <c r="F54" i="5"/>
  <c r="H54" s="1"/>
  <c r="F22" i="4"/>
  <c r="F22" i="5"/>
  <c r="H22" s="1"/>
  <c r="J50" i="4"/>
  <c r="J50" i="5"/>
  <c r="L50" s="1"/>
  <c r="N44" i="4"/>
  <c r="R44" i="5"/>
  <c r="T44" s="1"/>
  <c r="N33" i="4"/>
  <c r="R33" i="5"/>
  <c r="T33" s="1"/>
  <c r="N17" i="4"/>
  <c r="R17" i="5"/>
  <c r="T17" s="1"/>
  <c r="J34" i="4"/>
  <c r="J34" i="5"/>
  <c r="L34" s="1"/>
  <c r="N55" i="4"/>
  <c r="R55" i="5"/>
  <c r="T55" s="1"/>
  <c r="N49" i="4"/>
  <c r="R49" i="5"/>
  <c r="T49" s="1"/>
  <c r="N46" i="4"/>
  <c r="R46" i="5"/>
  <c r="T46" s="1"/>
  <c r="N43" i="4"/>
  <c r="R43" i="5"/>
  <c r="T43" s="1"/>
  <c r="J18" i="4"/>
  <c r="J18" i="5"/>
  <c r="L18" s="1"/>
  <c r="J12" i="4"/>
  <c r="J12" i="5"/>
  <c r="L12" s="1"/>
  <c r="J59" i="4"/>
  <c r="J59" i="5"/>
  <c r="L59" s="1"/>
  <c r="J47" i="4"/>
  <c r="J47" i="5"/>
  <c r="L47" s="1"/>
  <c r="J20" i="4"/>
  <c r="J20" i="5"/>
  <c r="L20" s="1"/>
  <c r="N10" i="4"/>
  <c r="R10" i="5"/>
  <c r="T10" s="1"/>
  <c r="F21" i="4"/>
  <c r="F21" i="5"/>
  <c r="H21" s="1"/>
  <c r="F57" i="4"/>
  <c r="F57" i="5"/>
  <c r="H57" s="1"/>
  <c r="F9" i="4"/>
  <c r="F13" s="1"/>
  <c r="J13" i="5" s="1"/>
  <c r="L13" s="1"/>
  <c r="F9"/>
  <c r="H9" s="1"/>
  <c r="J16" i="4"/>
  <c r="J16" i="5"/>
  <c r="L16" s="1"/>
  <c r="F23" i="4"/>
  <c r="F23" i="5"/>
  <c r="H23" s="1"/>
  <c r="F19" i="4"/>
  <c r="F19" i="5"/>
  <c r="H19" s="1"/>
  <c r="F25" i="4"/>
  <c r="F25" i="5"/>
  <c r="H25" s="1"/>
  <c r="E11" i="3"/>
  <c r="B67" i="4"/>
  <c r="C21" i="7"/>
  <c r="C11"/>
  <c r="D13" i="4"/>
  <c r="J11"/>
  <c r="R11" i="5" s="1"/>
  <c r="T11" s="1"/>
  <c r="D26" i="4"/>
  <c r="AA33" i="1"/>
  <c r="AA38" s="1"/>
  <c r="AA40" s="1"/>
  <c r="F83" i="2"/>
  <c r="F85" s="1"/>
  <c r="F87" s="1"/>
  <c r="F33" s="1"/>
  <c r="F38" s="1"/>
  <c r="F40" s="1"/>
  <c r="D83"/>
  <c r="D85" s="1"/>
  <c r="D87" s="1"/>
  <c r="D33" s="1"/>
  <c r="D38" s="1"/>
  <c r="D40" s="1"/>
  <c r="Q38"/>
  <c r="Q40" s="1"/>
  <c r="Q83"/>
  <c r="Q85" s="1"/>
  <c r="Q87" s="1"/>
  <c r="M83"/>
  <c r="M85" s="1"/>
  <c r="M87" s="1"/>
  <c r="M33" s="1"/>
  <c r="M38" s="1"/>
  <c r="M40" s="1"/>
  <c r="J83"/>
  <c r="J85" s="1"/>
  <c r="J87" s="1"/>
  <c r="J33" s="1"/>
  <c r="J38" s="1"/>
  <c r="J40" s="1"/>
  <c r="I83"/>
  <c r="I85" s="1"/>
  <c r="I87" s="1"/>
  <c r="I33" s="1"/>
  <c r="I38" s="1"/>
  <c r="I40" s="1"/>
  <c r="O38"/>
  <c r="O40" s="1"/>
  <c r="O83"/>
  <c r="O85" s="1"/>
  <c r="O87" s="1"/>
  <c r="G83"/>
  <c r="G85" s="1"/>
  <c r="G87" s="1"/>
  <c r="G33" s="1"/>
  <c r="G38" s="1"/>
  <c r="G40" s="1"/>
  <c r="N83"/>
  <c r="N85" s="1"/>
  <c r="N87" s="1"/>
  <c r="N33" s="1"/>
  <c r="N38" s="1"/>
  <c r="N40" s="1"/>
  <c r="AC83" i="1"/>
  <c r="AC85" s="1"/>
  <c r="AC87" s="1"/>
  <c r="AC33" s="1"/>
  <c r="AC38" s="1"/>
  <c r="AC40" s="1"/>
  <c r="G83"/>
  <c r="G85" s="1"/>
  <c r="G87" s="1"/>
  <c r="G33" s="1"/>
  <c r="G38" s="1"/>
  <c r="G40" s="1"/>
  <c r="I83"/>
  <c r="I85" s="1"/>
  <c r="I87" s="1"/>
  <c r="I33" s="1"/>
  <c r="I38" s="1"/>
  <c r="I40" s="1"/>
  <c r="Z83"/>
  <c r="Z85" s="1"/>
  <c r="Z87" s="1"/>
  <c r="Z33"/>
  <c r="Z38" s="1"/>
  <c r="Z40" s="1"/>
  <c r="C83"/>
  <c r="C85" s="1"/>
  <c r="C87" s="1"/>
  <c r="AH83"/>
  <c r="AH85" s="1"/>
  <c r="AH87" s="1"/>
  <c r="AH33" s="1"/>
  <c r="AH38" s="1"/>
  <c r="AH40" s="1"/>
  <c r="AD83"/>
  <c r="AD85" s="1"/>
  <c r="AD87" s="1"/>
  <c r="AD33" s="1"/>
  <c r="AD38" s="1"/>
  <c r="AD40" s="1"/>
  <c r="AB83"/>
  <c r="AB85" s="1"/>
  <c r="AB87" s="1"/>
  <c r="AB33" s="1"/>
  <c r="AB38" s="1"/>
  <c r="AB40" s="1"/>
  <c r="T83"/>
  <c r="T85" s="1"/>
  <c r="T87" s="1"/>
  <c r="T33" s="1"/>
  <c r="T38" s="1"/>
  <c r="T40" s="1"/>
  <c r="J83"/>
  <c r="J85" s="1"/>
  <c r="J87" s="1"/>
  <c r="J33" s="1"/>
  <c r="J38" s="1"/>
  <c r="J40" s="1"/>
  <c r="AI83"/>
  <c r="AI85" s="1"/>
  <c r="AI87" s="1"/>
  <c r="AI33" s="1"/>
  <c r="AI38" s="1"/>
  <c r="AI40" s="1"/>
  <c r="P83"/>
  <c r="P85" s="1"/>
  <c r="P87" s="1"/>
  <c r="P33" s="1"/>
  <c r="P38" s="1"/>
  <c r="P40" s="1"/>
  <c r="F83"/>
  <c r="F85" s="1"/>
  <c r="F87" s="1"/>
  <c r="F33" s="1"/>
  <c r="F38" s="1"/>
  <c r="F40" s="1"/>
  <c r="U83"/>
  <c r="U85" s="1"/>
  <c r="U87" s="1"/>
  <c r="U33" s="1"/>
  <c r="U38" s="1"/>
  <c r="U40" s="1"/>
  <c r="E83"/>
  <c r="E85" s="1"/>
  <c r="E87" s="1"/>
  <c r="E33" s="1"/>
  <c r="E38" s="1"/>
  <c r="E40" s="1"/>
  <c r="D83"/>
  <c r="D85" s="1"/>
  <c r="D87" s="1"/>
  <c r="D33" s="1"/>
  <c r="D38" s="1"/>
  <c r="D40" s="1"/>
  <c r="AF83"/>
  <c r="AF85" s="1"/>
  <c r="AF87" s="1"/>
  <c r="AF33" s="1"/>
  <c r="AF38" s="1"/>
  <c r="AF40" s="1"/>
  <c r="H83"/>
  <c r="D27" i="4"/>
  <c r="BI30" i="13" s="1"/>
  <c r="V80" i="1"/>
  <c r="D28" i="4"/>
  <c r="BI31" i="13" s="1"/>
  <c r="Q74" i="1"/>
  <c r="Q80" s="1"/>
  <c r="D29" i="4"/>
  <c r="BI32" i="13" s="1"/>
  <c r="K74" i="1"/>
  <c r="K80" s="1"/>
  <c r="R74" i="2"/>
  <c r="R80" s="1"/>
  <c r="N65"/>
  <c r="D45" i="4"/>
  <c r="BI48" i="13" s="1"/>
  <c r="H74" i="2"/>
  <c r="H80" s="1"/>
  <c r="W80" i="1"/>
  <c r="P54" i="2"/>
  <c r="P67" s="1"/>
  <c r="AD65" i="1"/>
  <c r="AD67" s="1"/>
  <c r="D58" i="4"/>
  <c r="BI61" i="13" s="1"/>
  <c r="C16" i="2"/>
  <c r="B16" s="1"/>
  <c r="R65"/>
  <c r="R67" s="1"/>
  <c r="P38"/>
  <c r="P40" s="1"/>
  <c r="R24" i="5" l="1"/>
  <c r="T24" s="1"/>
  <c r="F26"/>
  <c r="H26" s="1"/>
  <c r="BI29" i="13"/>
  <c r="F13" i="5"/>
  <c r="H13" s="1"/>
  <c r="BI16" i="13"/>
  <c r="N41" i="4"/>
  <c r="BD70" i="13"/>
  <c r="BC70"/>
  <c r="BB70"/>
  <c r="AW70"/>
  <c r="AO70"/>
  <c r="AK70"/>
  <c r="AF70"/>
  <c r="O70"/>
  <c r="I70"/>
  <c r="V70"/>
  <c r="AZ70"/>
  <c r="Y70"/>
  <c r="F70"/>
  <c r="AS70"/>
  <c r="AN70"/>
  <c r="AJ70"/>
  <c r="AE70"/>
  <c r="AX70"/>
  <c r="AP70"/>
  <c r="AL70"/>
  <c r="AG70"/>
  <c r="AB70"/>
  <c r="Q70"/>
  <c r="T70"/>
  <c r="W70"/>
  <c r="J70"/>
  <c r="N70"/>
  <c r="AY70"/>
  <c r="AR70"/>
  <c r="AM70"/>
  <c r="AH70"/>
  <c r="AC70"/>
  <c r="X70"/>
  <c r="S70"/>
  <c r="M70"/>
  <c r="G70"/>
  <c r="BA70"/>
  <c r="AA70"/>
  <c r="D70"/>
  <c r="H70"/>
  <c r="C70"/>
  <c r="F63" i="12"/>
  <c r="E63"/>
  <c r="H63"/>
  <c r="J63"/>
  <c r="G63"/>
  <c r="I63"/>
  <c r="D63"/>
  <c r="J63" i="10"/>
  <c r="H63"/>
  <c r="F63"/>
  <c r="I63"/>
  <c r="G63"/>
  <c r="D63"/>
  <c r="E63"/>
  <c r="U70" i="2"/>
  <c r="W70"/>
  <c r="AK70" i="1"/>
  <c r="AL70"/>
  <c r="AN70"/>
  <c r="V70" i="2"/>
  <c r="T70"/>
  <c r="AM70" i="1"/>
  <c r="AJ70"/>
  <c r="B65"/>
  <c r="B74"/>
  <c r="F26" i="4"/>
  <c r="C9" i="6" s="1"/>
  <c r="C26" s="1"/>
  <c r="C28" s="1"/>
  <c r="E28" s="1"/>
  <c r="H85" i="1"/>
  <c r="F45" i="4"/>
  <c r="F45" i="5"/>
  <c r="H45" s="1"/>
  <c r="F29" i="4"/>
  <c r="F29" i="5"/>
  <c r="H29" s="1"/>
  <c r="F27" i="4"/>
  <c r="F27" i="5"/>
  <c r="H27" s="1"/>
  <c r="J25" i="4"/>
  <c r="J25" i="5"/>
  <c r="L25" s="1"/>
  <c r="J19" i="4"/>
  <c r="J19" i="5"/>
  <c r="L19" s="1"/>
  <c r="J23" i="4"/>
  <c r="J23" i="5"/>
  <c r="L23" s="1"/>
  <c r="N16" i="4"/>
  <c r="R16" i="5"/>
  <c r="T16" s="1"/>
  <c r="J9" i="4"/>
  <c r="R9" i="5" s="1"/>
  <c r="T9" s="1"/>
  <c r="J9"/>
  <c r="L9" s="1"/>
  <c r="J57" i="4"/>
  <c r="J57" i="5"/>
  <c r="L57" s="1"/>
  <c r="J21" i="4"/>
  <c r="J21" i="5"/>
  <c r="L21" s="1"/>
  <c r="N20" i="4"/>
  <c r="R20" i="5"/>
  <c r="T20" s="1"/>
  <c r="N47" i="4"/>
  <c r="R47" i="5"/>
  <c r="T47" s="1"/>
  <c r="N59" i="4"/>
  <c r="R59" i="5"/>
  <c r="T59" s="1"/>
  <c r="N12" i="4"/>
  <c r="R12" i="5"/>
  <c r="T12" s="1"/>
  <c r="N18" i="4"/>
  <c r="R18" i="5"/>
  <c r="T18" s="1"/>
  <c r="N34" i="4"/>
  <c r="R34" i="5"/>
  <c r="T34" s="1"/>
  <c r="N50" i="4"/>
  <c r="R50" i="5"/>
  <c r="T50" s="1"/>
  <c r="J22" i="4"/>
  <c r="R22" i="5" s="1"/>
  <c r="T22" s="1"/>
  <c r="J22"/>
  <c r="L22" s="1"/>
  <c r="J54" i="4"/>
  <c r="J54" i="5"/>
  <c r="L54" s="1"/>
  <c r="J60" i="4"/>
  <c r="J60" i="5"/>
  <c r="L60" s="1"/>
  <c r="J40" i="4"/>
  <c r="J40" i="5"/>
  <c r="L40" s="1"/>
  <c r="F58" i="4"/>
  <c r="F58" i="5"/>
  <c r="H58" s="1"/>
  <c r="F28" i="4"/>
  <c r="F28" i="5"/>
  <c r="H28" s="1"/>
  <c r="B67"/>
  <c r="D67" s="1"/>
  <c r="AH70" i="1"/>
  <c r="AD70"/>
  <c r="AB70"/>
  <c r="Z70"/>
  <c r="X70"/>
  <c r="T70"/>
  <c r="P70"/>
  <c r="N70"/>
  <c r="L70"/>
  <c r="J70"/>
  <c r="F70"/>
  <c r="D70"/>
  <c r="AI70"/>
  <c r="AG70"/>
  <c r="AE70"/>
  <c r="AC70"/>
  <c r="Y70"/>
  <c r="S70"/>
  <c r="O70"/>
  <c r="M70"/>
  <c r="I70"/>
  <c r="G70"/>
  <c r="E70"/>
  <c r="S71" i="2"/>
  <c r="Q71"/>
  <c r="M71"/>
  <c r="I71"/>
  <c r="G71"/>
  <c r="E71"/>
  <c r="AH71" i="1"/>
  <c r="AD71"/>
  <c r="AB71"/>
  <c r="Z71"/>
  <c r="X71"/>
  <c r="T71"/>
  <c r="P71"/>
  <c r="N71"/>
  <c r="L71"/>
  <c r="J71"/>
  <c r="F71"/>
  <c r="D71"/>
  <c r="P71" i="2"/>
  <c r="J71"/>
  <c r="F71"/>
  <c r="D71"/>
  <c r="AI71" i="1"/>
  <c r="AG71"/>
  <c r="AE71"/>
  <c r="AC71"/>
  <c r="Y71"/>
  <c r="S71"/>
  <c r="O71"/>
  <c r="M71"/>
  <c r="I71"/>
  <c r="G71"/>
  <c r="E71"/>
  <c r="B68" i="4"/>
  <c r="J13"/>
  <c r="N11"/>
  <c r="D71"/>
  <c r="L33" i="2"/>
  <c r="C33" i="1"/>
  <c r="H83" i="2"/>
  <c r="H85" s="1"/>
  <c r="H87" s="1"/>
  <c r="H33" s="1"/>
  <c r="H38" s="1"/>
  <c r="H40" s="1"/>
  <c r="H71" s="1"/>
  <c r="R83"/>
  <c r="R85" s="1"/>
  <c r="R87" s="1"/>
  <c r="R33" s="1"/>
  <c r="R38" s="1"/>
  <c r="R40" s="1"/>
  <c r="R71" s="1"/>
  <c r="V83" i="1"/>
  <c r="V85" s="1"/>
  <c r="V87" s="1"/>
  <c r="V33" s="1"/>
  <c r="V38" s="1"/>
  <c r="V40" s="1"/>
  <c r="W83"/>
  <c r="W85" s="1"/>
  <c r="W87" s="1"/>
  <c r="W33" s="1"/>
  <c r="W38" s="1"/>
  <c r="W40" s="1"/>
  <c r="K83"/>
  <c r="K85" s="1"/>
  <c r="K87" s="1"/>
  <c r="K33" s="1"/>
  <c r="K38" s="1"/>
  <c r="K40" s="1"/>
  <c r="Q83"/>
  <c r="Q85" s="1"/>
  <c r="Q87" s="1"/>
  <c r="Q33" s="1"/>
  <c r="Q38" s="1"/>
  <c r="Q40" s="1"/>
  <c r="C74" i="2"/>
  <c r="B74" s="1"/>
  <c r="N67"/>
  <c r="N71" s="1"/>
  <c r="D42" i="4"/>
  <c r="BI45" i="13" s="1"/>
  <c r="U65" i="1"/>
  <c r="D56" i="4"/>
  <c r="AF54" i="1"/>
  <c r="AF67" s="1"/>
  <c r="AF71" s="1"/>
  <c r="J26" i="5" l="1"/>
  <c r="L26" s="1"/>
  <c r="F70"/>
  <c r="H70" s="1"/>
  <c r="BI74" i="13"/>
  <c r="F56" i="5"/>
  <c r="H56" s="1"/>
  <c r="BI59" i="13"/>
  <c r="AO51" i="1"/>
  <c r="K45" i="10" s="1"/>
  <c r="AP54" i="1"/>
  <c r="F71" i="4"/>
  <c r="J70" i="5" s="1"/>
  <c r="L70" s="1"/>
  <c r="H87" i="1"/>
  <c r="F42" i="4"/>
  <c r="F42" i="5"/>
  <c r="H42" s="1"/>
  <c r="J28" i="4"/>
  <c r="J28" i="5"/>
  <c r="L28" s="1"/>
  <c r="J58" i="4"/>
  <c r="J58" i="5"/>
  <c r="L58" s="1"/>
  <c r="N40" i="4"/>
  <c r="R40" i="5"/>
  <c r="T40" s="1"/>
  <c r="N60" i="4"/>
  <c r="R60" i="5"/>
  <c r="T60" s="1"/>
  <c r="N54" i="4"/>
  <c r="R54" i="5"/>
  <c r="T54" s="1"/>
  <c r="N21" i="4"/>
  <c r="R21" i="5"/>
  <c r="T21" s="1"/>
  <c r="N57" i="4"/>
  <c r="R57" i="5"/>
  <c r="T57" s="1"/>
  <c r="N23" i="4"/>
  <c r="R23" i="5"/>
  <c r="T23" s="1"/>
  <c r="N19" i="4"/>
  <c r="R19" i="5"/>
  <c r="T19" s="1"/>
  <c r="J26" i="4"/>
  <c r="C31" i="6" s="1"/>
  <c r="C45" s="1"/>
  <c r="C47" s="1"/>
  <c r="E47" s="1"/>
  <c r="N25" i="4"/>
  <c r="R25" i="5"/>
  <c r="T25" s="1"/>
  <c r="J27" i="4"/>
  <c r="J27" i="5"/>
  <c r="L27" s="1"/>
  <c r="J29" i="4"/>
  <c r="R29" i="5" s="1"/>
  <c r="T29" s="1"/>
  <c r="J29"/>
  <c r="L29" s="1"/>
  <c r="J45" i="4"/>
  <c r="J45" i="5"/>
  <c r="L45" s="1"/>
  <c r="R13"/>
  <c r="T13" s="1"/>
  <c r="K71" i="1"/>
  <c r="K70"/>
  <c r="V71"/>
  <c r="V70"/>
  <c r="Q71"/>
  <c r="Q70"/>
  <c r="W71"/>
  <c r="W70"/>
  <c r="AF70"/>
  <c r="F56" i="4"/>
  <c r="J56" i="5" s="1"/>
  <c r="L56" s="1"/>
  <c r="D62" i="4"/>
  <c r="L38" i="2"/>
  <c r="U67" i="1"/>
  <c r="C80" i="2"/>
  <c r="B51" i="1" l="1"/>
  <c r="C45" i="10"/>
  <c r="C48" s="1"/>
  <c r="C61" s="1"/>
  <c r="K48"/>
  <c r="K61" s="1"/>
  <c r="F62" i="5"/>
  <c r="H62" s="1"/>
  <c r="BI65" i="13"/>
  <c r="X51" i="2"/>
  <c r="X54" s="1"/>
  <c r="X67" s="1"/>
  <c r="AO54" i="1"/>
  <c r="AO67" s="1"/>
  <c r="AP67"/>
  <c r="B54"/>
  <c r="Y54" i="2"/>
  <c r="H33" i="1"/>
  <c r="J71" i="4"/>
  <c r="R70" i="5" s="1"/>
  <c r="T70" s="1"/>
  <c r="R26"/>
  <c r="T26" s="1"/>
  <c r="N58" i="4"/>
  <c r="R58" i="5"/>
  <c r="T58" s="1"/>
  <c r="R28"/>
  <c r="T28" s="1"/>
  <c r="N28" i="4"/>
  <c r="J42"/>
  <c r="J42" i="5"/>
  <c r="L42" s="1"/>
  <c r="N45" i="4"/>
  <c r="R45" i="5"/>
  <c r="T45" s="1"/>
  <c r="N27" i="4"/>
  <c r="R27" i="5"/>
  <c r="T27" s="1"/>
  <c r="U71" i="1"/>
  <c r="U70"/>
  <c r="F62" i="4"/>
  <c r="J62" i="5" s="1"/>
  <c r="L62" s="1"/>
  <c r="J56" i="4"/>
  <c r="R56" i="5" s="1"/>
  <c r="T56" s="1"/>
  <c r="L40" i="2"/>
  <c r="C83"/>
  <c r="C85" s="1"/>
  <c r="C87" s="1"/>
  <c r="C38" i="1"/>
  <c r="B51" i="2" l="1"/>
  <c r="H48" i="4" s="1"/>
  <c r="BE51" i="13"/>
  <c r="B51" s="1"/>
  <c r="K45" i="11"/>
  <c r="BE54" i="13"/>
  <c r="B67" i="1"/>
  <c r="B54" i="2"/>
  <c r="Y67"/>
  <c r="H38" i="1"/>
  <c r="O54" i="2"/>
  <c r="N42" i="4"/>
  <c r="R42" i="5"/>
  <c r="T42" s="1"/>
  <c r="H51" i="4"/>
  <c r="N48" i="5"/>
  <c r="P48" s="1"/>
  <c r="L71" i="2"/>
  <c r="J62" i="4"/>
  <c r="R62" i="5" s="1"/>
  <c r="T62" s="1"/>
  <c r="N56" i="4"/>
  <c r="N62" s="1"/>
  <c r="C33" i="2"/>
  <c r="C40" i="1"/>
  <c r="K48" i="11" l="1"/>
  <c r="K61" s="1"/>
  <c r="K45" i="12"/>
  <c r="C45" i="11"/>
  <c r="C48" s="1"/>
  <c r="C61" s="1"/>
  <c r="BE67" i="13"/>
  <c r="B54"/>
  <c r="B67" i="2"/>
  <c r="H40" i="1"/>
  <c r="O67" i="2"/>
  <c r="O71" s="1"/>
  <c r="H64" i="4"/>
  <c r="N64" i="5" s="1"/>
  <c r="P64" s="1"/>
  <c r="N51"/>
  <c r="P51" s="1"/>
  <c r="C71" i="1"/>
  <c r="C70"/>
  <c r="C45" i="12" l="1"/>
  <c r="C48" s="1"/>
  <c r="C61" s="1"/>
  <c r="K48"/>
  <c r="K61" s="1"/>
  <c r="BE71" i="13"/>
  <c r="B67"/>
  <c r="BE70"/>
  <c r="H70" i="1"/>
  <c r="H71"/>
  <c r="C38" i="2"/>
  <c r="C40" l="1"/>
  <c r="C71" s="1"/>
  <c r="D48" i="4" l="1"/>
  <c r="BI51" i="13" s="1"/>
  <c r="AA54" i="1"/>
  <c r="AA67" l="1"/>
  <c r="F48" i="5"/>
  <c r="H48" s="1"/>
  <c r="D51" i="4"/>
  <c r="BI54" i="13" s="1"/>
  <c r="F48" i="4"/>
  <c r="F51" i="5" l="1"/>
  <c r="H51" s="1"/>
  <c r="D64" i="4"/>
  <c r="AA70" i="1"/>
  <c r="AA71"/>
  <c r="J48" i="5"/>
  <c r="L48" s="1"/>
  <c r="F51" i="4"/>
  <c r="J48"/>
  <c r="F64" i="5" l="1"/>
  <c r="H64" s="1"/>
  <c r="BI67" i="13"/>
  <c r="R48" i="5"/>
  <c r="T48" s="1"/>
  <c r="N48" i="4"/>
  <c r="N51" s="1"/>
  <c r="N64" s="1"/>
  <c r="J51"/>
  <c r="J51" i="5"/>
  <c r="L51" s="1"/>
  <c r="F64" i="4"/>
  <c r="J64" i="5" l="1"/>
  <c r="L64" s="1"/>
  <c r="C10" i="7"/>
  <c r="C12" s="1"/>
  <c r="J64" i="4"/>
  <c r="R51" i="5"/>
  <c r="T51" s="1"/>
  <c r="C24" i="7" l="1"/>
  <c r="C16"/>
  <c r="C20"/>
  <c r="C22" s="1"/>
  <c r="C26" s="1"/>
  <c r="Y77" i="2" s="1"/>
  <c r="Y80" s="1"/>
  <c r="Y83" s="1"/>
  <c r="Y85" s="1"/>
  <c r="Y87" s="1"/>
  <c r="Y33" s="1"/>
  <c r="Y38" s="1"/>
  <c r="Y40" s="1"/>
  <c r="R64" i="5"/>
  <c r="T64" s="1"/>
  <c r="Y70" i="2" l="1"/>
  <c r="Y71"/>
  <c r="AP77" i="1"/>
  <c r="K70" i="10" s="1"/>
  <c r="B77" i="1"/>
  <c r="D74" i="4" s="1"/>
  <c r="AO80" i="1"/>
  <c r="R80"/>
  <c r="K80" i="2"/>
  <c r="K73" i="10" l="1"/>
  <c r="C70"/>
  <c r="BF77" i="13"/>
  <c r="AP80" i="1"/>
  <c r="AP83" s="1"/>
  <c r="AP85" s="1"/>
  <c r="AP87" s="1"/>
  <c r="AP33" s="1"/>
  <c r="AP38" s="1"/>
  <c r="AP40" s="1"/>
  <c r="X80" i="2"/>
  <c r="X83" s="1"/>
  <c r="X85" s="1"/>
  <c r="X87" s="1"/>
  <c r="X33" s="1"/>
  <c r="X38" s="1"/>
  <c r="X40" s="1"/>
  <c r="X70" s="1"/>
  <c r="K70" i="11"/>
  <c r="K76" i="10"/>
  <c r="C73"/>
  <c r="X71" i="2"/>
  <c r="AO83" i="1"/>
  <c r="B77" i="2"/>
  <c r="H74" i="4" s="1"/>
  <c r="H77" s="1"/>
  <c r="D77"/>
  <c r="F73" i="5"/>
  <c r="H73" s="1"/>
  <c r="F74" i="4"/>
  <c r="K83" i="2"/>
  <c r="R83" i="1"/>
  <c r="B80" l="1"/>
  <c r="B77" i="13"/>
  <c r="BI77" s="1"/>
  <c r="BF80"/>
  <c r="AP70" i="1"/>
  <c r="AP71"/>
  <c r="B83" i="2"/>
  <c r="B80"/>
  <c r="C70" i="11"/>
  <c r="K73"/>
  <c r="K70" i="12"/>
  <c r="K78" i="10"/>
  <c r="C76"/>
  <c r="N73" i="5"/>
  <c r="P73" s="1"/>
  <c r="AO85" i="1"/>
  <c r="B83"/>
  <c r="R85"/>
  <c r="K85" i="2"/>
  <c r="B85" s="1"/>
  <c r="J73" i="5"/>
  <c r="L73" s="1"/>
  <c r="J74" i="4"/>
  <c r="F77"/>
  <c r="F76" i="5"/>
  <c r="H76" s="1"/>
  <c r="D80" i="4"/>
  <c r="H80"/>
  <c r="N76" i="5"/>
  <c r="P76" s="1"/>
  <c r="BF83" i="13" l="1"/>
  <c r="B80"/>
  <c r="BI80" s="1"/>
  <c r="K80" i="10"/>
  <c r="C78"/>
  <c r="K76" i="11"/>
  <c r="C73"/>
  <c r="C70" i="12"/>
  <c r="K73"/>
  <c r="AO87" i="1"/>
  <c r="B85"/>
  <c r="N79" i="5"/>
  <c r="P79" s="1"/>
  <c r="H82" i="4"/>
  <c r="R73" i="5"/>
  <c r="T73" s="1"/>
  <c r="J77" i="4"/>
  <c r="N74"/>
  <c r="K87" i="2"/>
  <c r="B87" s="1"/>
  <c r="F79" i="5"/>
  <c r="H79" s="1"/>
  <c r="D82" i="4"/>
  <c r="J76" i="5"/>
  <c r="L76" s="1"/>
  <c r="F80" i="4"/>
  <c r="R87" i="1"/>
  <c r="BF85" i="13" l="1"/>
  <c r="B83"/>
  <c r="BI83" s="1"/>
  <c r="K76" i="12"/>
  <c r="C73"/>
  <c r="K78" i="11"/>
  <c r="C76"/>
  <c r="K27" i="10"/>
  <c r="K32" s="1"/>
  <c r="K34" s="1"/>
  <c r="C80"/>
  <c r="C27" s="1"/>
  <c r="C32" s="1"/>
  <c r="C34" s="1"/>
  <c r="AO33" i="1"/>
  <c r="B87"/>
  <c r="R76" i="5"/>
  <c r="T76" s="1"/>
  <c r="J80" i="4"/>
  <c r="H84"/>
  <c r="N81" i="5"/>
  <c r="R33" i="1"/>
  <c r="F82" i="4"/>
  <c r="J79" i="5"/>
  <c r="L79" s="1"/>
  <c r="F81"/>
  <c r="D84" i="4"/>
  <c r="K33" i="2"/>
  <c r="B33" s="1"/>
  <c r="BF87" i="13" l="1"/>
  <c r="B85"/>
  <c r="BI85" s="1"/>
  <c r="C64" i="10"/>
  <c r="C63"/>
  <c r="K64"/>
  <c r="K63"/>
  <c r="K80" i="11"/>
  <c r="C78"/>
  <c r="K78" i="12"/>
  <c r="C76"/>
  <c r="AO38" i="1"/>
  <c r="B33"/>
  <c r="F83" i="5"/>
  <c r="H83" s="1"/>
  <c r="D30" i="4"/>
  <c r="J82"/>
  <c r="R79" i="5"/>
  <c r="T79" s="1"/>
  <c r="K38" i="2"/>
  <c r="B38" s="1"/>
  <c r="J81" i="5"/>
  <c r="F84" i="4"/>
  <c r="R38" i="1"/>
  <c r="H30" i="4"/>
  <c r="N83" i="5"/>
  <c r="P83" s="1"/>
  <c r="BF33" i="13" l="1"/>
  <c r="B87"/>
  <c r="BI87" s="1"/>
  <c r="K80" i="12"/>
  <c r="C78"/>
  <c r="K27" i="11"/>
  <c r="K32" s="1"/>
  <c r="K34" s="1"/>
  <c r="K64" s="1"/>
  <c r="C80"/>
  <c r="C27" s="1"/>
  <c r="C32" s="1"/>
  <c r="C34" s="1"/>
  <c r="C64" s="1"/>
  <c r="AO40" i="1"/>
  <c r="B38"/>
  <c r="J83" i="5"/>
  <c r="L83" s="1"/>
  <c r="F30" i="4"/>
  <c r="K40" i="2"/>
  <c r="B40" s="1"/>
  <c r="F30" i="5"/>
  <c r="H30" s="1"/>
  <c r="D35" i="4"/>
  <c r="H35"/>
  <c r="N30" i="5"/>
  <c r="P30" s="1"/>
  <c r="R40" i="1"/>
  <c r="J84" i="4"/>
  <c r="R81" i="5"/>
  <c r="BF38" i="13" l="1"/>
  <c r="B33"/>
  <c r="BI33" s="1"/>
  <c r="K27" i="12"/>
  <c r="K32" s="1"/>
  <c r="K34" s="1"/>
  <c r="C80"/>
  <c r="C27" s="1"/>
  <c r="C32" s="1"/>
  <c r="C34" s="1"/>
  <c r="AO71" i="1"/>
  <c r="AO70"/>
  <c r="B40"/>
  <c r="B70" s="1"/>
  <c r="R70"/>
  <c r="R71"/>
  <c r="D37" i="4"/>
  <c r="F35" i="5"/>
  <c r="H35" s="1"/>
  <c r="K71" i="2"/>
  <c r="B71" s="1"/>
  <c r="J30" i="5"/>
  <c r="L30" s="1"/>
  <c r="F35" i="4"/>
  <c r="R83" i="5"/>
  <c r="T83" s="1"/>
  <c r="J30" i="4"/>
  <c r="N35" i="5"/>
  <c r="P35" s="1"/>
  <c r="H37" i="4"/>
  <c r="BF40" i="13" l="1"/>
  <c r="B38"/>
  <c r="BI38" s="1"/>
  <c r="C63" i="12"/>
  <c r="C64"/>
  <c r="K63"/>
  <c r="K64"/>
  <c r="B71" i="1"/>
  <c r="N37" i="5"/>
  <c r="P37" s="1"/>
  <c r="H68" i="4"/>
  <c r="R30" i="5"/>
  <c r="T30" s="1"/>
  <c r="J35" i="4"/>
  <c r="D68"/>
  <c r="F37" i="5"/>
  <c r="H37" s="1"/>
  <c r="J35"/>
  <c r="L35" s="1"/>
  <c r="F37" i="4"/>
  <c r="BF71" i="13" l="1"/>
  <c r="B71" s="1"/>
  <c r="BI71" s="1"/>
  <c r="B40"/>
  <c r="BF70"/>
  <c r="J37" i="4"/>
  <c r="R35" i="5"/>
  <c r="T35" s="1"/>
  <c r="F68" i="4"/>
  <c r="J37" i="5"/>
  <c r="L37" s="1"/>
  <c r="F66" i="4"/>
  <c r="B70" i="13" l="1"/>
  <c r="BI40"/>
  <c r="D66" i="4"/>
  <c r="F67"/>
  <c r="J66"/>
  <c r="J68"/>
  <c r="R37" i="5"/>
  <c r="T37" s="1"/>
  <c r="L9" i="4"/>
  <c r="AT70" i="13" l="1"/>
  <c r="U70"/>
  <c r="P70"/>
  <c r="K70"/>
  <c r="E70"/>
  <c r="AU70"/>
  <c r="AQ70"/>
  <c r="Z70"/>
  <c r="R70"/>
  <c r="L70"/>
  <c r="AD70"/>
  <c r="AV70"/>
  <c r="AI70"/>
  <c r="K63" i="11"/>
  <c r="I63"/>
  <c r="G63"/>
  <c r="E63"/>
  <c r="C63"/>
  <c r="J63"/>
  <c r="H63"/>
  <c r="F63"/>
  <c r="D63"/>
  <c r="L29" i="4"/>
  <c r="V9" i="5"/>
  <c r="X9" s="1"/>
  <c r="L13" i="4"/>
  <c r="L22"/>
  <c r="N9"/>
  <c r="N13" s="1"/>
  <c r="D67"/>
  <c r="F67" i="5" s="1"/>
  <c r="H67" s="1"/>
  <c r="J67"/>
  <c r="L67" s="1"/>
  <c r="I70" i="2"/>
  <c r="F70"/>
  <c r="D70"/>
  <c r="G70"/>
  <c r="C70"/>
  <c r="M70"/>
  <c r="K70"/>
  <c r="E70"/>
  <c r="S70"/>
  <c r="L70"/>
  <c r="O70"/>
  <c r="P70"/>
  <c r="Q70"/>
  <c r="J70"/>
  <c r="R70"/>
  <c r="N70"/>
  <c r="B70"/>
  <c r="H70"/>
  <c r="H66" i="4"/>
  <c r="BI69" i="13" s="1"/>
  <c r="J67" i="4"/>
  <c r="R67" i="5" l="1"/>
  <c r="T67" s="1"/>
  <c r="H67" i="4"/>
  <c r="N67" i="5" s="1"/>
  <c r="P67" s="1"/>
  <c r="V13"/>
  <c r="X13" s="1"/>
  <c r="N29" i="4"/>
  <c r="V29" i="5"/>
  <c r="X29" s="1"/>
  <c r="V22"/>
  <c r="X22" s="1"/>
  <c r="L26" i="4"/>
  <c r="N22"/>
  <c r="N26" s="1"/>
  <c r="BI70" i="13" l="1"/>
  <c r="V26" i="5"/>
  <c r="X26" s="1"/>
  <c r="N71" i="4"/>
  <c r="N77" s="1"/>
  <c r="N80" s="1"/>
  <c r="N82" s="1"/>
  <c r="N84" s="1"/>
  <c r="N30" s="1"/>
  <c r="N35" s="1"/>
  <c r="N37" s="1"/>
  <c r="N66" s="1"/>
  <c r="L71"/>
  <c r="N67" l="1"/>
  <c r="L67" s="1"/>
  <c r="L66"/>
  <c r="L77"/>
  <c r="V70" i="5"/>
  <c r="X70" s="1"/>
  <c r="V76" l="1"/>
  <c r="X76" s="1"/>
  <c r="L80" i="4"/>
  <c r="V79" i="5" l="1"/>
  <c r="X79" s="1"/>
  <c r="L82" i="4"/>
  <c r="V81" i="5" l="1"/>
  <c r="L84" i="4"/>
  <c r="V83" i="5" l="1"/>
  <c r="X83" s="1"/>
  <c r="L30" i="4"/>
  <c r="V30" i="5" l="1"/>
  <c r="X30" s="1"/>
  <c r="L35" i="4"/>
  <c r="V35" i="5" l="1"/>
  <c r="X35" s="1"/>
  <c r="L37" i="4"/>
  <c r="V37" i="5" s="1"/>
  <c r="X37" s="1"/>
</calcChain>
</file>

<file path=xl/sharedStrings.xml><?xml version="1.0" encoding="utf-8"?>
<sst xmlns="http://schemas.openxmlformats.org/spreadsheetml/2006/main" count="1040" uniqueCount="349">
  <si>
    <t>3.1</t>
  </si>
  <si>
    <t>4.1</t>
  </si>
  <si>
    <t>3.2</t>
  </si>
  <si>
    <t>3.3</t>
  </si>
  <si>
    <t>3.4</t>
  </si>
  <si>
    <t>3.5</t>
  </si>
  <si>
    <t>3.6</t>
  </si>
  <si>
    <t>4.2</t>
  </si>
  <si>
    <t>4.3</t>
  </si>
  <si>
    <t>4.4</t>
  </si>
  <si>
    <t>4.5</t>
  </si>
  <si>
    <t>4.6</t>
  </si>
  <si>
    <t>4.7</t>
  </si>
  <si>
    <t>5.1</t>
  </si>
  <si>
    <t>6.1</t>
  </si>
  <si>
    <t>7.1</t>
  </si>
  <si>
    <t>7.2</t>
  </si>
  <si>
    <t>7.3</t>
  </si>
  <si>
    <t>7.4</t>
  </si>
  <si>
    <t>7.7</t>
  </si>
  <si>
    <t>7.8</t>
  </si>
  <si>
    <t>7.9</t>
  </si>
  <si>
    <t>7.10</t>
  </si>
  <si>
    <t>7.11</t>
  </si>
  <si>
    <t>7.12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</si>
  <si>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</si>
  <si>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</si>
  <si>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</si>
  <si>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</si>
  <si>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</si>
  <si>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</si>
  <si>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</si>
  <si>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</si>
  <si>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</si>
  <si>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</si>
  <si>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9.1</t>
  </si>
  <si>
    <t xml:space="preserve">Capital Structure </t>
  </si>
  <si>
    <t>Embedded Cost</t>
  </si>
  <si>
    <t>Weighted Cost</t>
  </si>
  <si>
    <t>DEBT%</t>
  </si>
  <si>
    <t>PREFERRED %</t>
  </si>
  <si>
    <t>COMMON %</t>
  </si>
  <si>
    <t>Tab 6</t>
  </si>
  <si>
    <t>Total Restating Adjustments</t>
  </si>
  <si>
    <t>Tab 3 - Revenue</t>
  </si>
  <si>
    <t>Tab 4 - Operations and Maintenance</t>
  </si>
  <si>
    <t>Tab 5 - Net Power Costs</t>
  </si>
  <si>
    <t>Tab 7 - Taxes</t>
  </si>
  <si>
    <t>Tab 8 - Rate Base</t>
  </si>
  <si>
    <t>5.4</t>
  </si>
  <si>
    <t>5.5</t>
  </si>
  <si>
    <t>4.8</t>
  </si>
  <si>
    <t>5.6</t>
  </si>
  <si>
    <t>5.3</t>
  </si>
  <si>
    <t>7.5</t>
  </si>
  <si>
    <t>7.6</t>
  </si>
  <si>
    <t>8.5.1</t>
  </si>
  <si>
    <t xml:space="preserve">Tab 6 </t>
  </si>
  <si>
    <t>5.2</t>
  </si>
  <si>
    <t>9.1.1</t>
  </si>
  <si>
    <t>PacifiCorp</t>
  </si>
  <si>
    <t>WA General Rate Case - December 2009</t>
  </si>
  <si>
    <t>Estimated Price Change</t>
  </si>
  <si>
    <t>Tab 9 - Prod. Factor</t>
  </si>
  <si>
    <t>Return on Rate Base</t>
  </si>
  <si>
    <t xml:space="preserve">   Operating Revenues:</t>
  </si>
  <si>
    <t>General Business Revenues</t>
  </si>
  <si>
    <t>Interdepartmental</t>
  </si>
  <si>
    <t>Special Sales</t>
  </si>
  <si>
    <t>Other Operating Revenues</t>
  </si>
  <si>
    <t xml:space="preserve">   Total Operating Revenues</t>
  </si>
  <si>
    <t xml:space="preserve">   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</si>
  <si>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</si>
  <si>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</si>
  <si>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</si>
  <si>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</si>
  <si>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</si>
  <si>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</si>
  <si>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</si>
  <si>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</si>
  <si>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</si>
  <si>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</si>
  <si>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 xml:space="preserve">   Total O&amp;M Expenses</t>
  </si>
  <si>
    <t>Depreciation</t>
  </si>
  <si>
    <t xml:space="preserve">Amortization </t>
  </si>
  <si>
    <t>Taxes Other Than Income</t>
  </si>
  <si>
    <t>Income Taxes - Federal</t>
  </si>
  <si>
    <t>Income Taxes - State</t>
  </si>
  <si>
    <t>Income Taxes - Def Net</t>
  </si>
  <si>
    <t>Investment Tax Credit Adj.</t>
  </si>
  <si>
    <t>Misc Revenue &amp; Expense</t>
  </si>
  <si>
    <t xml:space="preserve">   Total Operating Expenses:</t>
  </si>
  <si>
    <t xml:space="preserve">   Operating Rev For Return:</t>
  </si>
  <si>
    <t xml:space="preserve">   Rate Base:</t>
  </si>
  <si>
    <t>Electric Plant In Service</t>
  </si>
  <si>
    <t>Plant Held for Future Use</t>
  </si>
  <si>
    <t>Misc Deferred Debits</t>
  </si>
  <si>
    <t>Elec Plant Acq Adj</t>
  </si>
  <si>
    <t>Nuclear Fuel</t>
  </si>
  <si>
    <t>Prepayments</t>
  </si>
  <si>
    <t>Fuel Stock</t>
  </si>
  <si>
    <t>Material &amp; Supplies</t>
  </si>
  <si>
    <t>Working Capital</t>
  </si>
  <si>
    <t>Weatherization</t>
  </si>
  <si>
    <t xml:space="preserve">Misc Rate Base </t>
  </si>
  <si>
    <t xml:space="preserve">   Total Electric Plant:</t>
  </si>
  <si>
    <t>Rate Base Deductions:</t>
  </si>
  <si>
    <t>Accum Prov For Deprec</t>
  </si>
  <si>
    <t>Accum Prov For Amort</t>
  </si>
  <si>
    <t>Accum Def Income Tax</t>
  </si>
  <si>
    <t>Unamortized ITC</t>
  </si>
  <si>
    <t>Customer Adv For Const</t>
  </si>
  <si>
    <t>Customer Service Deposits</t>
  </si>
  <si>
    <t>Misc Rate Base Deductions</t>
  </si>
  <si>
    <t xml:space="preserve">     Total Rate Base Deductions</t>
  </si>
  <si>
    <t xml:space="preserve">   Total Rate Base:</t>
  </si>
  <si>
    <t>Return on Equity</t>
  </si>
  <si>
    <t>TAX CALCULATION: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</si>
  <si>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</si>
  <si>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</si>
  <si>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</si>
  <si>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</si>
  <si>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</si>
  <si>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</si>
  <si>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</si>
  <si>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Taxes</t>
  </si>
  <si>
    <t>Taxable Income</t>
  </si>
  <si>
    <t>Temperature Normalization</t>
  </si>
  <si>
    <t>Revenue Normalization</t>
  </si>
  <si>
    <t>SO2 Emission Allowances</t>
  </si>
  <si>
    <t>Green Tag Revenues</t>
  </si>
  <si>
    <t>Wheeling Revenue Adjustment</t>
  </si>
  <si>
    <t>Miscellaneous General Expense Adjustment</t>
  </si>
  <si>
    <t>General Wage Increase  - Annualization</t>
  </si>
  <si>
    <t>Affiliate Management Fee</t>
  </si>
  <si>
    <t>DSM Removal Adjustment</t>
  </si>
  <si>
    <t>Remove Non-Recurring Entries</t>
  </si>
  <si>
    <t>Net Power Costs - Restating</t>
  </si>
  <si>
    <t>Electric Lake Settlement</t>
  </si>
  <si>
    <t>BPA Residential Exchange</t>
  </si>
  <si>
    <t>Removal of Colstrip #3</t>
  </si>
  <si>
    <t>Hydro Decommissioning</t>
  </si>
  <si>
    <t>Interest True Up</t>
  </si>
  <si>
    <t>Accumulated Deferred Income Tax Factor Correction</t>
  </si>
  <si>
    <t>Malin Midpoint Adjustment</t>
  </si>
  <si>
    <t>WA - FAS 109 Flow-Through</t>
  </si>
  <si>
    <t>AFUDC - Equity</t>
  </si>
  <si>
    <t>Remove Deferred State Tax Expense</t>
  </si>
  <si>
    <t>Current Year Def Inc Tax Normalization</t>
  </si>
  <si>
    <t>Medicare Deferred Tax Expense</t>
  </si>
  <si>
    <t>Avg Balance for Accum Def Inc Tax - Property</t>
  </si>
  <si>
    <t>Cash Working Capital</t>
  </si>
  <si>
    <t>Jim Bridger Mine Rate Base Adjustment</t>
  </si>
  <si>
    <t xml:space="preserve">Environmental Remediation </t>
  </si>
  <si>
    <t>Customer Advances for Construction</t>
  </si>
  <si>
    <t>Miscellaneous Rate Base</t>
  </si>
  <si>
    <t xml:space="preserve">(Cont) Miscellaneous Rate Base </t>
  </si>
  <si>
    <t>Removal of Colstrip #4 AFUDC</t>
  </si>
  <si>
    <t>Trojan Unrecovered Plant Adjustment</t>
  </si>
  <si>
    <t>Effective Price Change</t>
  </si>
  <si>
    <t>Net Power Costs - Proforma</t>
  </si>
  <si>
    <t>James River Royalty Offset</t>
  </si>
  <si>
    <t xml:space="preserve">Proforma General Wage Increase </t>
  </si>
  <si>
    <t>Pension Curtailment</t>
  </si>
  <si>
    <t>Remove MEHC Severance</t>
  </si>
  <si>
    <t>Powerdale Hydro Removal</t>
  </si>
  <si>
    <t>Chehalis Reg Asset - WA</t>
  </si>
  <si>
    <t>Renewable Energy Tax Credit</t>
  </si>
  <si>
    <t>Public Utility Tax Adjustment</t>
  </si>
  <si>
    <t>WA Low Income Tax Credit</t>
  </si>
  <si>
    <t>Production Factor Adjustment</t>
  </si>
  <si>
    <t>(Cont) Production Factor Adjustment</t>
  </si>
  <si>
    <t>Cash Working Capital for Unadjusted Results</t>
  </si>
  <si>
    <t>Restating Adjustments</t>
  </si>
  <si>
    <t>Total Restated Actual Results</t>
  </si>
  <si>
    <t>Proforma Adjustments</t>
  </si>
  <si>
    <t>Total Normalized Results</t>
  </si>
  <si>
    <t>(1)</t>
  </si>
  <si>
    <t>(2)</t>
  </si>
  <si>
    <t>(3)</t>
  </si>
  <si>
    <t>(4)</t>
  </si>
  <si>
    <t>(5)</t>
  </si>
  <si>
    <t>(6)</t>
  </si>
  <si>
    <t>Unadjusted
Results</t>
  </si>
  <si>
    <t>(1) + (2)</t>
  </si>
  <si>
    <t>(3) + (4)</t>
  </si>
  <si>
    <t>(From RAM - Results Tab)</t>
  </si>
  <si>
    <t>Interest True-up Calculation</t>
  </si>
  <si>
    <t>Unadjusted Interest Expense</t>
  </si>
  <si>
    <t>Restated Washington Allocated Rate Base</t>
  </si>
  <si>
    <t>Weighted Cost of Debt</t>
  </si>
  <si>
    <t>Restated Interest Expense</t>
  </si>
  <si>
    <t>Restating Adjustment</t>
  </si>
  <si>
    <t>Restated Results</t>
  </si>
  <si>
    <t>Proforma Results</t>
  </si>
  <si>
    <t>Proforma Washington Allocated Rate Base</t>
  </si>
  <si>
    <t>Proforma Interest Expense</t>
  </si>
  <si>
    <t>Proforma Adjustment</t>
  </si>
  <si>
    <t>Federal Income Taxes Before Credits</t>
  </si>
  <si>
    <t>Energy Tax Credits</t>
  </si>
  <si>
    <t>Federal Income Taxes</t>
  </si>
  <si>
    <t>Price Change</t>
  </si>
  <si>
    <t>Results with Price Change</t>
  </si>
  <si>
    <t>(7)</t>
  </si>
  <si>
    <t>WUTC Regulatory Fee</t>
  </si>
  <si>
    <t>Operating Deductions</t>
  </si>
  <si>
    <t>Uncollectable Accounts</t>
  </si>
  <si>
    <t>Taxes Other - Revenue Tax</t>
  </si>
  <si>
    <t>Taxes Other - Resource Supplier</t>
  </si>
  <si>
    <t>Taxes Other - Gross Receipts</t>
  </si>
  <si>
    <t>Sub-Total</t>
  </si>
  <si>
    <t>Federal Income Tax @ 35.00%</t>
  </si>
  <si>
    <t>Net Operating Income</t>
  </si>
  <si>
    <t>Net to Gross Bump-up Factor</t>
  </si>
  <si>
    <t>State Taxes</t>
  </si>
  <si>
    <t>(5) + (6)</t>
  </si>
  <si>
    <t>Washington General Rate Case - December 2009</t>
  </si>
  <si>
    <t>Unadjusted Results</t>
  </si>
  <si>
    <t>Capital Structure and Cost</t>
  </si>
  <si>
    <t>Estimated Return on Equity Impact</t>
  </si>
  <si>
    <t>Variables</t>
  </si>
  <si>
    <t>Cash Working Capital (CWC) Calculation</t>
  </si>
  <si>
    <t>Variance</t>
  </si>
  <si>
    <t>Summary
Sheet</t>
  </si>
  <si>
    <t>Regulatory Adjustment Model (RAM)</t>
  </si>
  <si>
    <t>Check Totals (RAM to Summary Tab)</t>
  </si>
  <si>
    <t>Restating Adj.</t>
  </si>
  <si>
    <t>Proforma Adj.</t>
  </si>
  <si>
    <t>Less Unadjusted Fuel and Purchased Power</t>
  </si>
  <si>
    <t>Less Unadjusted Fuel and Purchased Power:</t>
  </si>
  <si>
    <t>Less Unadjusted Fuel 501 - Non NPC</t>
  </si>
  <si>
    <t>Restated CWC:</t>
  </si>
  <si>
    <t>Total Restated O&amp;M Expenses</t>
  </si>
  <si>
    <t>Less Unadjusted Fuel 501 NPC</t>
  </si>
  <si>
    <t>Less Unadjusted Fuel 547 NPC</t>
  </si>
  <si>
    <t>Less Unadjusted Purchased Power 555 - Non NPC</t>
  </si>
  <si>
    <t>Less Unadjusted Purchased Power 555 - NPC</t>
  </si>
  <si>
    <t>Subtotal Unadjusted Fuel and Purchased Power</t>
  </si>
  <si>
    <t>Less Restating Adjustments to Fuel and Purchased Power:</t>
  </si>
  <si>
    <t>Less Fuel 501 NPC Adjustment 5.1</t>
  </si>
  <si>
    <t>Less Fuel 547 NPC Adjustment 5.1</t>
  </si>
  <si>
    <t>Less Purchased Power 555 Adjustment 5.1</t>
  </si>
  <si>
    <t>Less Purchased Power 555 Adjustment 5.4</t>
  </si>
  <si>
    <t>Less Fuel 501 Adjustment 4.2</t>
  </si>
  <si>
    <t>Subtotal Restating Adjustments to Fuel and Purchased Power</t>
  </si>
  <si>
    <t>Subtotal Restated O&amp;M Expense Less Fuel and Purchased Power</t>
  </si>
  <si>
    <t>Restated CWC</t>
  </si>
  <si>
    <t>Proforma CWC:</t>
  </si>
  <si>
    <t>Total Proforma O&amp;M Expenses</t>
  </si>
  <si>
    <t>Less Restating Adjustments to Fuel and Purchased Power</t>
  </si>
  <si>
    <t>Less Proforma Adjustments to Fuel and Purchased Power:</t>
  </si>
  <si>
    <t>Less Fuel 501 Adjustment 4.3</t>
  </si>
  <si>
    <t>Subtotal Proforma Adjustments to Fuel and Purchased Power</t>
  </si>
  <si>
    <t>Subtotal Proforma O&amp;M Expense Less Fuel and Purchased Power</t>
  </si>
  <si>
    <t>Proforma CWC</t>
  </si>
  <si>
    <t>Above</t>
  </si>
  <si>
    <t>Reference</t>
  </si>
  <si>
    <t>Page 1.1, Line 19, Column (3)</t>
  </si>
  <si>
    <t>Page 2.5, Line 257</t>
  </si>
  <si>
    <t>Page 2.5, Line 270</t>
  </si>
  <si>
    <t>Page 2.9, Line 524</t>
  </si>
  <si>
    <t>Page 2.35, Line 2467</t>
  </si>
  <si>
    <t>Page 2.10, Line 584</t>
  </si>
  <si>
    <t>Page 2.10, Line 595</t>
  </si>
  <si>
    <t>Page 1.1, Line 19, Column (5)</t>
  </si>
  <si>
    <t>Page 1.1, Line 66, Column (1)</t>
  </si>
  <si>
    <t>Page 1.1, Line 66, Column (3)</t>
  </si>
  <si>
    <t>Page 1.1, Line 57, Column (3)</t>
  </si>
  <si>
    <t>Page 1.1, Line 66, Column (5)</t>
  </si>
  <si>
    <t>Page 1.1, Line 57, Column (5)</t>
  </si>
  <si>
    <t>Page 2.1</t>
  </si>
  <si>
    <t>Summary of Washington-Allocated Results (REBUTTAL POSITION)</t>
  </si>
  <si>
    <t>12.1</t>
  </si>
  <si>
    <t>12.5</t>
  </si>
  <si>
    <t>Tab 12 - Rebuttal Adjustments</t>
  </si>
  <si>
    <t>12.2</t>
  </si>
  <si>
    <t>SERP Expense</t>
  </si>
  <si>
    <t>12.3</t>
  </si>
  <si>
    <t>12.4</t>
  </si>
  <si>
    <t>Advertising Expense</t>
  </si>
  <si>
    <t>Green Tag (REC) Revenues</t>
  </si>
  <si>
    <t>12.8</t>
  </si>
  <si>
    <t>12.9</t>
  </si>
  <si>
    <t>Summary of Restating Adjustments (REBUTTAL)</t>
  </si>
  <si>
    <t>Replaces
Adj 3.4</t>
  </si>
  <si>
    <t>Replaces
Adj 4.5</t>
  </si>
  <si>
    <t>Replaces
Adj 3.5</t>
  </si>
  <si>
    <t>Replaces
Adj 7.1</t>
  </si>
  <si>
    <t>Replaces
Adj 8.1</t>
  </si>
  <si>
    <t>12.6</t>
  </si>
  <si>
    <t>Proforma Net Power Costs</t>
  </si>
  <si>
    <t>Replaces
Adj 5.2</t>
  </si>
  <si>
    <t>12.7</t>
  </si>
  <si>
    <t>12.7.1</t>
  </si>
  <si>
    <t>Replaces
Adj 9.1</t>
  </si>
  <si>
    <t>Replaces
Adj 9.1.1</t>
  </si>
  <si>
    <t>Less Fuel 501 NPC Adjustment 12.6</t>
  </si>
  <si>
    <t>Less Fuel 547 NPC Adjustment 12.6</t>
  </si>
  <si>
    <t>Less Purchased Power 555 NPC Adjustment 12.6</t>
  </si>
  <si>
    <t>Less Fuel 501 Adjustment 12.7.1</t>
  </si>
  <si>
    <t>Less Fuel 547 NPC Adjustment 12.7.1</t>
  </si>
  <si>
    <t>Less Purchased Power 555 NPC Adjustment 12.7.1</t>
  </si>
  <si>
    <t>Replaced by Rebuttal Adj. 12.1</t>
  </si>
  <si>
    <t>Replaced by Rebuttal Adj. 12.5</t>
  </si>
  <si>
    <t>Replaced by Rebuttal Adj. 12.3</t>
  </si>
  <si>
    <t>Replaced by Rebuttal Adj. 12.8</t>
  </si>
  <si>
    <t>Replaced by Rebuttal Adj. 12.9</t>
  </si>
  <si>
    <t>Replaced by Rebuttal Adj. 12.6</t>
  </si>
  <si>
    <t>Replaced by Rebuttal Adj. 12.7</t>
  </si>
  <si>
    <t>Replaced by Rebuttal Adj. 12.7.1</t>
  </si>
  <si>
    <t>WASHINGTON SUMMARY OF ADJUSTMENTS TOTAL</t>
  </si>
  <si>
    <t>Page 1.4</t>
  </si>
  <si>
    <t>Total Adjustments</t>
  </si>
  <si>
    <t>Rebuttal
(Tab 12)</t>
  </si>
  <si>
    <t>Income Taxes:  Federal</t>
  </si>
  <si>
    <t xml:space="preserve">                         State</t>
  </si>
  <si>
    <t>Deferred Income Taxes</t>
  </si>
  <si>
    <t>Weatherization Loans</t>
  </si>
  <si>
    <t xml:space="preserve">   Deductions:</t>
  </si>
  <si>
    <t>Miscellaneous Deductions</t>
  </si>
  <si>
    <t xml:space="preserve">   Total Deductions:</t>
  </si>
  <si>
    <t>Estimated ROE impact</t>
  </si>
  <si>
    <t>WASHINGTON SUMMARY OF ADJUSTMENTS PROFORMA</t>
  </si>
  <si>
    <t>Page 1.6</t>
  </si>
  <si>
    <t>WASHINGTON SUMMARY OF ADJUSTMENTS RESTATING</t>
  </si>
  <si>
    <t>Page 1.5</t>
  </si>
  <si>
    <t>Revenue Adjustments
(Tab 3)</t>
  </si>
  <si>
    <t>O&amp;M Adjustments
(Tab 4)</t>
  </si>
  <si>
    <t>Net Power Cost Adjustments
(Tab 5)</t>
  </si>
  <si>
    <t>Depreciation &amp; Amortization
(Tab 6)</t>
  </si>
  <si>
    <t>Tax Adjustments
(Tab 7)</t>
  </si>
  <si>
    <t>Misc Rate Base Adjustments
(Tab 8)</t>
  </si>
  <si>
    <t>Other Adjustments
(Tab 9)</t>
  </si>
  <si>
    <t>Summary of Proforma Adjustments (REBUTTAL)</t>
  </si>
  <si>
    <t>Total 
Pro forma
Adjustments</t>
  </si>
  <si>
    <t>Interest 
True -Up</t>
  </si>
  <si>
    <t>Summary of Total Adjustments (REBUTTAL)</t>
  </si>
  <si>
    <t>Check</t>
  </si>
  <si>
    <t>Tab 7 - Taxes (Continued)</t>
  </si>
  <si>
    <t>Tab 8 - Rate Base (Continued)</t>
  </si>
  <si>
    <t>Tab 12 - Rebuttal Adjustments (Continued)</t>
  </si>
  <si>
    <t>Page 5.1 Exhibit No.___(RBD-3)</t>
  </si>
  <si>
    <t>Page 5.4 Exhibit No.___(RBD-3)</t>
  </si>
  <si>
    <t>Page 4.2 Exhibit No.___(RBD-3)</t>
  </si>
  <si>
    <t>Page 12.6 - Exhibit No.___(RBD-6)</t>
  </si>
  <si>
    <t>Pages 12.7 &amp; 12.7.1 - Exhibit No.___(RBD-6)</t>
  </si>
  <si>
    <t>Page 12.7.1- Exhibit No.___(RBD-6)</t>
  </si>
  <si>
    <t>Page 4.3 Exhibit No.__(RBD-3)</t>
  </si>
  <si>
    <t>Page 12.8 - Exhibit No.___(RBD-6)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</si>
</sst>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"/>
    <numFmt numFmtId="167" formatCode=";;;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8">
    <xf numFmtId="0" fontId="0" fillId="0" borderId="0" xfId="0"/>
    <xf numFmtId="164" fontId="4" fillId="0" borderId="0" xfId="1" applyNumberFormat="1" applyFont="1" applyAlignment="1">
      <alignment horizontal="left"/>
    </xf>
    <xf numFmtId="164" fontId="2" fillId="0" borderId="0" xfId="1" applyNumberFormat="1" applyFont="1" applyFill="1" applyBorder="1"/>
    <xf numFmtId="164" fontId="2" fillId="0" borderId="0" xfId="1" applyNumberFormat="1" applyFont="1"/>
    <xf numFmtId="164" fontId="4" fillId="0" borderId="0" xfId="1" applyNumberFormat="1" applyFont="1" applyFill="1" applyBorder="1"/>
    <xf numFmtId="164" fontId="4" fillId="0" borderId="0" xfId="1" applyNumberFormat="1" applyFont="1"/>
    <xf numFmtId="164" fontId="4" fillId="0" borderId="21" xfId="1" applyNumberFormat="1" applyFont="1" applyFill="1" applyBorder="1" applyAlignment="1">
      <alignment horizontal="centerContinuous"/>
    </xf>
    <xf numFmtId="164" fontId="4" fillId="0" borderId="22" xfId="1" applyNumberFormat="1" applyFont="1" applyFill="1" applyBorder="1" applyAlignment="1">
      <alignment horizontal="centerContinuous"/>
    </xf>
    <xf numFmtId="164" fontId="4" fillId="0" borderId="32" xfId="1" applyNumberFormat="1" applyFont="1" applyFill="1" applyBorder="1" applyAlignment="1">
      <alignment horizontal="centerContinuous"/>
    </xf>
    <xf numFmtId="164" fontId="4" fillId="0" borderId="23" xfId="1" applyNumberFormat="1" applyFont="1" applyFill="1" applyBorder="1" applyAlignment="1">
      <alignment horizontal="centerContinuous"/>
    </xf>
    <xf numFmtId="164" fontId="2" fillId="0" borderId="0" xfId="1" quotePrefix="1" applyNumberFormat="1" applyFont="1" applyBorder="1" applyAlignment="1" applyProtection="1">
      <alignment horizontal="center"/>
      <protection locked="0"/>
    </xf>
    <xf numFmtId="164" fontId="2" fillId="0" borderId="10" xfId="1" quotePrefix="1" applyNumberFormat="1" applyFont="1" applyBorder="1" applyAlignment="1" applyProtection="1">
      <alignment horizontal="center"/>
      <protection locked="0"/>
    </xf>
    <xf numFmtId="164" fontId="2" fillId="0" borderId="11" xfId="1" quotePrefix="1" applyNumberFormat="1" applyFont="1" applyBorder="1" applyAlignment="1" applyProtection="1">
      <alignment horizontal="center"/>
      <protection locked="0"/>
    </xf>
    <xf numFmtId="164" fontId="4" fillId="0" borderId="0" xfId="1" applyNumberFormat="1" applyFont="1" applyBorder="1" applyAlignment="1" applyProtection="1">
      <alignment horizontal="center" vertical="center" wrapText="1"/>
      <protection locked="0"/>
    </xf>
    <xf numFmtId="164" fontId="4" fillId="0" borderId="10" xfId="1" applyNumberFormat="1" applyFont="1" applyBorder="1" applyAlignment="1" applyProtection="1">
      <alignment horizontal="center" vertical="center" wrapText="1"/>
      <protection locked="0"/>
    </xf>
    <xf numFmtId="164" fontId="4" fillId="0" borderId="11" xfId="1" applyNumberFormat="1" applyFont="1" applyBorder="1" applyAlignment="1" applyProtection="1">
      <alignment horizontal="center" vertical="center" wrapText="1"/>
      <protection locked="0"/>
    </xf>
    <xf numFmtId="164" fontId="4" fillId="0" borderId="0" xfId="1" quotePrefix="1" applyNumberFormat="1" applyFont="1" applyBorder="1" applyAlignment="1" applyProtection="1">
      <alignment horizontal="center" vertical="center" wrapText="1"/>
      <protection locked="0"/>
    </xf>
    <xf numFmtId="164" fontId="2" fillId="0" borderId="0" xfId="1" applyNumberFormat="1" applyFont="1" applyBorder="1" applyProtection="1">
      <protection locked="0"/>
    </xf>
    <xf numFmtId="164" fontId="2" fillId="0" borderId="10" xfId="1" applyNumberFormat="1" applyFont="1" applyBorder="1"/>
    <xf numFmtId="164" fontId="2" fillId="0" borderId="0" xfId="1" applyNumberFormat="1" applyFont="1" applyBorder="1" applyAlignment="1" applyProtection="1">
      <alignment horizontal="center"/>
      <protection locked="0"/>
    </xf>
    <xf numFmtId="164" fontId="2" fillId="0" borderId="10" xfId="1" applyNumberFormat="1" applyFont="1" applyBorder="1" applyProtection="1">
      <protection locked="0"/>
    </xf>
    <xf numFmtId="164" fontId="2" fillId="0" borderId="10" xfId="1" applyNumberFormat="1" applyFont="1" applyBorder="1" applyAlignment="1" applyProtection="1">
      <alignment horizontal="center"/>
      <protection locked="0"/>
    </xf>
    <xf numFmtId="164" fontId="2" fillId="0" borderId="11" xfId="1" applyNumberFormat="1" applyFont="1" applyBorder="1" applyProtection="1">
      <protection locked="0"/>
    </xf>
    <xf numFmtId="164" fontId="2" fillId="0" borderId="11" xfId="1" applyNumberFormat="1" applyFont="1" applyBorder="1" applyAlignment="1" applyProtection="1">
      <alignment horizontal="center"/>
      <protection locked="0"/>
    </xf>
    <xf numFmtId="164" fontId="4" fillId="0" borderId="0" xfId="1" applyNumberFormat="1" applyFont="1" applyAlignment="1">
      <alignment vertical="center"/>
    </xf>
    <xf numFmtId="164" fontId="2" fillId="0" borderId="0" xfId="1" quotePrefix="1" applyNumberFormat="1" applyFont="1" applyBorder="1" applyAlignment="1" applyProtection="1">
      <alignment horizontal="left"/>
      <protection locked="0"/>
    </xf>
    <xf numFmtId="164" fontId="2" fillId="0" borderId="10" xfId="1" applyNumberFormat="1" applyFont="1" applyBorder="1" applyAlignment="1" applyProtection="1">
      <alignment horizontal="left"/>
      <protection locked="0"/>
    </xf>
    <xf numFmtId="164" fontId="2" fillId="0" borderId="10" xfId="1" quotePrefix="1" applyNumberFormat="1" applyFont="1" applyBorder="1" applyAlignment="1" applyProtection="1">
      <alignment horizontal="left"/>
      <protection locked="0"/>
    </xf>
    <xf numFmtId="164" fontId="2" fillId="0" borderId="0" xfId="1" applyNumberFormat="1" applyFont="1" applyBorder="1" applyAlignment="1" applyProtection="1">
      <alignment horizontal="left"/>
      <protection locked="0"/>
    </xf>
    <xf numFmtId="164" fontId="2" fillId="0" borderId="11" xfId="1" applyNumberFormat="1" applyFont="1" applyBorder="1" applyAlignment="1" applyProtection="1">
      <alignment horizontal="left"/>
      <protection locked="0"/>
    </xf>
    <xf numFmtId="164" fontId="2" fillId="0" borderId="11" xfId="1" quotePrefix="1" applyNumberFormat="1" applyFont="1" applyBorder="1" applyAlignment="1" applyProtection="1">
      <alignment horizontal="left"/>
      <protection locked="0"/>
    </xf>
    <xf numFmtId="164" fontId="2" fillId="0" borderId="1" xfId="1" applyNumberFormat="1" applyFont="1" applyBorder="1" applyProtection="1">
      <protection locked="0"/>
    </xf>
    <xf numFmtId="164" fontId="2" fillId="0" borderId="1" xfId="1" applyNumberFormat="1" applyFont="1" applyBorder="1" applyAlignment="1">
      <alignment vertical="center"/>
    </xf>
    <xf numFmtId="164" fontId="2" fillId="0" borderId="12" xfId="1" applyNumberFormat="1" applyFont="1" applyBorder="1" applyProtection="1">
      <protection locked="0"/>
    </xf>
    <xf numFmtId="164" fontId="2" fillId="0" borderId="13" xfId="1" applyNumberFormat="1" applyFont="1" applyBorder="1" applyProtection="1">
      <protection locked="0"/>
    </xf>
    <xf numFmtId="164" fontId="2" fillId="0" borderId="2" xfId="1" applyNumberFormat="1" applyFont="1" applyBorder="1" applyAlignment="1" applyProtection="1">
      <alignment horizontal="left"/>
      <protection locked="0"/>
    </xf>
    <xf numFmtId="164" fontId="2" fillId="0" borderId="2" xfId="1" applyNumberFormat="1" applyFont="1" applyBorder="1" applyAlignment="1">
      <alignment vertical="center"/>
    </xf>
    <xf numFmtId="164" fontId="2" fillId="0" borderId="14" xfId="1" applyNumberFormat="1" applyFont="1" applyBorder="1" applyAlignment="1" applyProtection="1">
      <alignment horizontal="left"/>
      <protection locked="0"/>
    </xf>
    <xf numFmtId="164" fontId="2" fillId="0" borderId="2" xfId="1" quotePrefix="1" applyNumberFormat="1" applyFont="1" applyBorder="1" applyAlignment="1" applyProtection="1">
      <alignment horizontal="left"/>
      <protection locked="0"/>
    </xf>
    <xf numFmtId="164" fontId="2" fillId="0" borderId="15" xfId="1" applyNumberFormat="1" applyFont="1" applyBorder="1" applyAlignment="1" applyProtection="1">
      <alignment horizontal="left"/>
      <protection locked="0"/>
    </xf>
    <xf numFmtId="164" fontId="2" fillId="0" borderId="2" xfId="1" applyNumberFormat="1" applyFont="1" applyBorder="1" applyProtection="1">
      <protection locked="0"/>
    </xf>
    <xf numFmtId="164" fontId="2" fillId="0" borderId="0" xfId="1" applyNumberFormat="1" applyFont="1" applyBorder="1" applyAlignment="1">
      <alignment vertical="center"/>
    </xf>
    <xf numFmtId="164" fontId="2" fillId="0" borderId="3" xfId="1" applyNumberFormat="1" applyFont="1" applyBorder="1" applyAlignment="1"/>
    <xf numFmtId="164" fontId="2" fillId="0" borderId="16" xfId="1" applyNumberFormat="1" applyFont="1" applyBorder="1" applyAlignment="1"/>
    <xf numFmtId="164" fontId="2" fillId="0" borderId="17" xfId="1" applyNumberFormat="1" applyFont="1" applyBorder="1" applyAlignment="1"/>
    <xf numFmtId="164" fontId="2" fillId="0" borderId="1" xfId="1" quotePrefix="1" applyNumberFormat="1" applyFont="1" applyBorder="1" applyAlignment="1" applyProtection="1">
      <alignment horizontal="left"/>
      <protection locked="0"/>
    </xf>
    <xf numFmtId="164" fontId="2" fillId="0" borderId="12" xfId="1" quotePrefix="1" applyNumberFormat="1" applyFont="1" applyBorder="1" applyAlignment="1" applyProtection="1">
      <alignment horizontal="left"/>
      <protection locked="0"/>
    </xf>
    <xf numFmtId="164" fontId="2" fillId="0" borderId="13" xfId="1" quotePrefix="1" applyNumberFormat="1" applyFont="1" applyBorder="1" applyAlignment="1" applyProtection="1">
      <alignment horizontal="left"/>
      <protection locked="0"/>
    </xf>
    <xf numFmtId="164" fontId="2" fillId="0" borderId="3" xfId="1" applyNumberFormat="1" applyFont="1" applyBorder="1" applyAlignment="1">
      <alignment vertical="center"/>
    </xf>
    <xf numFmtId="164" fontId="2" fillId="0" borderId="16" xfId="1" applyNumberFormat="1" applyFont="1" applyBorder="1" applyAlignment="1">
      <alignment vertical="center"/>
    </xf>
    <xf numFmtId="164" fontId="2" fillId="0" borderId="17" xfId="1" applyNumberFormat="1" applyFont="1" applyBorder="1" applyAlignment="1">
      <alignment vertical="center"/>
    </xf>
    <xf numFmtId="164" fontId="2" fillId="0" borderId="10" xfId="1" applyNumberFormat="1" applyFont="1" applyBorder="1" applyAlignment="1">
      <alignment vertical="center"/>
    </xf>
    <xf numFmtId="164" fontId="2" fillId="0" borderId="11" xfId="1" applyNumberFormat="1" applyFont="1" applyBorder="1" applyAlignment="1">
      <alignment vertical="center"/>
    </xf>
    <xf numFmtId="164" fontId="2" fillId="0" borderId="0" xfId="0" applyNumberFormat="1" applyFont="1" applyBorder="1"/>
    <xf numFmtId="164" fontId="2" fillId="0" borderId="0" xfId="0" applyNumberFormat="1" applyFont="1"/>
    <xf numFmtId="164" fontId="2" fillId="0" borderId="10" xfId="0" applyNumberFormat="1" applyFont="1" applyBorder="1"/>
    <xf numFmtId="164" fontId="2" fillId="0" borderId="11" xfId="0" applyNumberFormat="1" applyFont="1" applyBorder="1"/>
    <xf numFmtId="164" fontId="2" fillId="0" borderId="0" xfId="1" applyNumberFormat="1" applyFont="1" applyBorder="1"/>
    <xf numFmtId="164" fontId="2" fillId="0" borderId="14" xfId="1" quotePrefix="1" applyNumberFormat="1" applyFont="1" applyBorder="1" applyAlignment="1" applyProtection="1">
      <alignment horizontal="left"/>
      <protection locked="0"/>
    </xf>
    <xf numFmtId="164" fontId="2" fillId="0" borderId="15" xfId="1" applyNumberFormat="1" applyFont="1" applyBorder="1" applyProtection="1">
      <protection locked="0"/>
    </xf>
    <xf numFmtId="164" fontId="2" fillId="0" borderId="5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2" fillId="0" borderId="19" xfId="1" applyNumberFormat="1" applyFont="1" applyBorder="1"/>
    <xf numFmtId="164" fontId="2" fillId="0" borderId="20" xfId="1" applyNumberFormat="1" applyFont="1" applyBorder="1"/>
    <xf numFmtId="164" fontId="2" fillId="0" borderId="0" xfId="1" applyNumberFormat="1" applyFont="1" applyFill="1" applyBorder="1" applyProtection="1">
      <protection locked="0"/>
    </xf>
    <xf numFmtId="164" fontId="2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164" fontId="2" fillId="0" borderId="0" xfId="1" applyNumberFormat="1" applyFont="1" applyFill="1"/>
    <xf numFmtId="164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0" xfId="2" applyNumberFormat="1" applyFont="1" applyFill="1" applyBorder="1" applyAlignment="1">
      <alignment vertical="center"/>
    </xf>
    <xf numFmtId="164" fontId="2" fillId="0" borderId="10" xfId="1" applyNumberFormat="1" applyFont="1" applyFill="1" applyBorder="1" applyAlignment="1">
      <alignment vertical="center"/>
    </xf>
    <xf numFmtId="165" fontId="2" fillId="0" borderId="10" xfId="2" applyNumberFormat="1" applyFont="1" applyFill="1" applyBorder="1" applyAlignment="1">
      <alignment vertical="center"/>
    </xf>
    <xf numFmtId="165" fontId="2" fillId="0" borderId="11" xfId="2" applyNumberFormat="1" applyFont="1" applyFill="1" applyBorder="1" applyAlignment="1">
      <alignment vertical="center"/>
    </xf>
    <xf numFmtId="164" fontId="2" fillId="0" borderId="15" xfId="1" quotePrefix="1" applyNumberFormat="1" applyFont="1" applyBorder="1" applyAlignment="1" applyProtection="1">
      <alignment horizontal="left"/>
      <protection locked="0"/>
    </xf>
    <xf numFmtId="164" fontId="2" fillId="0" borderId="24" xfId="1" quotePrefix="1" applyNumberFormat="1" applyFont="1" applyBorder="1" applyAlignment="1" applyProtection="1">
      <alignment horizontal="center"/>
      <protection locked="0"/>
    </xf>
    <xf numFmtId="164" fontId="4" fillId="0" borderId="24" xfId="1" applyNumberFormat="1" applyFont="1" applyBorder="1" applyAlignment="1" applyProtection="1">
      <alignment horizontal="center" vertical="center" wrapText="1"/>
      <protection locked="0"/>
    </xf>
    <xf numFmtId="164" fontId="2" fillId="0" borderId="24" xfId="1" applyNumberFormat="1" applyFont="1" applyBorder="1" applyProtection="1">
      <protection locked="0"/>
    </xf>
    <xf numFmtId="164" fontId="2" fillId="0" borderId="24" xfId="1" applyNumberFormat="1" applyFont="1" applyBorder="1" applyAlignment="1" applyProtection="1">
      <alignment horizontal="left"/>
      <protection locked="0"/>
    </xf>
    <xf numFmtId="164" fontId="2" fillId="0" borderId="25" xfId="1" applyNumberFormat="1" applyFont="1" applyBorder="1" applyProtection="1">
      <protection locked="0"/>
    </xf>
    <xf numFmtId="164" fontId="2" fillId="0" borderId="26" xfId="1" applyNumberFormat="1" applyFont="1" applyBorder="1" applyAlignment="1" applyProtection="1">
      <alignment horizontal="left"/>
      <protection locked="0"/>
    </xf>
    <xf numFmtId="164" fontId="2" fillId="0" borderId="24" xfId="1" quotePrefix="1" applyNumberFormat="1" applyFont="1" applyBorder="1" applyAlignment="1" applyProtection="1">
      <alignment horizontal="left"/>
      <protection locked="0"/>
    </xf>
    <xf numFmtId="164" fontId="2" fillId="0" borderId="27" xfId="1" applyNumberFormat="1" applyFont="1" applyBorder="1" applyAlignment="1"/>
    <xf numFmtId="164" fontId="2" fillId="0" borderId="25" xfId="1" quotePrefix="1" applyNumberFormat="1" applyFont="1" applyBorder="1" applyAlignment="1" applyProtection="1">
      <alignment horizontal="left"/>
      <protection locked="0"/>
    </xf>
    <xf numFmtId="164" fontId="2" fillId="0" borderId="27" xfId="1" applyNumberFormat="1" applyFont="1" applyBorder="1" applyAlignment="1">
      <alignment vertical="center"/>
    </xf>
    <xf numFmtId="165" fontId="2" fillId="0" borderId="24" xfId="2" applyNumberFormat="1" applyFont="1" applyFill="1" applyBorder="1" applyAlignment="1">
      <alignment vertical="center"/>
    </xf>
    <xf numFmtId="164" fontId="2" fillId="0" borderId="26" xfId="1" applyNumberFormat="1" applyFont="1" applyBorder="1" applyProtection="1">
      <protection locked="0"/>
    </xf>
    <xf numFmtId="164" fontId="2" fillId="0" borderId="24" xfId="1" applyNumberFormat="1" applyFont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164" fontId="4" fillId="0" borderId="21" xfId="1" applyNumberFormat="1" applyFont="1" applyBorder="1" applyAlignment="1">
      <alignment horizontal="centerContinuous"/>
    </xf>
    <xf numFmtId="164" fontId="4" fillId="0" borderId="22" xfId="1" applyNumberFormat="1" applyFont="1" applyBorder="1" applyAlignment="1">
      <alignment horizontal="centerContinuous"/>
    </xf>
    <xf numFmtId="164" fontId="2" fillId="0" borderId="22" xfId="1" applyNumberFormat="1" applyFont="1" applyBorder="1" applyAlignment="1">
      <alignment horizontal="centerContinuous"/>
    </xf>
    <xf numFmtId="164" fontId="2" fillId="0" borderId="23" xfId="1" applyNumberFormat="1" applyFont="1" applyBorder="1" applyAlignment="1">
      <alignment horizontal="centerContinuous"/>
    </xf>
    <xf numFmtId="164" fontId="4" fillId="0" borderId="23" xfId="1" applyNumberFormat="1" applyFont="1" applyBorder="1" applyAlignment="1">
      <alignment horizontal="centerContinuous"/>
    </xf>
    <xf numFmtId="164" fontId="4" fillId="0" borderId="32" xfId="1" applyNumberFormat="1" applyFont="1" applyBorder="1" applyAlignment="1">
      <alignment horizontal="center"/>
    </xf>
    <xf numFmtId="164" fontId="4" fillId="0" borderId="0" xfId="1" applyNumberFormat="1" applyFont="1" applyBorder="1" applyAlignment="1" applyProtection="1">
      <alignment horizontal="center" wrapText="1"/>
      <protection locked="0"/>
    </xf>
    <xf numFmtId="164" fontId="4" fillId="0" borderId="10" xfId="1" applyNumberFormat="1" applyFont="1" applyBorder="1" applyAlignment="1" applyProtection="1">
      <alignment horizontal="center" wrapText="1"/>
      <protection locked="0"/>
    </xf>
    <xf numFmtId="164" fontId="4" fillId="0" borderId="11" xfId="1" applyNumberFormat="1" applyFont="1" applyBorder="1" applyAlignment="1" applyProtection="1">
      <alignment horizontal="center" wrapText="1"/>
      <protection locked="0"/>
    </xf>
    <xf numFmtId="164" fontId="4" fillId="0" borderId="24" xfId="1" applyNumberFormat="1" applyFont="1" applyBorder="1" applyAlignment="1" applyProtection="1">
      <alignment horizontal="center" wrapText="1"/>
      <protection locked="0"/>
    </xf>
    <xf numFmtId="164" fontId="4" fillId="0" borderId="0" xfId="1" quotePrefix="1" applyNumberFormat="1" applyFont="1" applyBorder="1" applyAlignment="1" applyProtection="1">
      <alignment horizontal="center" wrapText="1"/>
      <protection locked="0"/>
    </xf>
    <xf numFmtId="164" fontId="2" fillId="0" borderId="3" xfId="1" applyNumberFormat="1" applyFont="1" applyBorder="1" applyProtection="1">
      <protection locked="0"/>
    </xf>
    <xf numFmtId="164" fontId="2" fillId="0" borderId="16" xfId="1" applyNumberFormat="1" applyFont="1" applyBorder="1" applyProtection="1">
      <protection locked="0"/>
    </xf>
    <xf numFmtId="164" fontId="2" fillId="0" borderId="17" xfId="1" applyNumberFormat="1" applyFont="1" applyBorder="1" applyProtection="1">
      <protection locked="0"/>
    </xf>
    <xf numFmtId="164" fontId="2" fillId="0" borderId="27" xfId="1" applyNumberFormat="1" applyFont="1" applyBorder="1" applyProtection="1">
      <protection locked="0"/>
    </xf>
    <xf numFmtId="165" fontId="2" fillId="0" borderId="10" xfId="2" applyNumberFormat="1" applyFont="1" applyBorder="1" applyAlignment="1">
      <alignment vertical="center"/>
    </xf>
    <xf numFmtId="165" fontId="2" fillId="0" borderId="0" xfId="2" applyNumberFormat="1" applyFont="1" applyBorder="1" applyAlignment="1">
      <alignment vertical="center"/>
    </xf>
    <xf numFmtId="165" fontId="2" fillId="0" borderId="11" xfId="2" applyNumberFormat="1" applyFont="1" applyBorder="1" applyAlignment="1">
      <alignment vertical="center"/>
    </xf>
    <xf numFmtId="165" fontId="2" fillId="0" borderId="24" xfId="2" applyNumberFormat="1" applyFont="1" applyBorder="1" applyAlignment="1">
      <alignment vertical="center"/>
    </xf>
    <xf numFmtId="164" fontId="4" fillId="0" borderId="0" xfId="1" applyNumberFormat="1" applyFont="1" applyBorder="1"/>
    <xf numFmtId="164" fontId="2" fillId="0" borderId="4" xfId="1" applyNumberFormat="1" applyFont="1" applyBorder="1" applyProtection="1">
      <protection locked="0"/>
    </xf>
    <xf numFmtId="164" fontId="2" fillId="0" borderId="30" xfId="1" applyNumberFormat="1" applyFont="1" applyBorder="1" applyProtection="1">
      <protection locked="0"/>
    </xf>
    <xf numFmtId="164" fontId="2" fillId="0" borderId="31" xfId="1" applyNumberFormat="1" applyFont="1" applyBorder="1" applyProtection="1">
      <protection locked="0"/>
    </xf>
    <xf numFmtId="164" fontId="2" fillId="0" borderId="28" xfId="1" applyNumberFormat="1" applyFont="1" applyBorder="1" applyProtection="1">
      <protection locked="0"/>
    </xf>
    <xf numFmtId="164" fontId="4" fillId="0" borderId="0" xfId="1" quotePrefix="1" applyNumberFormat="1" applyFont="1" applyBorder="1" applyAlignment="1">
      <alignment horizontal="left" vertical="center"/>
    </xf>
    <xf numFmtId="164" fontId="2" fillId="0" borderId="11" xfId="1" applyNumberFormat="1" applyFont="1" applyBorder="1"/>
    <xf numFmtId="164" fontId="2" fillId="0" borderId="18" xfId="1" applyNumberFormat="1" applyFont="1" applyBorder="1" applyProtection="1">
      <protection locked="0"/>
    </xf>
    <xf numFmtId="164" fontId="2" fillId="0" borderId="19" xfId="1" applyNumberFormat="1" applyFont="1" applyBorder="1" applyProtection="1">
      <protection locked="0"/>
    </xf>
    <xf numFmtId="164" fontId="2" fillId="0" borderId="20" xfId="1" applyNumberFormat="1" applyFont="1" applyBorder="1" applyProtection="1">
      <protection locked="0"/>
    </xf>
    <xf numFmtId="164" fontId="2" fillId="0" borderId="29" xfId="1" applyNumberFormat="1" applyFont="1" applyBorder="1" applyProtection="1">
      <protection locked="0"/>
    </xf>
    <xf numFmtId="10" fontId="2" fillId="0" borderId="0" xfId="2" applyNumberFormat="1" applyFont="1" applyBorder="1" applyAlignment="1">
      <alignment vertical="center"/>
    </xf>
    <xf numFmtId="10" fontId="2" fillId="0" borderId="0" xfId="2" applyNumberFormat="1" applyFont="1" applyFill="1" applyBorder="1" applyAlignment="1">
      <alignment vertical="center"/>
    </xf>
    <xf numFmtId="10" fontId="2" fillId="0" borderId="10" xfId="2" applyNumberFormat="1" applyFont="1" applyFill="1" applyBorder="1" applyAlignment="1">
      <alignment vertical="center"/>
    </xf>
    <xf numFmtId="10" fontId="2" fillId="0" borderId="11" xfId="2" applyNumberFormat="1" applyFont="1" applyFill="1" applyBorder="1" applyAlignment="1">
      <alignment vertical="center"/>
    </xf>
    <xf numFmtId="10" fontId="2" fillId="0" borderId="24" xfId="2" applyNumberFormat="1" applyFont="1" applyFill="1" applyBorder="1" applyAlignment="1">
      <alignment vertical="center"/>
    </xf>
    <xf numFmtId="10" fontId="2" fillId="0" borderId="10" xfId="2" applyNumberFormat="1" applyFont="1" applyBorder="1" applyAlignment="1">
      <alignment vertical="center"/>
    </xf>
    <xf numFmtId="10" fontId="2" fillId="0" borderId="11" xfId="2" applyNumberFormat="1" applyFont="1" applyBorder="1" applyAlignment="1">
      <alignment vertical="center"/>
    </xf>
    <xf numFmtId="10" fontId="2" fillId="0" borderId="24" xfId="2" applyNumberFormat="1" applyFont="1" applyBorder="1" applyAlignment="1">
      <alignment vertical="center"/>
    </xf>
    <xf numFmtId="164" fontId="2" fillId="0" borderId="33" xfId="1" quotePrefix="1" applyNumberFormat="1" applyFont="1" applyBorder="1" applyAlignment="1" applyProtection="1">
      <alignment horizontal="center"/>
      <protection locked="0"/>
    </xf>
    <xf numFmtId="164" fontId="2" fillId="0" borderId="34" xfId="1" quotePrefix="1" applyNumberFormat="1" applyFont="1" applyBorder="1" applyAlignment="1" applyProtection="1">
      <alignment horizontal="center"/>
      <protection locked="0"/>
    </xf>
    <xf numFmtId="164" fontId="2" fillId="0" borderId="35" xfId="1" quotePrefix="1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Continuous"/>
    </xf>
    <xf numFmtId="164" fontId="2" fillId="0" borderId="24" xfId="0" applyNumberFormat="1" applyFont="1" applyBorder="1"/>
    <xf numFmtId="0" fontId="4" fillId="0" borderId="0" xfId="0" applyFont="1"/>
    <xf numFmtId="0" fontId="4" fillId="0" borderId="2" xfId="0" applyFont="1" applyBorder="1"/>
    <xf numFmtId="164" fontId="2" fillId="0" borderId="33" xfId="1" quotePrefix="1" applyNumberFormat="1" applyFont="1" applyFill="1" applyBorder="1" applyAlignment="1" applyProtection="1">
      <alignment horizontal="center"/>
      <protection locked="0"/>
    </xf>
    <xf numFmtId="164" fontId="4" fillId="0" borderId="10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0" xfId="1" applyNumberFormat="1" applyFont="1" applyFill="1" applyBorder="1" applyProtection="1">
      <protection locked="0"/>
    </xf>
    <xf numFmtId="164" fontId="2" fillId="0" borderId="10" xfId="1" quotePrefix="1" applyNumberFormat="1" applyFont="1" applyFill="1" applyBorder="1" applyAlignment="1" applyProtection="1">
      <alignment horizontal="left"/>
      <protection locked="0"/>
    </xf>
    <xf numFmtId="164" fontId="2" fillId="0" borderId="10" xfId="1" applyNumberFormat="1" applyFont="1" applyFill="1" applyBorder="1" applyAlignment="1" applyProtection="1">
      <alignment horizontal="left"/>
      <protection locked="0"/>
    </xf>
    <xf numFmtId="164" fontId="2" fillId="0" borderId="12" xfId="1" applyNumberFormat="1" applyFont="1" applyFill="1" applyBorder="1" applyProtection="1">
      <protection locked="0"/>
    </xf>
    <xf numFmtId="164" fontId="2" fillId="0" borderId="14" xfId="1" applyNumberFormat="1" applyFont="1" applyFill="1" applyBorder="1" applyAlignment="1" applyProtection="1">
      <alignment horizontal="left"/>
      <protection locked="0"/>
    </xf>
    <xf numFmtId="164" fontId="2" fillId="0" borderId="16" xfId="1" applyNumberFormat="1" applyFont="1" applyFill="1" applyBorder="1" applyAlignment="1"/>
    <xf numFmtId="164" fontId="2" fillId="0" borderId="12" xfId="1" quotePrefix="1" applyNumberFormat="1" applyFont="1" applyFill="1" applyBorder="1" applyAlignment="1" applyProtection="1">
      <alignment horizontal="left"/>
      <protection locked="0"/>
    </xf>
    <xf numFmtId="164" fontId="2" fillId="0" borderId="16" xfId="1" applyNumberFormat="1" applyFont="1" applyFill="1" applyBorder="1" applyAlignment="1">
      <alignment vertical="center"/>
    </xf>
    <xf numFmtId="164" fontId="2" fillId="0" borderId="10" xfId="0" applyNumberFormat="1" applyFont="1" applyFill="1" applyBorder="1"/>
    <xf numFmtId="164" fontId="2" fillId="0" borderId="14" xfId="1" applyNumberFormat="1" applyFont="1" applyFill="1" applyBorder="1" applyProtection="1">
      <protection locked="0"/>
    </xf>
    <xf numFmtId="164" fontId="2" fillId="0" borderId="10" xfId="1" applyNumberFormat="1" applyFont="1" applyFill="1" applyBorder="1"/>
    <xf numFmtId="164" fontId="2" fillId="0" borderId="18" xfId="1" applyNumberFormat="1" applyFont="1" applyFill="1" applyBorder="1"/>
    <xf numFmtId="164" fontId="4" fillId="0" borderId="36" xfId="1" applyNumberFormat="1" applyFont="1" applyFill="1" applyBorder="1" applyAlignment="1">
      <alignment horizontal="centerContinuous"/>
    </xf>
    <xf numFmtId="164" fontId="2" fillId="0" borderId="24" xfId="1" applyNumberFormat="1" applyFont="1" applyBorder="1" applyAlignment="1" applyProtection="1">
      <alignment horizontal="center"/>
      <protection locked="0"/>
    </xf>
    <xf numFmtId="164" fontId="2" fillId="0" borderId="26" xfId="1" quotePrefix="1" applyNumberFormat="1" applyFont="1" applyBorder="1" applyAlignment="1" applyProtection="1">
      <alignment horizontal="left"/>
      <protection locked="0"/>
    </xf>
    <xf numFmtId="164" fontId="2" fillId="0" borderId="24" xfId="1" applyNumberFormat="1" applyFont="1" applyBorder="1"/>
    <xf numFmtId="164" fontId="2" fillId="0" borderId="29" xfId="1" applyNumberFormat="1" applyFont="1" applyBorder="1"/>
    <xf numFmtId="164" fontId="2" fillId="0" borderId="36" xfId="1" applyNumberFormat="1" applyFont="1" applyBorder="1" applyAlignment="1">
      <alignment horizontal="centerContinuous"/>
    </xf>
    <xf numFmtId="165" fontId="2" fillId="0" borderId="0" xfId="2" applyNumberFormat="1" applyFont="1"/>
    <xf numFmtId="165" fontId="2" fillId="0" borderId="0" xfId="2" applyNumberFormat="1" applyFont="1" applyBorder="1"/>
    <xf numFmtId="165" fontId="2" fillId="0" borderId="2" xfId="2" applyNumberFormat="1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/>
    <xf numFmtId="165" fontId="2" fillId="0" borderId="6" xfId="2" applyNumberFormat="1" applyFont="1" applyBorder="1"/>
    <xf numFmtId="0" fontId="2" fillId="0" borderId="7" xfId="0" applyFont="1" applyBorder="1"/>
    <xf numFmtId="165" fontId="2" fillId="0" borderId="7" xfId="2" applyNumberFormat="1" applyFont="1" applyBorder="1"/>
    <xf numFmtId="165" fontId="2" fillId="0" borderId="8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2" fillId="0" borderId="0" xfId="0" quotePrefix="1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2" xfId="0" applyFont="1" applyBorder="1"/>
    <xf numFmtId="165" fontId="2" fillId="0" borderId="0" xfId="2" quotePrefix="1" applyNumberFormat="1" applyFont="1"/>
    <xf numFmtId="10" fontId="2" fillId="0" borderId="0" xfId="2" applyNumberFormat="1" applyFont="1"/>
    <xf numFmtId="165" fontId="2" fillId="0" borderId="3" xfId="2" quotePrefix="1" applyNumberFormat="1" applyFont="1" applyBorder="1"/>
    <xf numFmtId="165" fontId="2" fillId="0" borderId="0" xfId="2" quotePrefix="1" applyNumberFormat="1" applyFont="1" applyBorder="1"/>
    <xf numFmtId="0" fontId="2" fillId="0" borderId="0" xfId="0" quotePrefix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164" fontId="4" fillId="0" borderId="0" xfId="1" applyNumberFormat="1" applyFont="1" applyAlignment="1"/>
    <xf numFmtId="0" fontId="6" fillId="0" borderId="0" xfId="0" applyFont="1" applyAlignment="1">
      <alignment horizontal="centerContinuous"/>
    </xf>
    <xf numFmtId="0" fontId="4" fillId="0" borderId="36" xfId="0" applyFont="1" applyBorder="1" applyAlignment="1">
      <alignment horizontal="center"/>
    </xf>
    <xf numFmtId="164" fontId="4" fillId="0" borderId="37" xfId="0" applyNumberFormat="1" applyFont="1" applyBorder="1"/>
    <xf numFmtId="0" fontId="4" fillId="0" borderId="0" xfId="0" applyFont="1" applyFill="1" applyBorder="1"/>
    <xf numFmtId="0" fontId="4" fillId="0" borderId="0" xfId="0" applyFont="1" applyFill="1" applyBorder="1" applyProtection="1">
      <protection locked="0"/>
    </xf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 applyProtection="1">
      <alignment horizontal="left" indent="2"/>
      <protection locked="0"/>
    </xf>
    <xf numFmtId="0" fontId="2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indent="2"/>
    </xf>
    <xf numFmtId="0" fontId="2" fillId="0" borderId="0" xfId="0" applyFont="1" applyBorder="1" applyAlignment="1" applyProtection="1">
      <alignment horizontal="left" indent="2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164" fontId="4" fillId="0" borderId="0" xfId="1" applyNumberFormat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Alignment="1" applyProtection="1">
      <alignment horizontal="center"/>
      <protection locked="0"/>
    </xf>
    <xf numFmtId="164" fontId="2" fillId="0" borderId="2" xfId="1" applyNumberFormat="1" applyFont="1" applyBorder="1" applyAlignment="1" applyProtection="1">
      <alignment horizontal="center"/>
      <protection locked="0"/>
    </xf>
    <xf numFmtId="41" fontId="2" fillId="0" borderId="0" xfId="1" applyNumberFormat="1" applyFont="1" applyBorder="1" applyAlignment="1" applyProtection="1">
      <alignment horizontal="center"/>
      <protection locked="0"/>
    </xf>
    <xf numFmtId="164" fontId="4" fillId="0" borderId="1" xfId="1" applyNumberFormat="1" applyFont="1" applyBorder="1" applyAlignment="1" applyProtection="1">
      <alignment horizontal="center"/>
      <protection locked="0"/>
    </xf>
    <xf numFmtId="12" fontId="2" fillId="0" borderId="0" xfId="1" applyNumberFormat="1" applyFont="1" applyBorder="1" applyAlignment="1" applyProtection="1">
      <alignment horizontal="center"/>
      <protection locked="0"/>
    </xf>
    <xf numFmtId="164" fontId="4" fillId="0" borderId="0" xfId="1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166" fontId="2" fillId="0" borderId="0" xfId="0" applyNumberFormat="1" applyFont="1" applyBorder="1" applyAlignment="1" applyProtection="1">
      <alignment horizontal="center"/>
      <protection locked="0"/>
    </xf>
    <xf numFmtId="0" fontId="7" fillId="0" borderId="0" xfId="0" applyNumberFormat="1" applyFont="1" applyBorder="1" applyAlignment="1" applyProtection="1">
      <alignment horizontal="center"/>
      <protection locked="0"/>
    </xf>
    <xf numFmtId="0" fontId="2" fillId="0" borderId="0" xfId="0" quotePrefix="1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2" fillId="0" borderId="0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164" fontId="8" fillId="0" borderId="0" xfId="1" applyNumberFormat="1" applyFont="1" applyAlignment="1">
      <alignment horizontal="left"/>
    </xf>
    <xf numFmtId="164" fontId="8" fillId="0" borderId="0" xfId="1" applyNumberFormat="1" applyFont="1" applyBorder="1" applyAlignment="1">
      <alignment horizontal="left"/>
    </xf>
    <xf numFmtId="164" fontId="5" fillId="0" borderId="0" xfId="1" applyNumberFormat="1" applyFont="1" applyFill="1" applyBorder="1" applyAlignment="1">
      <alignment wrapText="1"/>
    </xf>
    <xf numFmtId="164" fontId="9" fillId="0" borderId="0" xfId="1" applyNumberFormat="1" applyFont="1" applyFill="1" applyBorder="1" applyAlignment="1">
      <alignment horizontal="center" wrapText="1"/>
    </xf>
    <xf numFmtId="164" fontId="2" fillId="0" borderId="34" xfId="1" applyNumberFormat="1" applyFont="1" applyBorder="1" applyAlignment="1" applyProtection="1">
      <alignment horizontal="center"/>
      <protection locked="0"/>
    </xf>
    <xf numFmtId="164" fontId="2" fillId="2" borderId="0" xfId="1" quotePrefix="1" applyNumberFormat="1" applyFont="1" applyFill="1" applyBorder="1" applyAlignment="1" applyProtection="1">
      <alignment horizontal="center"/>
      <protection locked="0"/>
    </xf>
    <xf numFmtId="164" fontId="4" fillId="2" borderId="0" xfId="1" applyNumberFormat="1" applyFont="1" applyFill="1" applyBorder="1" applyAlignment="1" applyProtection="1">
      <alignment horizontal="center" vertical="center" wrapText="1"/>
      <protection locked="0"/>
    </xf>
    <xf numFmtId="164" fontId="2" fillId="2" borderId="0" xfId="1" applyNumberFormat="1" applyFont="1" applyFill="1" applyBorder="1" applyProtection="1">
      <protection locked="0"/>
    </xf>
    <xf numFmtId="164" fontId="2" fillId="2" borderId="0" xfId="1" applyNumberFormat="1" applyFont="1" applyFill="1" applyBorder="1" applyAlignment="1" applyProtection="1">
      <alignment horizontal="center"/>
      <protection locked="0"/>
    </xf>
    <xf numFmtId="164" fontId="2" fillId="2" borderId="0" xfId="1" quotePrefix="1" applyNumberFormat="1" applyFont="1" applyFill="1" applyBorder="1" applyAlignment="1" applyProtection="1">
      <alignment horizontal="left"/>
      <protection locked="0"/>
    </xf>
    <xf numFmtId="164" fontId="2" fillId="2" borderId="0" xfId="1" applyNumberFormat="1" applyFont="1" applyFill="1" applyBorder="1" applyAlignment="1" applyProtection="1">
      <alignment horizontal="left"/>
      <protection locked="0"/>
    </xf>
    <xf numFmtId="164" fontId="2" fillId="2" borderId="1" xfId="1" applyNumberFormat="1" applyFont="1" applyFill="1" applyBorder="1" applyProtection="1">
      <protection locked="0"/>
    </xf>
    <xf numFmtId="164" fontId="2" fillId="2" borderId="2" xfId="1" applyNumberFormat="1" applyFont="1" applyFill="1" applyBorder="1" applyAlignment="1" applyProtection="1">
      <alignment horizontal="left"/>
      <protection locked="0"/>
    </xf>
    <xf numFmtId="164" fontId="2" fillId="2" borderId="2" xfId="1" quotePrefix="1" applyNumberFormat="1" applyFont="1" applyFill="1" applyBorder="1" applyAlignment="1" applyProtection="1">
      <alignment horizontal="left"/>
      <protection locked="0"/>
    </xf>
    <xf numFmtId="164" fontId="2" fillId="2" borderId="3" xfId="1" applyNumberFormat="1" applyFont="1" applyFill="1" applyBorder="1" applyAlignment="1"/>
    <xf numFmtId="164" fontId="2" fillId="2" borderId="1" xfId="1" quotePrefix="1" applyNumberFormat="1" applyFont="1" applyFill="1" applyBorder="1" applyAlignment="1" applyProtection="1">
      <alignment horizontal="left"/>
      <protection locked="0"/>
    </xf>
    <xf numFmtId="164" fontId="2" fillId="2" borderId="3" xfId="1" applyNumberFormat="1" applyFont="1" applyFill="1" applyBorder="1" applyAlignment="1">
      <alignment vertical="center"/>
    </xf>
    <xf numFmtId="10" fontId="2" fillId="2" borderId="0" xfId="2" applyNumberFormat="1" applyFont="1" applyFill="1" applyBorder="1" applyAlignment="1">
      <alignment vertical="center"/>
    </xf>
    <xf numFmtId="164" fontId="2" fillId="2" borderId="0" xfId="0" applyNumberFormat="1" applyFont="1" applyFill="1" applyBorder="1"/>
    <xf numFmtId="165" fontId="2" fillId="2" borderId="0" xfId="2" applyNumberFormat="1" applyFont="1" applyFill="1" applyBorder="1" applyAlignment="1">
      <alignment vertical="center"/>
    </xf>
    <xf numFmtId="164" fontId="2" fillId="2" borderId="2" xfId="1" applyNumberFormat="1" applyFont="1" applyFill="1" applyBorder="1" applyProtection="1">
      <protection locked="0"/>
    </xf>
    <xf numFmtId="164" fontId="2" fillId="2" borderId="0" xfId="1" applyNumberFormat="1" applyFont="1" applyFill="1" applyBorder="1" applyAlignment="1">
      <alignment vertical="center"/>
    </xf>
    <xf numFmtId="164" fontId="2" fillId="2" borderId="19" xfId="1" applyNumberFormat="1" applyFont="1" applyFill="1" applyBorder="1" applyProtection="1">
      <protection locked="0"/>
    </xf>
    <xf numFmtId="164" fontId="2" fillId="2" borderId="34" xfId="1" quotePrefix="1" applyNumberFormat="1" applyFont="1" applyFill="1" applyBorder="1" applyAlignment="1" applyProtection="1">
      <alignment horizontal="center"/>
      <protection locked="0"/>
    </xf>
    <xf numFmtId="164" fontId="2" fillId="2" borderId="10" xfId="1" quotePrefix="1" applyNumberFormat="1" applyFont="1" applyFill="1" applyBorder="1" applyAlignment="1" applyProtection="1">
      <alignment horizontal="center"/>
      <protection locked="0"/>
    </xf>
    <xf numFmtId="164" fontId="4" fillId="2" borderId="10" xfId="1" quotePrefix="1" applyNumberFormat="1" applyFont="1" applyFill="1" applyBorder="1" applyAlignment="1" applyProtection="1">
      <alignment horizontal="center" vertical="center" wrapText="1"/>
      <protection locked="0"/>
    </xf>
    <xf numFmtId="164" fontId="2" fillId="2" borderId="10" xfId="1" applyNumberFormat="1" applyFont="1" applyFill="1" applyBorder="1" applyAlignment="1" applyProtection="1">
      <alignment horizontal="center"/>
      <protection locked="0"/>
    </xf>
    <xf numFmtId="164" fontId="2" fillId="2" borderId="10" xfId="1" applyNumberFormat="1" applyFont="1" applyFill="1" applyBorder="1" applyProtection="1">
      <protection locked="0"/>
    </xf>
    <xf numFmtId="164" fontId="2" fillId="2" borderId="10" xfId="1" applyNumberFormat="1" applyFont="1" applyFill="1" applyBorder="1" applyAlignment="1" applyProtection="1">
      <alignment horizontal="left"/>
      <protection locked="0"/>
    </xf>
    <xf numFmtId="164" fontId="2" fillId="2" borderId="12" xfId="1" applyNumberFormat="1" applyFont="1" applyFill="1" applyBorder="1" applyProtection="1">
      <protection locked="0"/>
    </xf>
    <xf numFmtId="164" fontId="2" fillId="2" borderId="10" xfId="1" quotePrefix="1" applyNumberFormat="1" applyFont="1" applyFill="1" applyBorder="1" applyAlignment="1" applyProtection="1">
      <alignment horizontal="left"/>
      <protection locked="0"/>
    </xf>
    <xf numFmtId="164" fontId="2" fillId="2" borderId="14" xfId="1" applyNumberFormat="1" applyFont="1" applyFill="1" applyBorder="1" applyAlignment="1" applyProtection="1">
      <alignment horizontal="left"/>
      <protection locked="0"/>
    </xf>
    <xf numFmtId="164" fontId="2" fillId="2" borderId="16" xfId="1" applyNumberFormat="1" applyFont="1" applyFill="1" applyBorder="1" applyAlignment="1"/>
    <xf numFmtId="164" fontId="2" fillId="2" borderId="12" xfId="1" quotePrefix="1" applyNumberFormat="1" applyFont="1" applyFill="1" applyBorder="1" applyAlignment="1" applyProtection="1">
      <alignment horizontal="left"/>
      <protection locked="0"/>
    </xf>
    <xf numFmtId="164" fontId="2" fillId="2" borderId="16" xfId="1" applyNumberFormat="1" applyFont="1" applyFill="1" applyBorder="1" applyAlignment="1">
      <alignment vertical="center"/>
    </xf>
    <xf numFmtId="10" fontId="2" fillId="2" borderId="10" xfId="2" applyNumberFormat="1" applyFont="1" applyFill="1" applyBorder="1" applyAlignment="1">
      <alignment vertical="center"/>
    </xf>
    <xf numFmtId="164" fontId="2" fillId="2" borderId="10" xfId="0" applyNumberFormat="1" applyFont="1" applyFill="1" applyBorder="1"/>
    <xf numFmtId="165" fontId="2" fillId="2" borderId="10" xfId="2" applyNumberFormat="1" applyFont="1" applyFill="1" applyBorder="1" applyAlignment="1">
      <alignment vertical="center"/>
    </xf>
    <xf numFmtId="164" fontId="2" fillId="2" borderId="14" xfId="1" applyNumberFormat="1" applyFont="1" applyFill="1" applyBorder="1" applyProtection="1">
      <protection locked="0"/>
    </xf>
    <xf numFmtId="164" fontId="2" fillId="2" borderId="10" xfId="1" applyNumberFormat="1" applyFont="1" applyFill="1" applyBorder="1" applyAlignment="1">
      <alignment vertical="center"/>
    </xf>
    <xf numFmtId="164" fontId="2" fillId="2" borderId="10" xfId="1" applyNumberFormat="1" applyFont="1" applyFill="1" applyBorder="1"/>
    <xf numFmtId="164" fontId="2" fillId="2" borderId="18" xfId="1" applyNumberFormat="1" applyFont="1" applyFill="1" applyBorder="1"/>
    <xf numFmtId="164" fontId="2" fillId="2" borderId="33" xfId="1" quotePrefix="1" applyNumberFormat="1" applyFont="1" applyFill="1" applyBorder="1" applyAlignment="1" applyProtection="1">
      <alignment horizontal="center"/>
      <protection locked="0"/>
    </xf>
    <xf numFmtId="164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2" fillId="2" borderId="30" xfId="1" applyNumberFormat="1" applyFont="1" applyFill="1" applyBorder="1" applyProtection="1">
      <protection locked="0"/>
    </xf>
    <xf numFmtId="164" fontId="2" fillId="2" borderId="18" xfId="1" applyNumberFormat="1" applyFont="1" applyFill="1" applyBorder="1" applyProtection="1">
      <protection locked="0"/>
    </xf>
    <xf numFmtId="164" fontId="4" fillId="2" borderId="10" xfId="1" quotePrefix="1" applyNumberFormat="1" applyFont="1" applyFill="1" applyBorder="1" applyAlignment="1" applyProtection="1">
      <alignment horizontal="center" wrapText="1"/>
      <protection locked="0"/>
    </xf>
    <xf numFmtId="164" fontId="2" fillId="2" borderId="16" xfId="1" applyNumberFormat="1" applyFont="1" applyFill="1" applyBorder="1" applyProtection="1">
      <protection locked="0"/>
    </xf>
    <xf numFmtId="164" fontId="4" fillId="2" borderId="10" xfId="1" applyNumberFormat="1" applyFont="1" applyFill="1" applyBorder="1" applyAlignment="1" applyProtection="1">
      <alignment horizontal="center" wrapText="1"/>
      <protection locked="0"/>
    </xf>
    <xf numFmtId="164" fontId="2" fillId="2" borderId="11" xfId="1" quotePrefix="1" applyNumberFormat="1" applyFont="1" applyFill="1" applyBorder="1" applyAlignment="1" applyProtection="1">
      <alignment horizontal="center"/>
      <protection locked="0"/>
    </xf>
    <xf numFmtId="164" fontId="4" fillId="2" borderId="11" xfId="1" applyNumberFormat="1" applyFont="1" applyFill="1" applyBorder="1" applyAlignment="1" applyProtection="1">
      <alignment horizontal="center" wrapText="1"/>
      <protection locked="0"/>
    </xf>
    <xf numFmtId="164" fontId="2" fillId="2" borderId="11" xfId="1" applyNumberFormat="1" applyFont="1" applyFill="1" applyBorder="1" applyAlignment="1" applyProtection="1">
      <alignment horizontal="center"/>
      <protection locked="0"/>
    </xf>
    <xf numFmtId="164" fontId="2" fillId="2" borderId="11" xfId="1" applyNumberFormat="1" applyFont="1" applyFill="1" applyBorder="1" applyProtection="1">
      <protection locked="0"/>
    </xf>
    <xf numFmtId="164" fontId="2" fillId="2" borderId="11" xfId="1" quotePrefix="1" applyNumberFormat="1" applyFont="1" applyFill="1" applyBorder="1" applyAlignment="1" applyProtection="1">
      <alignment horizontal="left"/>
      <protection locked="0"/>
    </xf>
    <xf numFmtId="164" fontId="2" fillId="2" borderId="13" xfId="1" applyNumberFormat="1" applyFont="1" applyFill="1" applyBorder="1" applyProtection="1">
      <protection locked="0"/>
    </xf>
    <xf numFmtId="164" fontId="2" fillId="2" borderId="15" xfId="1" quotePrefix="1" applyNumberFormat="1" applyFont="1" applyFill="1" applyBorder="1" applyAlignment="1" applyProtection="1">
      <alignment horizontal="left"/>
      <protection locked="0"/>
    </xf>
    <xf numFmtId="164" fontId="2" fillId="2" borderId="17" xfId="1" applyNumberFormat="1" applyFont="1" applyFill="1" applyBorder="1" applyAlignment="1"/>
    <xf numFmtId="164" fontId="2" fillId="2" borderId="13" xfId="1" quotePrefix="1" applyNumberFormat="1" applyFont="1" applyFill="1" applyBorder="1" applyAlignment="1" applyProtection="1">
      <alignment horizontal="left"/>
      <protection locked="0"/>
    </xf>
    <xf numFmtId="164" fontId="2" fillId="2" borderId="17" xfId="1" applyNumberFormat="1" applyFont="1" applyFill="1" applyBorder="1" applyProtection="1">
      <protection locked="0"/>
    </xf>
    <xf numFmtId="10" fontId="2" fillId="2" borderId="11" xfId="2" applyNumberFormat="1" applyFont="1" applyFill="1" applyBorder="1" applyAlignment="1">
      <alignment vertical="center"/>
    </xf>
    <xf numFmtId="165" fontId="2" fillId="2" borderId="11" xfId="2" applyNumberFormat="1" applyFont="1" applyFill="1" applyBorder="1" applyAlignment="1">
      <alignment vertical="center"/>
    </xf>
    <xf numFmtId="164" fontId="2" fillId="2" borderId="31" xfId="1" applyNumberFormat="1" applyFont="1" applyFill="1" applyBorder="1" applyProtection="1">
      <protection locked="0"/>
    </xf>
    <xf numFmtId="164" fontId="2" fillId="2" borderId="20" xfId="1" applyNumberFormat="1" applyFont="1" applyFill="1" applyBorder="1" applyProtection="1">
      <protection locked="0"/>
    </xf>
    <xf numFmtId="0" fontId="1" fillId="0" borderId="0" xfId="3"/>
    <xf numFmtId="0" fontId="1" fillId="0" borderId="0" xfId="3" applyAlignment="1">
      <alignment horizontal="centerContinuous"/>
    </xf>
    <xf numFmtId="167" fontId="1" fillId="0" borderId="0" xfId="3" applyNumberFormat="1" applyAlignment="1">
      <alignment horizontal="right"/>
    </xf>
    <xf numFmtId="0" fontId="2" fillId="0" borderId="0" xfId="3" applyFont="1" applyAlignment="1">
      <alignment horizontal="right"/>
    </xf>
    <xf numFmtId="0" fontId="3" fillId="0" borderId="0" xfId="3" applyFont="1" applyAlignment="1">
      <alignment horizontal="center" wrapText="1"/>
    </xf>
    <xf numFmtId="0" fontId="3" fillId="0" borderId="0" xfId="3" quotePrefix="1" applyFont="1" applyAlignment="1">
      <alignment horizontal="center" wrapText="1"/>
    </xf>
    <xf numFmtId="0" fontId="3" fillId="0" borderId="0" xfId="3" applyFont="1"/>
    <xf numFmtId="164" fontId="3" fillId="0" borderId="0" xfId="4" applyNumberFormat="1" applyFont="1"/>
    <xf numFmtId="164" fontId="3" fillId="0" borderId="1" xfId="4" applyNumberFormat="1" applyFont="1" applyBorder="1"/>
    <xf numFmtId="164" fontId="3" fillId="0" borderId="2" xfId="4" applyNumberFormat="1" applyFont="1" applyBorder="1"/>
    <xf numFmtId="164" fontId="3" fillId="0" borderId="0" xfId="3" applyNumberFormat="1" applyFont="1"/>
    <xf numFmtId="0" fontId="3" fillId="0" borderId="0" xfId="3" quotePrefix="1" applyFont="1" applyAlignment="1">
      <alignment horizontal="left"/>
    </xf>
    <xf numFmtId="164" fontId="3" fillId="0" borderId="1" xfId="3" applyNumberFormat="1" applyFont="1" applyBorder="1"/>
    <xf numFmtId="164" fontId="3" fillId="0" borderId="3" xfId="3" applyNumberFormat="1" applyFont="1" applyBorder="1"/>
    <xf numFmtId="10" fontId="3" fillId="0" borderId="0" xfId="5" quotePrefix="1" applyNumberFormat="1" applyFont="1" applyAlignment="1">
      <alignment horizontal="left"/>
    </xf>
    <xf numFmtId="10" fontId="3" fillId="0" borderId="0" xfId="5" applyNumberFormat="1" applyFont="1"/>
    <xf numFmtId="0" fontId="3" fillId="0" borderId="0" xfId="3" applyFont="1" applyFill="1" applyBorder="1" applyAlignment="1">
      <alignment vertical="center"/>
    </xf>
    <xf numFmtId="164" fontId="3" fillId="0" borderId="0" xfId="4" quotePrefix="1" applyNumberFormat="1" applyFont="1"/>
    <xf numFmtId="164" fontId="3" fillId="0" borderId="2" xfId="3" applyNumberFormat="1" applyFont="1" applyBorder="1"/>
    <xf numFmtId="164" fontId="3" fillId="0" borderId="0" xfId="4" applyNumberFormat="1" applyFont="1" applyBorder="1"/>
    <xf numFmtId="164" fontId="3" fillId="0" borderId="0" xfId="3" applyNumberFormat="1" applyFont="1" applyBorder="1"/>
    <xf numFmtId="164" fontId="3" fillId="0" borderId="5" xfId="3" applyNumberFormat="1" applyFont="1" applyBorder="1"/>
    <xf numFmtId="164" fontId="3" fillId="0" borderId="0" xfId="1" applyNumberFormat="1" applyFont="1"/>
    <xf numFmtId="164" fontId="2" fillId="0" borderId="14" xfId="1" applyNumberFormat="1" applyFont="1" applyBorder="1" applyProtection="1">
      <protection locked="0"/>
    </xf>
    <xf numFmtId="164" fontId="2" fillId="0" borderId="18" xfId="1" applyNumberFormat="1" applyFont="1" applyBorder="1"/>
    <xf numFmtId="164" fontId="4" fillId="0" borderId="0" xfId="1" applyNumberFormat="1" applyFont="1" applyBorder="1" applyAlignment="1">
      <alignment horizontal="left"/>
    </xf>
    <xf numFmtId="164" fontId="2" fillId="2" borderId="3" xfId="1" applyNumberFormat="1" applyFont="1" applyFill="1" applyBorder="1" applyProtection="1">
      <protection locked="0"/>
    </xf>
    <xf numFmtId="164" fontId="2" fillId="2" borderId="4" xfId="1" applyNumberFormat="1" applyFont="1" applyFill="1" applyBorder="1" applyProtection="1">
      <protection locked="0"/>
    </xf>
    <xf numFmtId="164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164" fontId="7" fillId="0" borderId="0" xfId="1" applyNumberFormat="1" applyFont="1"/>
    <xf numFmtId="164" fontId="7" fillId="0" borderId="0" xfId="1" applyNumberFormat="1" applyFont="1" applyFill="1" applyBorder="1"/>
    <xf numFmtId="164" fontId="8" fillId="0" borderId="0" xfId="1" applyNumberFormat="1" applyFont="1" applyFill="1" applyBorder="1"/>
    <xf numFmtId="164" fontId="8" fillId="0" borderId="0" xfId="1" applyNumberFormat="1" applyFont="1"/>
    <xf numFmtId="164" fontId="8" fillId="0" borderId="0" xfId="1" applyNumberFormat="1" applyFont="1" applyAlignment="1">
      <alignment vertical="center"/>
    </xf>
    <xf numFmtId="164" fontId="7" fillId="0" borderId="0" xfId="1" applyNumberFormat="1" applyFont="1" applyBorder="1"/>
    <xf numFmtId="164" fontId="4" fillId="0" borderId="22" xfId="1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4" fontId="4" fillId="0" borderId="21" xfId="1" applyNumberFormat="1" applyFont="1" applyFill="1" applyBorder="1" applyAlignment="1">
      <alignment horizontal="center"/>
    </xf>
    <xf numFmtId="164" fontId="4" fillId="0" borderId="22" xfId="1" applyNumberFormat="1" applyFont="1" applyFill="1" applyBorder="1" applyAlignment="1">
      <alignment horizontal="center"/>
    </xf>
    <xf numFmtId="0" fontId="0" fillId="0" borderId="22" xfId="0" applyBorder="1" applyAlignment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64" fontId="4" fillId="0" borderId="22" xfId="1" applyNumberFormat="1" applyFont="1" applyBorder="1"/>
    <xf numFmtId="164" fontId="4" fillId="0" borderId="23" xfId="1" applyNumberFormat="1" applyFont="1" applyBorder="1"/>
    <xf numFmtId="164" fontId="4" fillId="0" borderId="21" xfId="1" applyNumberFormat="1" applyFont="1" applyBorder="1" applyAlignment="1">
      <alignment horizontal="center"/>
    </xf>
  </cellXfs>
  <cellStyles count="6">
    <cellStyle name="Comma" xfId="1" builtinId="3"/>
    <cellStyle name="Comma 2" xfId="4"/>
    <cellStyle name="Normal" xfId="0" builtinId="0"/>
    <cellStyle name="Normal 2" xfId="3"/>
    <cellStyle name="Percent" xfId="2" builtinId="5"/>
    <cellStyle name="Percent 2" xfId="5"/>
  </cellStyles>
  <dxfs count="0"/>
  <tableStyles count="0" defaultTableStyle="TableStyleMedium9" defaultPivotStyle="PivotStyleLight16"/>
  <colors>
    <mruColors>
      <color rgb="FFCCECFF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8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4.xml"/><Relationship Id="rId1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customXml" Target="../customXml/item2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v.%20Req.%20Models/WA%20JAM%20Dec%202009%20GRC%20-%20Rebuttal%20(Supp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5.4%20BPA%20Residential%20Exchang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4.6%20DSM%20Expense%20Remova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12%20-%20Adjustments/12.4%20Rebuttal%20Advertising%20Expens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8.3%20Environmental%20Remediation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12%20-%20Adjustments/12.2%20Rebuttal%20SERP%20-%20Revised%2012.10.1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12%20-%20Adjustments/12.3%20Rebuttal%20Affiliated%20Management%20Fee%20-%20Revised%2012.10.10%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5.6%20Remove%20Colstrip%20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8.6%20Removal%20of%20Colstrip%20%234%20AFUDC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8.8%20Trojan%20Unrecovered%20Plant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7.4%20Malin%20Midpoint%20Dec%2020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v.%20Req.%20Models/WA%20RAM%20Dec%202009%20GRC%20-%20Rebuttal%20(Supp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7.5%20WA%20FAS%20109%20Flow%20Through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7.8%20Remove%20Def%20State%20Tax%20Exp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7.9%20Current%20Year%20Def%20Income%20Tax%20Normalizati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7.10%20Medicare%20Deferred%20Tax%20Expense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8.5%20Miscellaneous%20Rate%20Base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12%20-%20Adjustments/12.1%20Rebuttal%20SO2%20Emission%20Allowance%20Revenues%20-%20Revised%2012.10.1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8.9%20Customer%20Service%20Deposi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8.2%20Jim%20Bridger%20Mine%20-%20Revised%2011-23-1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6.1%20Hydro%20Decommissioning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7.2%20ADIT%20Factor%20Correc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3.1,%203.2%20and%203.3%20Revenue%20Adjustments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7.11%20Avg%20Balance%20for%20ADIT%20-%20Property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8.4%20Customer%20Advance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7.6%20AFUDC%20Equity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12%20-%20Adjustments/12.7%20Rebuttal%20Production%20Factor%20-%20Revised%2012.10.1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5.5%20James%20River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8.10%20Chehalis%20Reg%20Asset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4.4%20Pension%20Curtailment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4.8%20MEHC%20Trans%20Savings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8.7%20Powerdale%20Removal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7.7%20WA%20Public%20Utility%20Tax%20Adjustmen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3.6%20Wheeling%20Revenu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7.12%20WA%20Low%20Income%20Tax%20Credit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7.3%20Renewable%20Energy%20Tax%20Credi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12%20-%20Adjustments/12.6%20Rebuttal%20Net%20Power%20Costs%20-%20Revised%2012.10.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12%20-%20Adjustments/12.5%20Rebuttal%20REC%20Revenues%20-%20Revised%2012.10.1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4.2-3%20General%20Wage%20Increas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4.7%20Remove%20Non-Recurring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4.1%20Misc%20General%20Expens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Unchanged%20Adjs%20from%20Initial%20Filing/5.3%20Electric%20Lake%20Settlemen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port"/>
      <sheetName val="Results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  <sheetName val="WA JAM Dec 2009 GRC - Rebuttal "/>
    </sheetNames>
    <sheetDataSet>
      <sheetData sheetId="0"/>
      <sheetData sheetId="1"/>
      <sheetData sheetId="2"/>
      <sheetData sheetId="3"/>
      <sheetData sheetId="4">
        <row r="377">
          <cell r="K377">
            <v>331425.601479618</v>
          </cell>
        </row>
        <row r="390">
          <cell r="K390">
            <v>35851280.58592236</v>
          </cell>
        </row>
        <row r="644">
          <cell r="K644">
            <v>40562599.875692278</v>
          </cell>
        </row>
        <row r="704">
          <cell r="K704">
            <v>-8025121</v>
          </cell>
        </row>
        <row r="715">
          <cell r="K715">
            <v>84327279.147866249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30">
          <cell r="B30">
            <v>0.61987999999999999</v>
          </cell>
        </row>
        <row r="32">
          <cell r="B32">
            <v>5.6100000000000004E-3</v>
          </cell>
        </row>
        <row r="33">
          <cell r="B33">
            <v>2E-3</v>
          </cell>
        </row>
        <row r="34">
          <cell r="B34">
            <v>3.8730000000000001E-2</v>
          </cell>
        </row>
        <row r="35">
          <cell r="B35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5.4.1"/>
      <sheetName val="LTIP"/>
      <sheetName val="FY2006 Three Factor Formula"/>
      <sheetName val="FY2006 Senders Receivers "/>
      <sheetName val="5.4 BPA Residential Exchange"/>
    </sheetNames>
    <sheetDataSet>
      <sheetData sheetId="0">
        <row r="12">
          <cell r="I12">
            <v>8025121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4.6.1"/>
      <sheetName val="4.6.2"/>
      <sheetName val="4.6 DSM Expense Removal"/>
    </sheetNames>
    <sheetDataSet>
      <sheetData sheetId="0">
        <row r="16">
          <cell r="I16">
            <v>-4858459</v>
          </cell>
        </row>
        <row r="20">
          <cell r="I20">
            <v>-1385852.3131956439</v>
          </cell>
        </row>
        <row r="21">
          <cell r="I21">
            <v>-525944.76265158609</v>
          </cell>
        </row>
        <row r="22">
          <cell r="I22">
            <v>472405.91201826412</v>
          </cell>
        </row>
      </sheetData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leadsheet"/>
      <sheetName val="PC 12 Sum"/>
      <sheetName val="12"/>
    </sheetNames>
    <sheetDataSet>
      <sheetData sheetId="0">
        <row r="9">
          <cell r="I9">
            <v>-1791.2877475899786</v>
          </cell>
        </row>
        <row r="11">
          <cell r="I11">
            <v>-21.442785335560455</v>
          </cell>
        </row>
      </sheetData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Summary"/>
      <sheetName val="Amort Sched"/>
      <sheetName val="Adjustments to Tax"/>
      <sheetName val="WUTC 185"/>
      <sheetName val="GL 566700"/>
      <sheetName val="GL 566710"/>
      <sheetName val="1823910-Dec09"/>
      <sheetName val="8.3 Environmental Remediation"/>
    </sheetNames>
    <sheetDataSet>
      <sheetData sheetId="0">
        <row r="13">
          <cell r="I13">
            <v>54303.537524919564</v>
          </cell>
        </row>
        <row r="16">
          <cell r="I16">
            <v>-532533.3878096831</v>
          </cell>
        </row>
        <row r="17">
          <cell r="I17">
            <v>564547.91874999995</v>
          </cell>
        </row>
        <row r="18">
          <cell r="I18">
            <v>123551.71296764362</v>
          </cell>
        </row>
        <row r="21">
          <cell r="I21">
            <v>-41091.633941917637</v>
          </cell>
        </row>
        <row r="22">
          <cell r="I22">
            <v>15594.692357382572</v>
          </cell>
        </row>
        <row r="23">
          <cell r="I23">
            <v>361533.94674291194</v>
          </cell>
        </row>
        <row r="25">
          <cell r="I25">
            <v>-43743</v>
          </cell>
        </row>
        <row r="26">
          <cell r="I26">
            <v>224611</v>
          </cell>
        </row>
        <row r="27">
          <cell r="I27">
            <v>-208010</v>
          </cell>
        </row>
        <row r="28">
          <cell r="I28">
            <v>-43335</v>
          </cell>
        </row>
        <row r="29">
          <cell r="I29">
            <v>-165366</v>
          </cell>
        </row>
        <row r="31">
          <cell r="I31">
            <v>25459.400411784434</v>
          </cell>
        </row>
        <row r="32">
          <cell r="I32">
            <v>-9661.6994621422491</v>
          </cell>
        </row>
        <row r="33">
          <cell r="I33">
            <v>-46890.38717771892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Rebuttal Leadsheet"/>
      <sheetName val="PC 5"/>
      <sheetName val="12"/>
    </sheetNames>
    <sheetDataSet>
      <sheetData sheetId="0">
        <row r="9">
          <cell r="I9">
            <v>-169674.9921225</v>
          </cell>
        </row>
      </sheetData>
      <sheetData sheetId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CY2009 Invoice Summary"/>
      <sheetName val="12"/>
    </sheetNames>
    <sheetDataSet>
      <sheetData sheetId="0">
        <row r="9">
          <cell r="I9">
            <v>-92014.913865822877</v>
          </cell>
        </row>
      </sheetData>
      <sheetData sheetId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5.6.1 Property Tax Calc."/>
      <sheetName val="5.6.2 Summary"/>
      <sheetName val="5.6.3 Plant Ledger Balances"/>
      <sheetName val="5.6.4 Summary Pre-Merger"/>
      <sheetName val="5.6.5 Summary Post-Merger"/>
      <sheetName val="5.6.6 Summary Total"/>
      <sheetName val="5.6.7 ITC"/>
      <sheetName val="5.6.8 Base Data"/>
      <sheetName val="V1983"/>
      <sheetName val="V1984"/>
      <sheetName val="V1985"/>
      <sheetName val="V1986"/>
      <sheetName val="V1987"/>
      <sheetName val="V1988"/>
      <sheetName val="V1989"/>
      <sheetName val="V1990"/>
      <sheetName val="V1991"/>
      <sheetName val="V1992"/>
      <sheetName val="V1993"/>
      <sheetName val="V1994"/>
      <sheetName val="V1995"/>
      <sheetName val="V1996"/>
      <sheetName val="V1997"/>
      <sheetName val="V1998"/>
      <sheetName val="V1999"/>
      <sheetName val="V2000"/>
      <sheetName val="V2000.2"/>
      <sheetName val="V2001"/>
      <sheetName val="V2001.2"/>
      <sheetName val="V2002"/>
      <sheetName val="V2003"/>
      <sheetName val="V2003.2"/>
      <sheetName val="V2004"/>
      <sheetName val="V2004.2"/>
      <sheetName val="V2005"/>
      <sheetName val="V2005.2"/>
      <sheetName val="V2005.3"/>
      <sheetName val="V2006"/>
      <sheetName val="V2006.2"/>
      <sheetName val="V2006.3"/>
      <sheetName val="V2007"/>
      <sheetName val="V2007.2"/>
      <sheetName val="V2008"/>
      <sheetName val="V2008.2"/>
      <sheetName val="V2009"/>
      <sheetName val="Break"/>
      <sheetName val="Depr Rate"/>
      <sheetName val="5.6 Remove Colstrip 3"/>
    </sheetNames>
    <sheetDataSet>
      <sheetData sheetId="0">
        <row r="9">
          <cell r="I9">
            <v>-370246.10036195512</v>
          </cell>
        </row>
        <row r="10">
          <cell r="I10">
            <v>-26985.901168847417</v>
          </cell>
        </row>
        <row r="11">
          <cell r="I11">
            <v>-42124.459304340671</v>
          </cell>
        </row>
        <row r="12">
          <cell r="I12">
            <v>-90396.065974144673</v>
          </cell>
        </row>
        <row r="13">
          <cell r="I13">
            <v>-370246.10036195512</v>
          </cell>
        </row>
        <row r="14">
          <cell r="I14">
            <v>-26985.901168847417</v>
          </cell>
        </row>
        <row r="15">
          <cell r="I15">
            <v>116447.30590310732</v>
          </cell>
        </row>
        <row r="18">
          <cell r="I18">
            <v>-24358296.07644441</v>
          </cell>
        </row>
        <row r="19">
          <cell r="I19">
            <v>-1767631.8934282884</v>
          </cell>
        </row>
        <row r="20">
          <cell r="I20">
            <v>15693985.060380375</v>
          </cell>
        </row>
        <row r="21">
          <cell r="I21">
            <v>316777.27904775692</v>
          </cell>
        </row>
        <row r="22">
          <cell r="I22">
            <v>1572142.4576148225</v>
          </cell>
        </row>
        <row r="23">
          <cell r="I23">
            <v>144385.82344165733</v>
          </cell>
        </row>
        <row r="26">
          <cell r="I26">
            <v>-52188</v>
          </cell>
        </row>
        <row r="27">
          <cell r="I27">
            <v>19806</v>
          </cell>
        </row>
        <row r="28">
          <cell r="I28">
            <v>238507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8.6.1"/>
      <sheetName val="Depr Sch"/>
      <sheetName val="8"/>
    </sheetNames>
    <sheetDataSet>
      <sheetData sheetId="0">
        <row r="9">
          <cell r="I9">
            <v>-17990.552800000001</v>
          </cell>
        </row>
        <row r="13">
          <cell r="I13">
            <v>-17990.552800000001</v>
          </cell>
        </row>
        <row r="17">
          <cell r="I17">
            <v>-441006.12659999984</v>
          </cell>
        </row>
      </sheetData>
      <sheetData sheetId="1"/>
      <sheetData sheetId="2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Adjustment Summary"/>
      <sheetName val="8.8 Trojan Unrecovered Plant"/>
    </sheetNames>
    <sheetDataSet>
      <sheetData sheetId="0">
        <row r="11">
          <cell r="I11">
            <v>-169568.97296169098</v>
          </cell>
        </row>
        <row r="15">
          <cell r="I15">
            <v>436629.36000000004</v>
          </cell>
        </row>
        <row r="16">
          <cell r="I16">
            <v>-419071.98208723229</v>
          </cell>
        </row>
        <row r="17">
          <cell r="I17">
            <v>-286133.98627459229</v>
          </cell>
        </row>
        <row r="18">
          <cell r="I18">
            <v>0</v>
          </cell>
        </row>
        <row r="19">
          <cell r="I19">
            <v>445442.12953812571</v>
          </cell>
        </row>
        <row r="20">
          <cell r="I20">
            <v>739666.66559016658</v>
          </cell>
        </row>
        <row r="31">
          <cell r="I31">
            <v>-347730.61460689106</v>
          </cell>
        </row>
        <row r="32">
          <cell r="I32">
            <v>-162775.95081482874</v>
          </cell>
        </row>
        <row r="33">
          <cell r="I33">
            <v>294743.1197675899</v>
          </cell>
        </row>
        <row r="34">
          <cell r="I34">
            <v>-134362.97251784222</v>
          </cell>
        </row>
        <row r="35">
          <cell r="I35">
            <v>-33911.536603771216</v>
          </cell>
        </row>
      </sheetData>
      <sheetData sheetId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7.4.1"/>
      <sheetName val="7.4 Malin Midpoint Dec 2009"/>
    </sheetNames>
    <sheetDataSet>
      <sheetData sheetId="0">
        <row r="9">
          <cell r="I9">
            <v>-291666.75803272682</v>
          </cell>
        </row>
        <row r="12">
          <cell r="I12">
            <v>-510417.13577641395</v>
          </cell>
        </row>
      </sheetData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  <sheetName val="WA RAM Dec 2009 GRC - Rebuttal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C11">
            <v>266100834.98999998</v>
          </cell>
          <cell r="D11">
            <v>-6737565.5899999887</v>
          </cell>
          <cell r="E11">
            <v>259363269.39999998</v>
          </cell>
          <cell r="H11">
            <v>12402155.109999999</v>
          </cell>
          <cell r="I11">
            <v>271765424.50999999</v>
          </cell>
        </row>
        <row r="12">
          <cell r="C12">
            <v>0</v>
          </cell>
          <cell r="D12">
            <v>0</v>
          </cell>
          <cell r="E12">
            <v>0</v>
          </cell>
          <cell r="H12">
            <v>0</v>
          </cell>
          <cell r="I12">
            <v>0</v>
          </cell>
        </row>
        <row r="13">
          <cell r="C13">
            <v>78723890.002297029</v>
          </cell>
          <cell r="D13">
            <v>3803644.2032988709</v>
          </cell>
          <cell r="E13">
            <v>82527534.205595896</v>
          </cell>
          <cell r="H13">
            <v>-46215933.386372209</v>
          </cell>
          <cell r="I13">
            <v>36311600.819223687</v>
          </cell>
        </row>
        <row r="14">
          <cell r="C14">
            <v>12554856.948306177</v>
          </cell>
          <cell r="D14">
            <v>-4108989.02950744</v>
          </cell>
          <cell r="E14">
            <v>8445867.9187987372</v>
          </cell>
          <cell r="H14">
            <v>2935061.5718090204</v>
          </cell>
          <cell r="I14">
            <v>11380929.490607757</v>
          </cell>
        </row>
        <row r="15">
          <cell r="C15">
            <v>357379581.9406032</v>
          </cell>
          <cell r="D15">
            <v>-7042910.4162085578</v>
          </cell>
          <cell r="E15">
            <v>350336671.52439463</v>
          </cell>
          <cell r="H15">
            <v>-30878716.704563189</v>
          </cell>
          <cell r="I15">
            <v>319457954.81983143</v>
          </cell>
        </row>
        <row r="18">
          <cell r="C18">
            <v>48371132.770529747</v>
          </cell>
          <cell r="D18">
            <v>-1302039.490000973</v>
          </cell>
          <cell r="E18">
            <v>47069093.280528776</v>
          </cell>
          <cell r="H18">
            <v>3866911.1401345846</v>
          </cell>
          <cell r="I18">
            <v>50936004.420663364</v>
          </cell>
        </row>
        <row r="19">
          <cell r="C19">
            <v>0</v>
          </cell>
          <cell r="D19">
            <v>0</v>
          </cell>
          <cell r="E19">
            <v>0</v>
          </cell>
          <cell r="H19">
            <v>0</v>
          </cell>
          <cell r="I19">
            <v>0</v>
          </cell>
        </row>
        <row r="20">
          <cell r="C20">
            <v>6349037.5511267083</v>
          </cell>
          <cell r="D20">
            <v>1964.8349516471831</v>
          </cell>
          <cell r="E20">
            <v>6351002.3860783558</v>
          </cell>
          <cell r="H20">
            <v>14128.087987025521</v>
          </cell>
          <cell r="I20">
            <v>6365130.4740653811</v>
          </cell>
        </row>
        <row r="21">
          <cell r="C21">
            <v>125305885.00091264</v>
          </cell>
          <cell r="D21">
            <v>2206561.8332285578</v>
          </cell>
          <cell r="E21">
            <v>127512446.83414119</v>
          </cell>
          <cell r="H21">
            <v>-19481406.007589854</v>
          </cell>
          <cell r="I21">
            <v>108031040.82655135</v>
          </cell>
        </row>
        <row r="22">
          <cell r="C22">
            <v>25362553.335236829</v>
          </cell>
          <cell r="D22">
            <v>-119205.98724489645</v>
          </cell>
          <cell r="E22">
            <v>25243347.347991932</v>
          </cell>
          <cell r="H22">
            <v>4020309.1765103331</v>
          </cell>
          <cell r="I22">
            <v>29263656.524502266</v>
          </cell>
        </row>
        <row r="23">
          <cell r="C23">
            <v>13621606.721800074</v>
          </cell>
          <cell r="D23">
            <v>6969.4824389372116</v>
          </cell>
          <cell r="E23">
            <v>13628576.204239011</v>
          </cell>
          <cell r="H23">
            <v>91505.452370337007</v>
          </cell>
          <cell r="I23">
            <v>13720081.656609347</v>
          </cell>
        </row>
        <row r="24">
          <cell r="C24">
            <v>8025975.3729733964</v>
          </cell>
          <cell r="D24">
            <v>4466.1128616715359</v>
          </cell>
          <cell r="E24">
            <v>8030441.4858350679</v>
          </cell>
          <cell r="H24">
            <v>57733.388162278228</v>
          </cell>
          <cell r="I24">
            <v>8088174.8739973465</v>
          </cell>
        </row>
        <row r="25">
          <cell r="C25">
            <v>5423426.4819710292</v>
          </cell>
          <cell r="D25">
            <v>-4860648.457373553</v>
          </cell>
          <cell r="E25">
            <v>562778.02459747624</v>
          </cell>
          <cell r="H25">
            <v>2679.2924333421715</v>
          </cell>
          <cell r="I25">
            <v>565457.31703081843</v>
          </cell>
        </row>
        <row r="26">
          <cell r="C26">
            <v>0</v>
          </cell>
          <cell r="D26">
            <v>0</v>
          </cell>
          <cell r="E26">
            <v>0</v>
          </cell>
          <cell r="H26">
            <v>0</v>
          </cell>
          <cell r="I26">
            <v>0</v>
          </cell>
        </row>
        <row r="27">
          <cell r="C27">
            <v>12167262.867714064</v>
          </cell>
          <cell r="D27">
            <v>-244134.45056957746</v>
          </cell>
          <cell r="E27">
            <v>11923128.417144487</v>
          </cell>
          <cell r="H27">
            <v>-1329008.6223783894</v>
          </cell>
          <cell r="I27">
            <v>10594119.794766098</v>
          </cell>
        </row>
        <row r="28">
          <cell r="C28">
            <v>244626880.10226449</v>
          </cell>
          <cell r="D28">
            <v>-4306066.1217081863</v>
          </cell>
          <cell r="E28">
            <v>240320813.98055631</v>
          </cell>
          <cell r="H28">
            <v>-12757148.092370346</v>
          </cell>
          <cell r="I28">
            <v>227563665.88818601</v>
          </cell>
        </row>
        <row r="29">
          <cell r="C29">
            <v>36705844.209221087</v>
          </cell>
          <cell r="D29">
            <v>-415222.55433080252</v>
          </cell>
          <cell r="E29">
            <v>36290621.654890284</v>
          </cell>
          <cell r="H29">
            <v>-29238.355724457091</v>
          </cell>
          <cell r="I29">
            <v>36261383.29916583</v>
          </cell>
        </row>
        <row r="30">
          <cell r="C30">
            <v>4017010.1383138788</v>
          </cell>
          <cell r="D30">
            <v>-169568.97296169098</v>
          </cell>
          <cell r="E30">
            <v>3847441.1653521881</v>
          </cell>
          <cell r="H30">
            <v>-182288.98018681514</v>
          </cell>
          <cell r="I30">
            <v>3665152.1851653727</v>
          </cell>
        </row>
        <row r="31">
          <cell r="C31">
            <v>17744812.254208628</v>
          </cell>
          <cell r="D31">
            <v>-42124.459304340671</v>
          </cell>
          <cell r="E31">
            <v>17702687.794904288</v>
          </cell>
          <cell r="H31">
            <v>-428616.54</v>
          </cell>
          <cell r="I31">
            <v>17274071.254904289</v>
          </cell>
        </row>
        <row r="32">
          <cell r="C32">
            <v>-13966180.340332296</v>
          </cell>
          <cell r="D32">
            <v>194287.75381242129</v>
          </cell>
          <cell r="E32">
            <v>-13771892.586519875</v>
          </cell>
          <cell r="H32">
            <v>-11461182.021078767</v>
          </cell>
          <cell r="I32">
            <v>-25233074.60759864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</row>
        <row r="34">
          <cell r="C34">
            <v>22359798.153024439</v>
          </cell>
          <cell r="D34">
            <v>4258073.6394843701</v>
          </cell>
          <cell r="E34">
            <v>26617871.792508811</v>
          </cell>
          <cell r="H34">
            <v>-417014.14510028285</v>
          </cell>
          <cell r="I34">
            <v>26200857.647408526</v>
          </cell>
        </row>
        <row r="35">
          <cell r="C35">
            <v>0</v>
          </cell>
          <cell r="D35">
            <v>0</v>
          </cell>
          <cell r="E35">
            <v>0</v>
          </cell>
          <cell r="H35">
            <v>0</v>
          </cell>
          <cell r="I35">
            <v>0</v>
          </cell>
        </row>
        <row r="36">
          <cell r="C36">
            <v>-341244.31117613171</v>
          </cell>
          <cell r="D36">
            <v>-513913.347966392</v>
          </cell>
          <cell r="E36">
            <v>-855157.65914252377</v>
          </cell>
          <cell r="H36">
            <v>1497.2637677959865</v>
          </cell>
          <cell r="I36">
            <v>-853660.39537472778</v>
          </cell>
        </row>
        <row r="37">
          <cell r="C37">
            <v>311146920.20552415</v>
          </cell>
          <cell r="D37">
            <v>-994534.06297462201</v>
          </cell>
          <cell r="E37">
            <v>310152386.14254951</v>
          </cell>
          <cell r="H37">
            <v>-25273990.870692872</v>
          </cell>
          <cell r="I37">
            <v>284878395.27185667</v>
          </cell>
        </row>
        <row r="39">
          <cell r="C39">
            <v>46232661.73507905</v>
          </cell>
          <cell r="D39">
            <v>-6048376.3532339353</v>
          </cell>
          <cell r="E39">
            <v>40184285.381845117</v>
          </cell>
          <cell r="H39">
            <v>-5604725.8338703178</v>
          </cell>
          <cell r="I39">
            <v>34579559.547974765</v>
          </cell>
        </row>
        <row r="42">
          <cell r="C42">
            <v>1398743840.7185168</v>
          </cell>
          <cell r="D42">
            <v>27046917.071776658</v>
          </cell>
          <cell r="E42">
            <v>1425790757.7902935</v>
          </cell>
          <cell r="H42">
            <v>-1161846.8837236031</v>
          </cell>
          <cell r="I42">
            <v>1424628910.90657</v>
          </cell>
        </row>
        <row r="43">
          <cell r="C43">
            <v>37310.24459140328</v>
          </cell>
          <cell r="D43">
            <v>0</v>
          </cell>
          <cell r="E43">
            <v>37310.24459140328</v>
          </cell>
          <cell r="H43">
            <v>0</v>
          </cell>
          <cell r="I43">
            <v>37310.24459140328</v>
          </cell>
        </row>
        <row r="44">
          <cell r="C44">
            <v>6671729.2360731997</v>
          </cell>
          <cell r="D44">
            <v>-2197306.0259155687</v>
          </cell>
          <cell r="E44">
            <v>4474423.210157631</v>
          </cell>
          <cell r="H44">
            <v>15188002.091061195</v>
          </cell>
          <cell r="I44">
            <v>19662425.301218826</v>
          </cell>
        </row>
        <row r="45">
          <cell r="C45">
            <v>0</v>
          </cell>
          <cell r="D45">
            <v>0</v>
          </cell>
          <cell r="E45">
            <v>0</v>
          </cell>
          <cell r="H45">
            <v>0</v>
          </cell>
          <cell r="I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</row>
        <row r="47">
          <cell r="C47">
            <v>2850427.943054324</v>
          </cell>
          <cell r="D47">
            <v>-2850427.9619466118</v>
          </cell>
          <cell r="E47">
            <v>-1.8892287742346525E-2</v>
          </cell>
          <cell r="H47">
            <v>0</v>
          </cell>
          <cell r="I47">
            <v>-1.8892287742346525E-2</v>
          </cell>
        </row>
        <row r="48">
          <cell r="C48">
            <v>3524551.0469494397</v>
          </cell>
          <cell r="D48">
            <v>2033952.2560125524</v>
          </cell>
          <cell r="E48">
            <v>5558503.3029619921</v>
          </cell>
          <cell r="H48">
            <v>-3595.335989266634</v>
          </cell>
          <cell r="I48">
            <v>5554907.9669727255</v>
          </cell>
        </row>
        <row r="49">
          <cell r="C49">
            <v>7763142.7157643503</v>
          </cell>
          <cell r="D49">
            <v>2018177.8990736436</v>
          </cell>
          <cell r="E49">
            <v>9781320.6148379929</v>
          </cell>
          <cell r="H49">
            <v>-3545.2505568028428</v>
          </cell>
          <cell r="I49">
            <v>9777775.3642811906</v>
          </cell>
        </row>
        <row r="50">
          <cell r="C50">
            <v>2159291.1506739343</v>
          </cell>
          <cell r="D50">
            <v>8646327.0520162769</v>
          </cell>
          <cell r="E50">
            <v>10805618.20269021</v>
          </cell>
          <cell r="H50">
            <v>364275.90369573049</v>
          </cell>
          <cell r="I50">
            <v>11169894.106385941</v>
          </cell>
        </row>
        <row r="51">
          <cell r="C51">
            <v>2046740.5986772478</v>
          </cell>
          <cell r="D51">
            <v>0</v>
          </cell>
          <cell r="E51">
            <v>2046740.5986772478</v>
          </cell>
          <cell r="H51">
            <v>0</v>
          </cell>
          <cell r="I51">
            <v>2046740.5986772478</v>
          </cell>
        </row>
        <row r="52">
          <cell r="C52">
            <v>268576.60807565699</v>
          </cell>
          <cell r="D52">
            <v>-268576.60836182453</v>
          </cell>
          <cell r="E52">
            <v>-2.86167545709759E-4</v>
          </cell>
          <cell r="H52">
            <v>0</v>
          </cell>
          <cell r="I52">
            <v>-2.86167545709759E-4</v>
          </cell>
        </row>
        <row r="53">
          <cell r="C53">
            <v>1424065610.2623763</v>
          </cell>
          <cell r="D53">
            <v>34429063.682655126</v>
          </cell>
          <cell r="E53">
            <v>1458494673.9450314</v>
          </cell>
          <cell r="H53">
            <v>14383290.524487253</v>
          </cell>
          <cell r="I53">
            <v>1472877964.4695189</v>
          </cell>
        </row>
        <row r="56">
          <cell r="C56">
            <v>-503192583.84775847</v>
          </cell>
          <cell r="D56">
            <v>-7446965.4092337936</v>
          </cell>
          <cell r="E56">
            <v>-510639549.25699228</v>
          </cell>
          <cell r="H56">
            <v>123289.41095567844</v>
          </cell>
          <cell r="I56">
            <v>-510516259.84603661</v>
          </cell>
        </row>
        <row r="57">
          <cell r="C57">
            <v>-34606345.321051545</v>
          </cell>
          <cell r="D57">
            <v>0</v>
          </cell>
          <cell r="E57">
            <v>-34606345.321051545</v>
          </cell>
          <cell r="H57">
            <v>0</v>
          </cell>
          <cell r="I57">
            <v>-34606345.321051545</v>
          </cell>
        </row>
        <row r="58">
          <cell r="C58">
            <v>-128569574.10448816</v>
          </cell>
          <cell r="D58">
            <v>-6648465.3074480388</v>
          </cell>
          <cell r="E58">
            <v>-135218039.41193619</v>
          </cell>
          <cell r="H58">
            <v>-5544377.9755178178</v>
          </cell>
          <cell r="I58">
            <v>-140762417.387454</v>
          </cell>
        </row>
        <row r="59">
          <cell r="C59">
            <v>-1096753.183804</v>
          </cell>
          <cell r="D59">
            <v>144385.82344165733</v>
          </cell>
          <cell r="E59">
            <v>-952367.36036234268</v>
          </cell>
          <cell r="H59">
            <v>0</v>
          </cell>
          <cell r="I59">
            <v>-952367.36036234268</v>
          </cell>
        </row>
        <row r="60">
          <cell r="C60">
            <v>-334499.98611589998</v>
          </cell>
          <cell r="D60">
            <v>23142.536575635779</v>
          </cell>
          <cell r="E60">
            <v>-311357.44954026421</v>
          </cell>
          <cell r="H60">
            <v>0</v>
          </cell>
          <cell r="I60">
            <v>-311357.44954026421</v>
          </cell>
        </row>
        <row r="61">
          <cell r="C61">
            <v>0</v>
          </cell>
          <cell r="D61">
            <v>-2980495.6783333328</v>
          </cell>
          <cell r="E61">
            <v>-2980495.6783333328</v>
          </cell>
          <cell r="H61">
            <v>0</v>
          </cell>
          <cell r="I61">
            <v>-2980495.6783333328</v>
          </cell>
        </row>
        <row r="62">
          <cell r="C62">
            <v>-4865967.0740704359</v>
          </cell>
          <cell r="D62">
            <v>-2789519.813278635</v>
          </cell>
          <cell r="E62">
            <v>-7655486.887349071</v>
          </cell>
          <cell r="H62">
            <v>6650.0176601060666</v>
          </cell>
          <cell r="I62">
            <v>-7648836.8696889654</v>
          </cell>
        </row>
        <row r="64">
          <cell r="C64">
            <v>-672665723.51728857</v>
          </cell>
          <cell r="D64">
            <v>-19697917.848276507</v>
          </cell>
          <cell r="E64">
            <v>-692363641.36556494</v>
          </cell>
          <cell r="H64">
            <v>-5414438.5469020326</v>
          </cell>
          <cell r="I64">
            <v>-697778079.912467</v>
          </cell>
        </row>
        <row r="66">
          <cell r="C66">
            <v>751399886.74508774</v>
          </cell>
          <cell r="D66">
            <v>14731145.834378619</v>
          </cell>
          <cell r="E66">
            <v>766131032.57946646</v>
          </cell>
          <cell r="H66">
            <v>8968851.9775852207</v>
          </cell>
          <cell r="I66">
            <v>775099884.5570519</v>
          </cell>
        </row>
        <row r="69">
          <cell r="C69">
            <v>6.3973137599340105E-2</v>
          </cell>
          <cell r="D69">
            <v>-1.7423751248643829E-2</v>
          </cell>
          <cell r="E69">
            <v>4.6549386350696262E-2</v>
          </cell>
          <cell r="H69">
            <v>-1.504394174770831E-2</v>
          </cell>
          <cell r="I69">
            <v>3.1505444602987862E-2</v>
          </cell>
        </row>
        <row r="72">
          <cell r="C72">
            <v>54626279.547771238</v>
          </cell>
          <cell r="D72">
            <v>-1596014.959937145</v>
          </cell>
          <cell r="E72">
            <v>53030264.58783409</v>
          </cell>
          <cell r="H72">
            <v>-17482922.000049364</v>
          </cell>
          <cell r="I72">
            <v>35547342.587784663</v>
          </cell>
        </row>
        <row r="74">
          <cell r="C74">
            <v>-4599793.2770370385</v>
          </cell>
          <cell r="D74">
            <v>217013.20626896209</v>
          </cell>
          <cell r="E74">
            <v>-4382780.070768076</v>
          </cell>
          <cell r="H74">
            <v>0</v>
          </cell>
          <cell r="I74">
            <v>-4382780.070768076</v>
          </cell>
        </row>
        <row r="75">
          <cell r="C75">
            <v>25236151.190422058</v>
          </cell>
          <cell r="D75">
            <v>-3756595.1086111031</v>
          </cell>
          <cell r="E75">
            <v>21479556.081810955</v>
          </cell>
          <cell r="H75">
            <v>251454.32158437371</v>
          </cell>
          <cell r="I75">
            <v>21731010.403395329</v>
          </cell>
        </row>
        <row r="76">
          <cell r="C76">
            <v>64493174.138834439</v>
          </cell>
          <cell r="D76">
            <v>-2566569.5074167242</v>
          </cell>
          <cell r="E76">
            <v>61926604.631417714</v>
          </cell>
          <cell r="H76">
            <v>2050306.5331223095</v>
          </cell>
          <cell r="I76">
            <v>63976911.164540023</v>
          </cell>
        </row>
        <row r="77">
          <cell r="C77">
            <v>138386468.17417011</v>
          </cell>
          <cell r="D77">
            <v>-1178110.4330472155</v>
          </cell>
          <cell r="E77">
            <v>137208357.7411229</v>
          </cell>
          <cell r="H77">
            <v>951489.50999993121</v>
          </cell>
          <cell r="I77">
            <v>138159847.25112283</v>
          </cell>
        </row>
        <row r="78">
          <cell r="C78">
            <v>-39903372.400949448</v>
          </cell>
          <cell r="D78">
            <v>555107.86803548736</v>
          </cell>
          <cell r="E78">
            <v>-39348264.532913961</v>
          </cell>
          <cell r="H78">
            <v>-16635559.29851136</v>
          </cell>
          <cell r="I78">
            <v>-55983823.831425324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</row>
        <row r="81">
          <cell r="C81">
            <v>-39903372.400949448</v>
          </cell>
          <cell r="D81">
            <v>555107.86803548736</v>
          </cell>
          <cell r="E81">
            <v>-39348264.532913961</v>
          </cell>
          <cell r="H81">
            <v>-16635559.29851136</v>
          </cell>
          <cell r="I81">
            <v>-55983823.831425324</v>
          </cell>
        </row>
        <row r="83">
          <cell r="C83">
            <v>-13966180.340332296</v>
          </cell>
          <cell r="D83">
            <v>194287.75381242129</v>
          </cell>
          <cell r="E83">
            <v>-13771892.586519875</v>
          </cell>
          <cell r="H83">
            <v>-11461182.021078767</v>
          </cell>
          <cell r="I83">
            <v>-25233074.60759864</v>
          </cell>
        </row>
        <row r="100">
          <cell r="H100">
            <v>48499339.911084995</v>
          </cell>
        </row>
        <row r="113">
          <cell r="H113">
            <v>272081.29690118681</v>
          </cell>
        </row>
        <row r="120">
          <cell r="H120">
            <v>1975378.114578492</v>
          </cell>
        </row>
        <row r="121">
          <cell r="H121">
            <v>16188158.174861858</v>
          </cell>
        </row>
        <row r="161">
          <cell r="H161">
            <v>46251880.499605313</v>
          </cell>
        </row>
        <row r="171">
          <cell r="H171">
            <v>16188158.174861858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Tax Support"/>
      <sheetName val="7.5 WA FAS 109 Flow Through"/>
    </sheetNames>
    <sheetDataSet>
      <sheetData sheetId="0">
        <row r="11">
          <cell r="I11">
            <v>5532834</v>
          </cell>
        </row>
      </sheetData>
      <sheetData sheetId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Workpaper 7.8"/>
      <sheetName val="7.8 Remove Def State Tax Exp"/>
    </sheetNames>
    <sheetDataSet>
      <sheetData sheetId="0">
        <row r="10">
          <cell r="I10">
            <v>-2199228</v>
          </cell>
        </row>
        <row r="12">
          <cell r="I12">
            <v>1099614</v>
          </cell>
        </row>
      </sheetData>
      <sheetData sheetId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Workpaper 7.9"/>
      <sheetName val="7"/>
    </sheetNames>
    <sheetDataSet>
      <sheetData sheetId="0">
        <row r="10">
          <cell r="I10">
            <v>525562</v>
          </cell>
        </row>
        <row r="12">
          <cell r="I12">
            <v>-262781</v>
          </cell>
        </row>
      </sheetData>
      <sheetData sheetId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Workpaper 7.10"/>
      <sheetName val="7"/>
    </sheetNames>
    <sheetDataSet>
      <sheetData sheetId="0">
        <row r="10">
          <cell r="I10">
            <v>170464.29080562192</v>
          </cell>
        </row>
      </sheetData>
      <sheetData sheetId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Detail"/>
      <sheetName val="Tax Data Backup"/>
      <sheetName val="8.5 Miscellaneous Rate Base"/>
    </sheetNames>
    <sheetDataSet>
      <sheetData sheetId="0">
        <row r="21">
          <cell r="I21">
            <v>-2159291.1506739343</v>
          </cell>
        </row>
        <row r="40">
          <cell r="I40">
            <v>-2850427.9619466118</v>
          </cell>
        </row>
        <row r="48">
          <cell r="I48">
            <v>-2030094.5131613784</v>
          </cell>
        </row>
        <row r="60">
          <cell r="I60">
            <v>-837021.19896710326</v>
          </cell>
        </row>
        <row r="63">
          <cell r="I63">
            <v>12559.956921456682</v>
          </cell>
        </row>
        <row r="67">
          <cell r="I67">
            <v>-30343.453417825134</v>
          </cell>
        </row>
        <row r="68">
          <cell r="I68">
            <v>11515.54167494158</v>
          </cell>
        </row>
        <row r="69">
          <cell r="I69">
            <v>104120.48996763401</v>
          </cell>
        </row>
        <row r="71">
          <cell r="I71">
            <v>-37921.972817686954</v>
          </cell>
        </row>
        <row r="72">
          <cell r="I72">
            <v>14391.721426194801</v>
          </cell>
        </row>
        <row r="73">
          <cell r="I73">
            <v>396373.66001384397</v>
          </cell>
        </row>
        <row r="75">
          <cell r="I75">
            <v>-346778.45259815606</v>
          </cell>
        </row>
        <row r="76">
          <cell r="I76">
            <v>-131605.90991767219</v>
          </cell>
        </row>
        <row r="77">
          <cell r="I77">
            <v>1147776.7214228653</v>
          </cell>
        </row>
        <row r="79">
          <cell r="I79">
            <v>-139125.77560826804</v>
          </cell>
        </row>
        <row r="80">
          <cell r="I80">
            <v>-52799.599206138089</v>
          </cell>
        </row>
        <row r="81">
          <cell r="I81">
            <v>67930.527618659515</v>
          </cell>
        </row>
        <row r="83">
          <cell r="I83">
            <v>-52382.359823157582</v>
          </cell>
        </row>
        <row r="84">
          <cell r="I84">
            <v>-19879.619323328818</v>
          </cell>
        </row>
        <row r="85">
          <cell r="I85">
            <v>-19051.289504240573</v>
          </cell>
        </row>
        <row r="87">
          <cell r="I87">
            <v>-796.4601584256734</v>
          </cell>
        </row>
        <row r="88">
          <cell r="I88">
            <v>302.37214555872072</v>
          </cell>
        </row>
        <row r="89">
          <cell r="I89">
            <v>289.78250911106034</v>
          </cell>
        </row>
      </sheetData>
      <sheetData sheetId="1"/>
      <sheetData sheetId="2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Summary"/>
      <sheetName val="SAP Sales 12 ME Dec 09"/>
      <sheetName val="SAP301947"/>
      <sheetName val="Inputs"/>
      <sheetName val="Tax Proof"/>
      <sheetName val="Sep 1994"/>
      <sheetName val="Dec 1994"/>
      <sheetName val="Apr 1995"/>
      <sheetName val="May 1995"/>
      <sheetName val="Jun 1995"/>
      <sheetName val="Jul 1995"/>
      <sheetName val="Sep 1995"/>
      <sheetName val="Oct 1995"/>
      <sheetName val="Dec 1995"/>
      <sheetName val="Feb 1996"/>
      <sheetName val="Mar 1996"/>
      <sheetName val="Apr 1996"/>
      <sheetName val="Jun 1996"/>
      <sheetName val="Jul 1996"/>
      <sheetName val="Aug 1996"/>
      <sheetName val="Sep 1996"/>
      <sheetName val="Dec 1996"/>
      <sheetName val="Feb 1997"/>
      <sheetName val="Apr 1997"/>
      <sheetName val="May 1997"/>
      <sheetName val="Jun 1997"/>
      <sheetName val="Jul 1997"/>
      <sheetName val="Sep 1997"/>
      <sheetName val="Oct 1997"/>
      <sheetName val="Nov 1997"/>
      <sheetName val="Dec 1997"/>
      <sheetName val="Jan 1998"/>
      <sheetName val="Feb 1998"/>
      <sheetName val="Mar 1998"/>
      <sheetName val="Apr 1998"/>
      <sheetName val="May 1998"/>
      <sheetName val="Jul 1998"/>
      <sheetName val="Aug 1998"/>
      <sheetName val="Jun 1999"/>
      <sheetName val="Jul 1999"/>
      <sheetName val="Aug 1999"/>
      <sheetName val="Sep 1999"/>
      <sheetName val="Jun 2000"/>
      <sheetName val="Aug 2000"/>
      <sheetName val="Sep 2000"/>
      <sheetName val="Oct 2000"/>
      <sheetName val="Nov 2000"/>
      <sheetName val="Dec 2000"/>
      <sheetName val="Jan 2001"/>
      <sheetName val="Mar 2001"/>
      <sheetName val="May 2001"/>
      <sheetName val="Jun 2001"/>
      <sheetName val="Jul 2001"/>
      <sheetName val="Dec 2001"/>
      <sheetName val="May 2002"/>
      <sheetName val="Jun 2002"/>
      <sheetName val="Jul 2002"/>
      <sheetName val="Nov 2002"/>
      <sheetName val="July 2003"/>
      <sheetName val="Oct 2003"/>
      <sheetName val="May 2004"/>
      <sheetName val="June 2004"/>
      <sheetName val="May 2005"/>
      <sheetName val="June 2005"/>
      <sheetName val="Dec 2005"/>
      <sheetName val="Feb 2006"/>
      <sheetName val="May 2006"/>
      <sheetName val="June 2006"/>
      <sheetName val="Mar 2007"/>
      <sheetName val="Apr 2007"/>
      <sheetName val="May 2007"/>
      <sheetName val="Oct 2007"/>
      <sheetName val="Dec 2007"/>
      <sheetName val="Apr 2008"/>
      <sheetName val="Oct 2008"/>
      <sheetName val="Nov 2008"/>
      <sheetName val="Dec 2008"/>
      <sheetName val="Jan 2009"/>
      <sheetName val="Apr 2009"/>
      <sheetName val="Jun 2009"/>
      <sheetName val="Aug 2009"/>
      <sheetName val="Sep 2009"/>
      <sheetName val="Feb 2010"/>
      <sheetName val="12"/>
    </sheetNames>
    <sheetDataSet>
      <sheetData sheetId="0">
        <row r="11">
          <cell r="I11">
            <v>-547918.25463305868</v>
          </cell>
        </row>
        <row r="14">
          <cell r="I14">
            <v>1427857.4510296264</v>
          </cell>
        </row>
        <row r="15">
          <cell r="I15">
            <v>-3762045.7344390564</v>
          </cell>
        </row>
        <row r="20">
          <cell r="I20">
            <v>30046.781445040437</v>
          </cell>
        </row>
        <row r="21">
          <cell r="I21">
            <v>847031.53415215481</v>
          </cell>
        </row>
        <row r="22">
          <cell r="I22">
            <v>-11403.070822544751</v>
          </cell>
        </row>
        <row r="23">
          <cell r="I23">
            <v>321456.96563494159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CSD Balance"/>
      <sheetName val="8.9 Customer Service Deposits"/>
    </sheetNames>
    <sheetDataSet>
      <sheetData sheetId="0">
        <row r="10">
          <cell r="I10">
            <v>34004.906666666662</v>
          </cell>
        </row>
        <row r="15">
          <cell r="I15">
            <v>-2980495.6783333328</v>
          </cell>
        </row>
      </sheetData>
      <sheetData sheetId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8.2.1"/>
      <sheetName val="Testimony"/>
      <sheetName val="8"/>
    </sheetNames>
    <sheetDataSet>
      <sheetData sheetId="0">
        <row r="10">
          <cell r="I10">
            <v>53613851.168249354</v>
          </cell>
        </row>
        <row r="11">
          <cell r="I11">
            <v>2005617.942152187</v>
          </cell>
        </row>
        <row r="12">
          <cell r="I12">
            <v>2033952.2560125524</v>
          </cell>
        </row>
        <row r="13">
          <cell r="I13">
            <v>514243.44230495289</v>
          </cell>
        </row>
        <row r="14">
          <cell r="I14">
            <v>-23449722.352869298</v>
          </cell>
        </row>
      </sheetData>
      <sheetData sheetId="1"/>
      <sheetData sheetId="2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6.1.1"/>
      <sheetName val="6.1.2"/>
      <sheetName val="Dec 2009 Balance Check"/>
      <sheetName val="HYDRO CENTRAL"/>
      <sheetName val="Exp Actuals"/>
      <sheetName val="Reserve Actuals"/>
      <sheetName val="6.1 Hydro Decommissioning"/>
    </sheetNames>
    <sheetDataSet>
      <sheetData sheetId="0">
        <row r="12">
          <cell r="I12">
            <v>-8005.3957926276607</v>
          </cell>
        </row>
        <row r="16">
          <cell r="I16">
            <v>-256078.4788596172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Tax Support"/>
      <sheetName val="7.2 ADIT Factor Correction"/>
    </sheetNames>
    <sheetDataSet>
      <sheetData sheetId="0">
        <row r="11">
          <cell r="I11">
            <v>-349401.96004837664</v>
          </cell>
        </row>
        <row r="12">
          <cell r="I12">
            <v>0</v>
          </cell>
        </row>
        <row r="13">
          <cell r="I13"/>
        </row>
        <row r="14">
          <cell r="I14"/>
        </row>
        <row r="15">
          <cell r="I15">
            <v>2394.4741997504043</v>
          </cell>
        </row>
        <row r="16">
          <cell r="I16">
            <v>-6500.5958585535536</v>
          </cell>
        </row>
        <row r="17">
          <cell r="I17"/>
        </row>
        <row r="18">
          <cell r="I18"/>
        </row>
        <row r="19">
          <cell r="I19">
            <v>76958.033590389023</v>
          </cell>
        </row>
        <row r="20">
          <cell r="I20">
            <v>0</v>
          </cell>
        </row>
        <row r="21">
          <cell r="I21"/>
        </row>
        <row r="22">
          <cell r="I22"/>
        </row>
        <row r="23">
          <cell r="I23">
            <v>-710431.26069058268</v>
          </cell>
        </row>
        <row r="24">
          <cell r="I24">
            <v>0</v>
          </cell>
        </row>
        <row r="25">
          <cell r="I25"/>
        </row>
        <row r="26">
          <cell r="I26"/>
        </row>
        <row r="27">
          <cell r="I27">
            <v>-4212053.5994262854</v>
          </cell>
        </row>
        <row r="28">
          <cell r="I28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3.1"/>
      <sheetName val="Lead Sheet 3.2"/>
      <sheetName val="Lead Sheet 3.3"/>
      <sheetName val="Table 1 - Revenues"/>
      <sheetName val="Table 1 - Kwh"/>
      <sheetName val="Table 2"/>
      <sheetName val="Table 3"/>
      <sheetName val="Actual Tax Data"/>
      <sheetName val="3.1, 3.2 and 3"/>
    </sheetNames>
    <sheetDataSet>
      <sheetData sheetId="0">
        <row r="12">
          <cell r="I12">
            <v>-6704444.6599999983</v>
          </cell>
        </row>
      </sheetData>
      <sheetData sheetId="1">
        <row r="14">
          <cell r="I14">
            <v>-33120.929999989981</v>
          </cell>
        </row>
        <row r="19">
          <cell r="I19">
            <v>-1653038</v>
          </cell>
        </row>
        <row r="20">
          <cell r="I20">
            <v>627345</v>
          </cell>
        </row>
        <row r="21">
          <cell r="I21">
            <v>2257541</v>
          </cell>
        </row>
        <row r="23">
          <cell r="I23">
            <v>479232</v>
          </cell>
        </row>
        <row r="25">
          <cell r="I25">
            <v>-10607</v>
          </cell>
        </row>
        <row r="26">
          <cell r="I26">
            <v>-130443</v>
          </cell>
        </row>
        <row r="27">
          <cell r="I27">
            <v>126418</v>
          </cell>
        </row>
        <row r="28">
          <cell r="I28">
            <v>14559</v>
          </cell>
        </row>
        <row r="29">
          <cell r="I29">
            <v>0</v>
          </cell>
        </row>
      </sheetData>
      <sheetData sheetId="2">
        <row r="14">
          <cell r="I14">
            <v>12402155.109999999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Workpaper 7.11"/>
      <sheetName val="7"/>
    </sheetNames>
    <sheetDataSet>
      <sheetData sheetId="0">
        <row r="24">
          <cell r="I24">
            <v>-9873199.076123938</v>
          </cell>
        </row>
      </sheetData>
      <sheetData sheetId="1"/>
      <sheetData sheetId="2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AMA - WCA Alloc"/>
      <sheetName val="8.4 Customer Advances"/>
    </sheetNames>
    <sheetDataSet>
      <sheetData sheetId="0">
        <row r="22">
          <cell r="I22">
            <v>23142.536575635779</v>
          </cell>
        </row>
      </sheetData>
      <sheetData sheetId="1"/>
      <sheetData sheetId="2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Split between Equity &amp; Debt"/>
      <sheetName val="7.6 AFUDC Equity"/>
    </sheetNames>
    <sheetDataSet>
      <sheetData sheetId="0">
        <row r="9">
          <cell r="I9">
            <v>217013.20626896209</v>
          </cell>
        </row>
      </sheetData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Production Factor Adj"/>
      <sheetName val="12.1.4"/>
      <sheetName val="12"/>
    </sheetNames>
    <sheetDataSet>
      <sheetData sheetId="0">
        <row r="15">
          <cell r="I15">
            <v>-1067076.2761553444</v>
          </cell>
        </row>
        <row r="21">
          <cell r="I21">
            <v>337916.75424200855</v>
          </cell>
        </row>
        <row r="27">
          <cell r="I27">
            <v>-29238.355724457651</v>
          </cell>
        </row>
        <row r="29">
          <cell r="I29">
            <v>-4.2482522893737951</v>
          </cell>
        </row>
        <row r="30">
          <cell r="I30">
            <v>-301.13703550156788</v>
          </cell>
        </row>
        <row r="31">
          <cell r="I31">
            <v>-273.56363400281407</v>
          </cell>
        </row>
        <row r="32">
          <cell r="I32">
            <v>-6.7384850892144641</v>
          </cell>
        </row>
        <row r="33">
          <cell r="I33">
            <v>-2414.7450420376845</v>
          </cell>
        </row>
        <row r="34">
          <cell r="I34">
            <v>-19242.711250333115</v>
          </cell>
        </row>
        <row r="35">
          <cell r="I35">
            <v>-11271.310203687288</v>
          </cell>
        </row>
        <row r="36">
          <cell r="I36">
            <v>-203.50349396461388</v>
          </cell>
        </row>
        <row r="37">
          <cell r="I37">
            <v>-9472.3922966625541</v>
          </cell>
        </row>
        <row r="38">
          <cell r="I38">
            <v>-221.97163806670869</v>
          </cell>
        </row>
        <row r="39">
          <cell r="I39">
            <v>171.47397684041061</v>
          </cell>
        </row>
        <row r="40">
          <cell r="I40">
            <v>-4416.1042846203782</v>
          </cell>
        </row>
        <row r="41">
          <cell r="I41">
            <v>-65.425042796530761</v>
          </cell>
        </row>
        <row r="42">
          <cell r="I42">
            <v>-893.96950272418326</v>
          </cell>
        </row>
        <row r="46">
          <cell r="I46">
            <v>-64300.224244192243</v>
          </cell>
        </row>
        <row r="47">
          <cell r="I47">
            <v>-93259.516577459872</v>
          </cell>
        </row>
        <row r="48">
          <cell r="I48">
            <v>-4026.2083825925365</v>
          </cell>
        </row>
        <row r="49">
          <cell r="I49">
            <v>-5399.1450573368929</v>
          </cell>
        </row>
        <row r="50">
          <cell r="I50">
            <v>-42269.957641813904</v>
          </cell>
        </row>
        <row r="51">
          <cell r="I51">
            <v>-974.68135726440232</v>
          </cell>
        </row>
        <row r="52">
          <cell r="I52">
            <v>-67953.83006285876</v>
          </cell>
        </row>
        <row r="53">
          <cell r="I53">
            <v>-73513.538259193301</v>
          </cell>
        </row>
        <row r="57">
          <cell r="I57">
            <v>-2083.3098946867976</v>
          </cell>
        </row>
        <row r="60">
          <cell r="I60">
            <v>-94771.058690577745</v>
          </cell>
        </row>
        <row r="61">
          <cell r="I61">
            <v>-3545.2505568028428</v>
          </cell>
        </row>
        <row r="62">
          <cell r="I62">
            <v>-3595.335989266634</v>
          </cell>
        </row>
        <row r="63">
          <cell r="I63">
            <v>-909.0075491683674</v>
          </cell>
        </row>
        <row r="64">
          <cell r="I64">
            <v>41451.135573294014</v>
          </cell>
        </row>
        <row r="68">
          <cell r="I68">
            <v>1497.2637677959865</v>
          </cell>
        </row>
        <row r="69">
          <cell r="I69">
            <v>6650.0176601060666</v>
          </cell>
        </row>
        <row r="72">
          <cell r="I72">
            <v>0</v>
          </cell>
        </row>
        <row r="73">
          <cell r="I73">
            <v>-8456.6529506202787</v>
          </cell>
        </row>
      </sheetData>
      <sheetData sheetId="1"/>
      <sheetData sheetId="2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WA"/>
      <sheetName val="FORECAST2"/>
      <sheetName val="5.5 James River"/>
    </sheetNames>
    <sheetDataSet>
      <sheetData sheetId="0">
        <row r="11">
          <cell r="H11">
            <v>1178569.3667911782</v>
          </cell>
        </row>
      </sheetData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Amort Sched"/>
      <sheetName val="8.10 Chehalis Reg Asset"/>
    </sheetNames>
    <sheetDataSet>
      <sheetData sheetId="0">
        <row r="10">
          <cell r="I10">
            <v>-3000000</v>
          </cell>
        </row>
        <row r="14">
          <cell r="I14">
            <v>-750000</v>
          </cell>
        </row>
        <row r="15">
          <cell r="I15">
            <v>16500000</v>
          </cell>
        </row>
        <row r="19">
          <cell r="I19">
            <v>3000000</v>
          </cell>
        </row>
        <row r="20">
          <cell r="I20">
            <v>-1138530</v>
          </cell>
        </row>
        <row r="21">
          <cell r="I21">
            <v>-6261915</v>
          </cell>
        </row>
      </sheetData>
      <sheetData sheetId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FY 2004 EXP BY EMPLOYEE"/>
      <sheetName val="3_31-05"/>
      <sheetName val="Tax Prep Svcs"/>
      <sheetName val="Actual Accounting"/>
      <sheetName val=" Amort Schedule"/>
      <sheetName val="923 Backup"/>
      <sheetName val="9_30_04"/>
      <sheetName val="4.4 Pension Curtailment"/>
    </sheetNames>
    <sheetDataSet>
      <sheetData sheetId="0">
        <row r="14">
          <cell r="I14">
            <v>-776572.64858778729</v>
          </cell>
        </row>
        <row r="19">
          <cell r="I19">
            <v>1013713.3485877872</v>
          </cell>
        </row>
        <row r="20">
          <cell r="I20">
            <v>384714.35292255116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Amort Sched"/>
      <sheetName val="Actual Tax Data"/>
      <sheetName val="4.8 MEHC Trans Savings"/>
    </sheetNames>
    <sheetDataSet>
      <sheetData sheetId="0">
        <row r="10">
          <cell r="I10">
            <v>-637047.3400000002</v>
          </cell>
        </row>
        <row r="15">
          <cell r="I15">
            <v>-637047.28166666592</v>
          </cell>
        </row>
        <row r="20">
          <cell r="I20">
            <v>-637047</v>
          </cell>
        </row>
        <row r="21">
          <cell r="I21">
            <v>241766</v>
          </cell>
        </row>
        <row r="22">
          <cell r="I22">
            <v>352575.36249999999</v>
          </cell>
        </row>
        <row r="24">
          <cell r="I24">
            <v>-62223.490000068792</v>
          </cell>
        </row>
        <row r="25">
          <cell r="I25">
            <v>-23614.40075340624</v>
          </cell>
        </row>
        <row r="26">
          <cell r="I26">
            <v>-21904.062846332235</v>
          </cell>
        </row>
      </sheetData>
      <sheetData sheetId="1"/>
      <sheetData sheetId="2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Leadsheet"/>
      <sheetName val="8.7.1"/>
      <sheetName val="8.7.2"/>
      <sheetName val="8.7.3"/>
      <sheetName val="8.7.4"/>
      <sheetName val="8.7.5"/>
      <sheetName val="8.7.6"/>
      <sheetName val="8.7 Powerdale Removal"/>
    </sheetNames>
    <sheetDataSet>
      <sheetData sheetId="0">
        <row r="9">
          <cell r="I9">
            <v>-768621.8482946154</v>
          </cell>
        </row>
        <row r="10">
          <cell r="I10">
            <v>586332.86810780026</v>
          </cell>
        </row>
        <row r="14">
          <cell r="I14">
            <v>-586332.86810780037</v>
          </cell>
        </row>
        <row r="17">
          <cell r="I17">
            <v>1064385.2416330248</v>
          </cell>
        </row>
        <row r="18">
          <cell r="I18">
            <v>-402093.99324819405</v>
          </cell>
        </row>
        <row r="21">
          <cell r="I21">
            <v>-898979.334985491</v>
          </cell>
        </row>
        <row r="22">
          <cell r="I22">
            <v>341171.63812389108</v>
          </cell>
        </row>
        <row r="23">
          <cell r="I23">
            <v>498127.96094176243</v>
          </cell>
        </row>
        <row r="26">
          <cell r="I26">
            <v>586332.86810780026</v>
          </cell>
        </row>
        <row r="27">
          <cell r="I27">
            <v>-222521.38247076774</v>
          </cell>
        </row>
        <row r="28">
          <cell r="I28">
            <v>-111261.90602486566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Table 3.1.1"/>
      <sheetName val="7"/>
    </sheetNames>
    <sheetDataSet>
      <sheetData sheetId="0">
        <row r="9">
          <cell r="I9">
            <v>-396368</v>
          </cell>
        </row>
      </sheetData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Summary"/>
      <sheetName val="FERC 566"/>
      <sheetName val="3.6 Wheeling Revenue"/>
    </sheetNames>
    <sheetDataSet>
      <sheetData sheetId="0">
        <row r="10">
          <cell r="I10">
            <v>102649.47138948992</v>
          </cell>
        </row>
        <row r="12">
          <cell r="I12">
            <v>-17062.670165353691</v>
          </cell>
        </row>
        <row r="17">
          <cell r="I17">
            <v>-7394.9629479036066</v>
          </cell>
        </row>
      </sheetData>
      <sheetData sheetId="1"/>
      <sheetData sheetId="2"/>
      <sheetData sheetId="3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"/>
      <sheetName val="Page 7.12.1"/>
      <sheetName val="Page 7.12.2"/>
      <sheetName val="7.12 WA Low Income Tax Credit"/>
    </sheetNames>
    <sheetDataSet>
      <sheetData sheetId="0">
        <row r="9">
          <cell r="I9">
            <v>-32248.540000000008</v>
          </cell>
        </row>
      </sheetData>
      <sheetData sheetId="1"/>
      <sheetData sheetId="2"/>
      <sheetData sheetId="3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7.3.1"/>
      <sheetName val="7"/>
    </sheetNames>
    <sheetDataSet>
      <sheetData sheetId="0">
        <row r="9">
          <cell r="I9">
            <v>-5638736.2665997902</v>
          </cell>
        </row>
      </sheetData>
      <sheetData sheetId="1"/>
      <sheetData sheetId="2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- 5.1"/>
      <sheetName val="Lead Sheet - 12.6"/>
      <sheetName val="NPC Summary 12.6.1 "/>
      <sheetName val="Proforma 3-2012 (Rebuttal)"/>
      <sheetName val="Variance Sum. from Init Forcast"/>
      <sheetName val="Summary WCA -  Duvall"/>
      <sheetName val="RevReq impact of Rebuttal Adj"/>
      <sheetName val="Adjustments to Initial Forecast"/>
      <sheetName val="Variables"/>
      <sheetName val="PrePost Reb 01"/>
      <sheetName val="PrePost Reb 02"/>
      <sheetName val="PrePost Reb 03"/>
      <sheetName val="PrePost Reb 04"/>
      <sheetName val="PrePost Reb 05"/>
      <sheetName val="PrePost Reb 06"/>
      <sheetName val="PrePost Reb 07"/>
      <sheetName val="PrePost Reb 08"/>
      <sheetName val="PrePost Reb 10"/>
      <sheetName val="PrePost Reb 11"/>
      <sheetName val="PrePost Reb 12"/>
      <sheetName val="PrePost Reb 13"/>
      <sheetName val="PrePost Reb 14"/>
      <sheetName val="PrePost Reb 15"/>
      <sheetName val="PrePost Reb 16"/>
      <sheetName val="PrePost Reb 17"/>
      <sheetName val="PrePost Reb 18"/>
      <sheetName val="PrePost Reb 19"/>
      <sheetName val="PrePost Reb 20"/>
      <sheetName val="2009 Unadjusted Results"/>
      <sheetName val="2009 Normalized Results"/>
      <sheetName val="Pro Forma 3 2012 - Initial Fili"/>
    </sheetNames>
    <sheetDataSet>
      <sheetData sheetId="0">
        <row r="13">
          <cell r="I13">
            <v>3803644.2032988709</v>
          </cell>
        </row>
        <row r="21">
          <cell r="I21">
            <v>-4235345.8895238079</v>
          </cell>
        </row>
        <row r="27">
          <cell r="I27">
            <v>0</v>
          </cell>
        </row>
        <row r="30">
          <cell r="I30">
            <v>-1306516.3102050694</v>
          </cell>
        </row>
        <row r="31">
          <cell r="I31">
            <v>-1654574.4183215983</v>
          </cell>
        </row>
      </sheetData>
      <sheetData sheetId="1">
        <row r="13">
          <cell r="I13">
            <v>-46151633.162128016</v>
          </cell>
        </row>
        <row r="21">
          <cell r="I21">
            <v>-22001083.43130691</v>
          </cell>
        </row>
        <row r="27">
          <cell r="I27">
            <v>4041591.9433055972</v>
          </cell>
        </row>
        <row r="30">
          <cell r="I30">
            <v>3898053.4118813579</v>
          </cell>
        </row>
        <row r="31">
          <cell r="I31">
            <v>2680028.4647450736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- Rebuttal"/>
      <sheetName val="12"/>
    </sheetNames>
    <sheetDataSet>
      <sheetData sheetId="0">
        <row r="8">
          <cell r="I8">
            <v>-4211638.5008969298</v>
          </cell>
        </row>
        <row r="12">
          <cell r="I12">
            <v>4784094.8380285027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4.2"/>
      <sheetName val="Lead Sheet 4.3"/>
      <sheetName val="Description"/>
      <sheetName val="Summary"/>
      <sheetName val="Escalation"/>
      <sheetName val="Labor Increases"/>
      <sheetName val="Payroll Tax"/>
      <sheetName val="WCA RAM Input Annualization"/>
      <sheetName val="WCA RAM Input Proforma"/>
      <sheetName val="WCA FERC Spread RAM Indicator"/>
      <sheetName val="4.2-3 General Wage Increase"/>
    </sheetNames>
    <sheetDataSet>
      <sheetData sheetId="0">
        <row r="9">
          <cell r="I9">
            <v>0</v>
          </cell>
        </row>
        <row r="10">
          <cell r="I10">
            <v>0</v>
          </cell>
        </row>
        <row r="11">
          <cell r="I11">
            <v>-1.1386698157198312</v>
          </cell>
        </row>
        <row r="12">
          <cell r="I12">
            <v>1570.6990973295158</v>
          </cell>
        </row>
        <row r="13">
          <cell r="I13">
            <v>1.267349501741261</v>
          </cell>
        </row>
        <row r="14">
          <cell r="I14">
            <v>0</v>
          </cell>
        </row>
        <row r="15">
          <cell r="I15">
            <v>-285.58128768236969</v>
          </cell>
        </row>
        <row r="16">
          <cell r="I16">
            <v>5.3474122692439199</v>
          </cell>
        </row>
        <row r="17">
          <cell r="I17">
            <v>0</v>
          </cell>
        </row>
        <row r="18">
          <cell r="I18">
            <v>-11.571414283786176</v>
          </cell>
        </row>
        <row r="19">
          <cell r="I19">
            <v>3289.3039630802841</v>
          </cell>
        </row>
        <row r="20">
          <cell r="I20">
            <v>0</v>
          </cell>
        </row>
        <row r="21">
          <cell r="I21">
            <v>1687.6589231684209</v>
          </cell>
        </row>
        <row r="22">
          <cell r="I22">
            <v>0</v>
          </cell>
        </row>
        <row r="23">
          <cell r="I23">
            <v>277.17602847876208</v>
          </cell>
        </row>
        <row r="24">
          <cell r="I24">
            <v>0</v>
          </cell>
        </row>
        <row r="25">
          <cell r="I25">
            <v>348.61360576371493</v>
          </cell>
        </row>
        <row r="26">
          <cell r="I26">
            <v>73.228796819369649</v>
          </cell>
        </row>
        <row r="27">
          <cell r="I27">
            <v>0</v>
          </cell>
        </row>
        <row r="28">
          <cell r="I28">
            <v>108.51122946125389</v>
          </cell>
        </row>
        <row r="29">
          <cell r="I29">
            <v>0</v>
          </cell>
        </row>
        <row r="30">
          <cell r="I30">
            <v>27.278807630342413</v>
          </cell>
        </row>
        <row r="31">
          <cell r="I31">
            <v>350.40493073336393</v>
          </cell>
        </row>
        <row r="32">
          <cell r="I32">
            <v>1486.1211996747884</v>
          </cell>
        </row>
        <row r="33">
          <cell r="I33">
            <v>0</v>
          </cell>
        </row>
        <row r="34">
          <cell r="I34">
            <v>70.447479749293691</v>
          </cell>
        </row>
        <row r="35">
          <cell r="I35">
            <v>-1.5667060347230575</v>
          </cell>
        </row>
        <row r="36">
          <cell r="I36">
            <v>908.321148945044</v>
          </cell>
        </row>
        <row r="37">
          <cell r="I37">
            <v>0</v>
          </cell>
        </row>
        <row r="38">
          <cell r="I38">
            <v>539.36630903554976</v>
          </cell>
        </row>
        <row r="39">
          <cell r="I39">
            <v>14.48062556893545</v>
          </cell>
        </row>
        <row r="40">
          <cell r="I40">
            <v>167.86754168591898</v>
          </cell>
        </row>
        <row r="41">
          <cell r="I41">
            <v>1453.0347078132452</v>
          </cell>
        </row>
        <row r="42">
          <cell r="I42">
            <v>1820.466923562755</v>
          </cell>
        </row>
        <row r="43">
          <cell r="I43">
            <v>3190.5522784749605</v>
          </cell>
        </row>
        <row r="44">
          <cell r="I44">
            <v>614.58274655876983</v>
          </cell>
        </row>
        <row r="45">
          <cell r="I45">
            <v>2417.6393487201899</v>
          </cell>
        </row>
        <row r="46">
          <cell r="I46">
            <v>2048.4735129513465</v>
          </cell>
        </row>
        <row r="47">
          <cell r="I47">
            <v>207.26347054315181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46.675479132572811</v>
          </cell>
        </row>
        <row r="51">
          <cell r="I51">
            <v>6498.651633996994</v>
          </cell>
        </row>
      </sheetData>
      <sheetData sheetId="1">
        <row r="9">
          <cell r="I9">
            <v>0</v>
          </cell>
        </row>
        <row r="10">
          <cell r="I10">
            <v>0</v>
          </cell>
        </row>
        <row r="11">
          <cell r="I11">
            <v>-14.719571245904099</v>
          </cell>
        </row>
        <row r="12">
          <cell r="I12">
            <v>20304.408661613041</v>
          </cell>
        </row>
        <row r="13">
          <cell r="I13">
            <v>16.383012025789544</v>
          </cell>
        </row>
        <row r="14">
          <cell r="I14">
            <v>0</v>
          </cell>
        </row>
        <row r="15">
          <cell r="I15">
            <v>-3691.7059295896684</v>
          </cell>
        </row>
        <row r="16">
          <cell r="I16">
            <v>69.125935184817905</v>
          </cell>
        </row>
        <row r="17">
          <cell r="I17">
            <v>0</v>
          </cell>
        </row>
        <row r="18">
          <cell r="I18">
            <v>-149.58353564363881</v>
          </cell>
        </row>
        <row r="19">
          <cell r="I19">
            <v>42520.793442993971</v>
          </cell>
        </row>
        <row r="20">
          <cell r="I20">
            <v>0</v>
          </cell>
        </row>
        <row r="21">
          <cell r="I21">
            <v>21816.346947476846</v>
          </cell>
        </row>
        <row r="22">
          <cell r="I22">
            <v>0</v>
          </cell>
        </row>
        <row r="23">
          <cell r="I23">
            <v>3583.0512432356791</v>
          </cell>
        </row>
        <row r="24">
          <cell r="I24">
            <v>0</v>
          </cell>
        </row>
        <row r="25">
          <cell r="I25">
            <v>4506.5239602286192</v>
          </cell>
        </row>
        <row r="26">
          <cell r="I26">
            <v>946.62779073768183</v>
          </cell>
        </row>
        <row r="27">
          <cell r="I27">
            <v>0</v>
          </cell>
        </row>
        <row r="28">
          <cell r="I28">
            <v>1402.7233803733093</v>
          </cell>
        </row>
        <row r="29">
          <cell r="I29">
            <v>0</v>
          </cell>
        </row>
        <row r="30">
          <cell r="I30">
            <v>352.63282373415814</v>
          </cell>
        </row>
        <row r="31">
          <cell r="I31">
            <v>4529.6803969333614</v>
          </cell>
        </row>
        <row r="32">
          <cell r="I32">
            <v>19211.071178551261</v>
          </cell>
        </row>
        <row r="33">
          <cell r="I33">
            <v>0</v>
          </cell>
        </row>
        <row r="34">
          <cell r="I34">
            <v>910.67373785488792</v>
          </cell>
        </row>
        <row r="35">
          <cell r="I35">
            <v>-20.252790388507275</v>
          </cell>
        </row>
        <row r="36">
          <cell r="I36">
            <v>11741.856753799952</v>
          </cell>
        </row>
        <row r="37">
          <cell r="I37">
            <v>0</v>
          </cell>
        </row>
        <row r="38">
          <cell r="I38">
            <v>6972.3819002527671</v>
          </cell>
        </row>
        <row r="39">
          <cell r="I39">
            <v>187.19087553265837</v>
          </cell>
        </row>
        <row r="40">
          <cell r="I40">
            <v>2170.0217267624785</v>
          </cell>
        </row>
        <row r="41">
          <cell r="I41">
            <v>18783.362489421623</v>
          </cell>
        </row>
        <row r="42">
          <cell r="I42">
            <v>23533.154398453891</v>
          </cell>
        </row>
        <row r="43">
          <cell r="I43">
            <v>41244.231583591216</v>
          </cell>
        </row>
        <row r="44">
          <cell r="I44">
            <v>7944.7038988702707</v>
          </cell>
        </row>
        <row r="45">
          <cell r="I45">
            <v>31252.795278402366</v>
          </cell>
        </row>
        <row r="46">
          <cell r="I46">
            <v>26480.592883875863</v>
          </cell>
        </row>
        <row r="47">
          <cell r="I47">
            <v>2679.2924333421715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603.37336692664383</v>
          </cell>
        </row>
        <row r="51">
          <cell r="I51">
            <v>84007.99284247146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4.7.1"/>
      <sheetName val="4.7 Remove Non-Recurring"/>
    </sheetNames>
    <sheetDataSet>
      <sheetData sheetId="0">
        <row r="10">
          <cell r="I10">
            <v>-113509.94069594286</v>
          </cell>
        </row>
        <row r="13">
          <cell r="I13">
            <v>-82916.446129532909</v>
          </cell>
        </row>
        <row r="15">
          <cell r="I15">
            <v>-47</v>
          </cell>
        </row>
        <row r="16">
          <cell r="I16">
            <v>-91.506246302488393</v>
          </cell>
        </row>
        <row r="17">
          <cell r="I17">
            <v>-62.154217472519179</v>
          </cell>
        </row>
      </sheetData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"/>
      <sheetName val="4.1.1"/>
      <sheetName val="LTIP"/>
      <sheetName val="FY2006 Three Factor Formula"/>
      <sheetName val="FY2006 Senders Receivers "/>
      <sheetName val="4.1 Misc General Expenses"/>
    </sheetNames>
    <sheetDataSet>
      <sheetData sheetId="0">
        <row r="9">
          <cell r="I9">
            <v>-398.79035040746351</v>
          </cell>
        </row>
        <row r="10">
          <cell r="I10">
            <v>-121.30651395581121</v>
          </cell>
        </row>
        <row r="11">
          <cell r="I11">
            <v>-605.43309650578158</v>
          </cell>
        </row>
        <row r="12">
          <cell r="I12">
            <v>-43058.05529843457</v>
          </cell>
        </row>
        <row r="17">
          <cell r="I17">
            <v>-92.604621577703739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ead Sheet WCA"/>
      <sheetName val="BW Acct 557 Dec 2009 "/>
      <sheetName val="Dec 09 AMA 254"/>
      <sheetName val="5.3 Electric Lake Settlement"/>
    </sheetNames>
    <sheetDataSet>
      <sheetData sheetId="0">
        <row r="13">
          <cell r="I13">
            <v>152282.21898382137</v>
          </cell>
        </row>
        <row r="15">
          <cell r="I15">
            <v>-212582.87396787116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7"/>
  <sheetViews>
    <sheetView tabSelected="1" zoomScale="85" zoomScaleNormal="85" workbookViewId="0">
      <selection activeCell="J18" sqref="J18"/>
    </sheetView>
  </sheetViews>
  <sheetFormatPr defaultRowHeight="12.75"/>
  <cols>
    <col min="1" max="1" width="40" style="87" customWidth="1"/>
    <col min="2" max="2" width="15.7109375" style="87" customWidth="1"/>
    <col min="3" max="3" width="0.7109375" style="87" customWidth="1"/>
    <col min="4" max="4" width="15.7109375" style="87" customWidth="1"/>
    <col min="5" max="5" width="0.7109375" style="87" customWidth="1"/>
    <col min="6" max="6" width="15.7109375" style="87" customWidth="1"/>
    <col min="7" max="7" width="0.7109375" style="87" customWidth="1"/>
    <col min="8" max="8" width="15.7109375" style="87" customWidth="1"/>
    <col min="9" max="9" width="0.7109375" style="87" customWidth="1"/>
    <col min="10" max="10" width="15.7109375" style="87" customWidth="1"/>
    <col min="11" max="11" width="0.7109375" style="87" customWidth="1"/>
    <col min="12" max="12" width="15.7109375" style="87" customWidth="1"/>
    <col min="13" max="13" width="0.7109375" style="87" customWidth="1"/>
    <col min="14" max="14" width="15.85546875" style="87" customWidth="1"/>
    <col min="15" max="16384" width="9.140625" style="87"/>
  </cols>
  <sheetData>
    <row r="1" spans="1:14">
      <c r="A1" s="5" t="s">
        <v>60</v>
      </c>
    </row>
    <row r="2" spans="1:14">
      <c r="A2" s="1" t="s">
        <v>216</v>
      </c>
    </row>
    <row r="3" spans="1:14">
      <c r="A3" s="209" t="s">
        <v>271</v>
      </c>
    </row>
    <row r="4" spans="1:14">
      <c r="A4" s="1"/>
    </row>
    <row r="5" spans="1:14">
      <c r="A5" s="1"/>
      <c r="B5" s="158" t="s">
        <v>177</v>
      </c>
      <c r="C5" s="159"/>
      <c r="D5" s="158" t="s">
        <v>178</v>
      </c>
      <c r="E5" s="159"/>
      <c r="F5" s="158" t="s">
        <v>179</v>
      </c>
      <c r="G5" s="160"/>
      <c r="H5" s="158" t="s">
        <v>180</v>
      </c>
      <c r="I5" s="160"/>
      <c r="J5" s="158" t="s">
        <v>181</v>
      </c>
      <c r="K5" s="160"/>
      <c r="L5" s="158" t="s">
        <v>182</v>
      </c>
      <c r="M5" s="160"/>
      <c r="N5" s="158" t="s">
        <v>203</v>
      </c>
    </row>
    <row r="6" spans="1:14">
      <c r="A6" s="1"/>
      <c r="B6" s="169" t="s">
        <v>186</v>
      </c>
      <c r="C6" s="170"/>
      <c r="D6" s="170"/>
      <c r="F6" s="170" t="s">
        <v>184</v>
      </c>
      <c r="H6" s="170"/>
      <c r="J6" s="171" t="s">
        <v>185</v>
      </c>
      <c r="L6" s="171"/>
      <c r="N6" s="171" t="s">
        <v>215</v>
      </c>
    </row>
    <row r="7" spans="1:14" ht="43.5" customHeight="1">
      <c r="A7" s="88"/>
      <c r="B7" s="157" t="s">
        <v>183</v>
      </c>
      <c r="C7" s="157"/>
      <c r="D7" s="157" t="s">
        <v>173</v>
      </c>
      <c r="E7" s="157"/>
      <c r="F7" s="157" t="s">
        <v>174</v>
      </c>
      <c r="G7" s="157"/>
      <c r="H7" s="157" t="s">
        <v>175</v>
      </c>
      <c r="I7" s="157"/>
      <c r="J7" s="157" t="s">
        <v>176</v>
      </c>
      <c r="K7" s="157"/>
      <c r="L7" s="157" t="s">
        <v>201</v>
      </c>
      <c r="M7" s="157"/>
      <c r="N7" s="157" t="s">
        <v>202</v>
      </c>
    </row>
    <row r="8" spans="1:14">
      <c r="A8" s="61" t="s">
        <v>65</v>
      </c>
      <c r="B8" s="41"/>
      <c r="C8" s="41"/>
      <c r="D8" s="41"/>
      <c r="F8" s="41"/>
      <c r="H8" s="41"/>
      <c r="J8" s="41"/>
      <c r="L8" s="41"/>
      <c r="N8" s="41"/>
    </row>
    <row r="9" spans="1:14">
      <c r="A9" s="61" t="s">
        <v>66</v>
      </c>
      <c r="B9" s="41">
        <f>[2]Results!C11</f>
        <v>266100834.98999998</v>
      </c>
      <c r="C9" s="41"/>
      <c r="D9" s="41">
        <f>'Restating Adj'!B12</f>
        <v>-6737565.5899999887</v>
      </c>
      <c r="F9" s="41">
        <f>B9+D9</f>
        <v>259363269.39999998</v>
      </c>
      <c r="H9" s="41">
        <f>'Pro Forma Adj'!B12</f>
        <v>12402155.109999999</v>
      </c>
      <c r="J9" s="41">
        <f>F9+H9</f>
        <v>271765424.50999999</v>
      </c>
      <c r="L9" s="41">
        <f>-(J37-(J64*Overall_ROR))/gross_up_factor</f>
        <v>48499340.263352945</v>
      </c>
      <c r="N9" s="41">
        <f>J9+L9</f>
        <v>320264764.77335292</v>
      </c>
    </row>
    <row r="10" spans="1:14">
      <c r="A10" s="61" t="s">
        <v>67</v>
      </c>
      <c r="B10" s="41">
        <f>[2]Results!C12</f>
        <v>0</v>
      </c>
      <c r="C10" s="41"/>
      <c r="D10" s="41">
        <f>'Restating Adj'!B13</f>
        <v>0</v>
      </c>
      <c r="F10" s="41">
        <f t="shared" ref="F10:F12" si="0">B10+D10</f>
        <v>0</v>
      </c>
      <c r="H10" s="41">
        <f>'Pro Forma Adj'!B13</f>
        <v>0</v>
      </c>
      <c r="J10" s="41">
        <f t="shared" ref="J10:J12" si="1">F10+H10</f>
        <v>0</v>
      </c>
      <c r="L10" s="41"/>
      <c r="N10" s="41">
        <f t="shared" ref="N10:N12" si="2">J10+L10</f>
        <v>0</v>
      </c>
    </row>
    <row r="11" spans="1:14">
      <c r="A11" s="61" t="s">
        <v>68</v>
      </c>
      <c r="B11" s="41">
        <f>[2]Results!C13</f>
        <v>78723890.002297029</v>
      </c>
      <c r="C11" s="41"/>
      <c r="D11" s="41">
        <f>'Restating Adj'!B14</f>
        <v>3803644.2032988709</v>
      </c>
      <c r="F11" s="41">
        <f t="shared" si="0"/>
        <v>82527534.205595896</v>
      </c>
      <c r="H11" s="41">
        <f>'Pro Forma Adj'!B14</f>
        <v>-46215933.386372209</v>
      </c>
      <c r="J11" s="41">
        <f t="shared" si="1"/>
        <v>36311600.819223687</v>
      </c>
      <c r="L11" s="41"/>
      <c r="N11" s="41">
        <f t="shared" si="2"/>
        <v>36311600.819223687</v>
      </c>
    </row>
    <row r="12" spans="1:14">
      <c r="A12" s="61" t="s">
        <v>69</v>
      </c>
      <c r="B12" s="41">
        <f>[2]Results!C14</f>
        <v>12554856.948306177</v>
      </c>
      <c r="C12" s="41"/>
      <c r="D12" s="41">
        <f>'Restating Adj'!B15</f>
        <v>-4108989.02950744</v>
      </c>
      <c r="F12" s="41">
        <f t="shared" si="0"/>
        <v>8445867.9187987372</v>
      </c>
      <c r="H12" s="41">
        <f>'Pro Forma Adj'!B15</f>
        <v>2935061.5718090199</v>
      </c>
      <c r="J12" s="41">
        <f t="shared" si="1"/>
        <v>11380929.490607757</v>
      </c>
      <c r="L12" s="41"/>
      <c r="N12" s="41">
        <f t="shared" si="2"/>
        <v>11380929.490607757</v>
      </c>
    </row>
    <row r="13" spans="1:14" ht="13.5" thickBot="1">
      <c r="A13" s="61" t="s">
        <v>70</v>
      </c>
      <c r="B13" s="60">
        <f>SUM(B9:B12)</f>
        <v>357379581.9406032</v>
      </c>
      <c r="C13" s="41"/>
      <c r="D13" s="60">
        <f>SUM(D9:D12)</f>
        <v>-7042910.4162085578</v>
      </c>
      <c r="F13" s="60">
        <f>SUM(F9:F12)</f>
        <v>350336671.52439463</v>
      </c>
      <c r="H13" s="60">
        <f>SUM(H9:H12)</f>
        <v>-30878716.704563189</v>
      </c>
      <c r="J13" s="60">
        <f>SUM(J9:J12)</f>
        <v>319457954.81983143</v>
      </c>
      <c r="L13" s="60">
        <f>SUM(L9:L12)</f>
        <v>48499340.263352945</v>
      </c>
      <c r="N13" s="60">
        <f>SUM(N9:N12)</f>
        <v>367957295.08318436</v>
      </c>
    </row>
    <row r="14" spans="1:14" ht="13.5" thickTop="1">
      <c r="A14" s="61"/>
      <c r="B14" s="41"/>
      <c r="C14" s="41"/>
      <c r="D14" s="41"/>
      <c r="F14" s="41"/>
      <c r="H14" s="41"/>
      <c r="J14" s="41"/>
      <c r="L14" s="41"/>
      <c r="N14" s="41"/>
    </row>
    <row r="15" spans="1:14">
      <c r="A15" s="61" t="s">
        <v>71</v>
      </c>
      <c r="B15" s="41"/>
      <c r="C15" s="41"/>
      <c r="D15" s="41"/>
      <c r="F15" s="41"/>
      <c r="H15" s="41"/>
      <c r="J15" s="41"/>
      <c r="L15" s="41"/>
      <c r="N15" s="41"/>
    </row>
    <row r="16" spans="1:14">
      <c r="A16" s="61" t="s">
        <v>72</v>
      </c>
      <c r="B16" s="41">
        <f>[2]Results!C18</f>
        <v>48371132.770529747</v>
      </c>
      <c r="C16" s="41"/>
      <c r="D16" s="41">
        <f>'Restating Adj'!B19</f>
        <v>-1302039.490000973</v>
      </c>
      <c r="F16" s="41">
        <f t="shared" ref="F16:F25" si="3">B16+D16</f>
        <v>47069093.280528776</v>
      </c>
      <c r="H16" s="41">
        <f>'Pro Forma Adj'!B19</f>
        <v>3866911.1401345837</v>
      </c>
      <c r="J16" s="41">
        <f t="shared" ref="J16:J25" si="4">F16+H16</f>
        <v>50936004.420663357</v>
      </c>
      <c r="L16" s="41"/>
      <c r="N16" s="41">
        <f t="shared" ref="N16:N25" si="5">J16+L16</f>
        <v>50936004.420663357</v>
      </c>
    </row>
    <row r="17" spans="1:14">
      <c r="A17" s="61" t="s">
        <v>73</v>
      </c>
      <c r="B17" s="41">
        <f>[2]Results!C19</f>
        <v>0</v>
      </c>
      <c r="C17" s="41"/>
      <c r="D17" s="41">
        <f>'Restating Adj'!B20</f>
        <v>0</v>
      </c>
      <c r="F17" s="41">
        <f t="shared" si="3"/>
        <v>0</v>
      </c>
      <c r="H17" s="41">
        <f>'Pro Forma Adj'!B20</f>
        <v>0</v>
      </c>
      <c r="J17" s="41">
        <f t="shared" si="4"/>
        <v>0</v>
      </c>
      <c r="L17" s="41"/>
      <c r="N17" s="41">
        <f t="shared" si="5"/>
        <v>0</v>
      </c>
    </row>
    <row r="18" spans="1:14">
      <c r="A18" s="61" t="s">
        <v>74</v>
      </c>
      <c r="B18" s="41">
        <f>[2]Results!C20</f>
        <v>6349037.5511267083</v>
      </c>
      <c r="C18" s="41"/>
      <c r="D18" s="41">
        <f>'Restating Adj'!B21</f>
        <v>1964.8349516471831</v>
      </c>
      <c r="F18" s="41">
        <f t="shared" si="3"/>
        <v>6351002.3860783558</v>
      </c>
      <c r="H18" s="41">
        <f>'Pro Forma Adj'!B21</f>
        <v>14128.087987025239</v>
      </c>
      <c r="J18" s="41">
        <f t="shared" si="4"/>
        <v>6365130.4740653811</v>
      </c>
      <c r="L18" s="41"/>
      <c r="N18" s="41">
        <f t="shared" si="5"/>
        <v>6365130.4740653811</v>
      </c>
    </row>
    <row r="19" spans="1:14">
      <c r="A19" s="61" t="s">
        <v>75</v>
      </c>
      <c r="B19" s="41">
        <f>[2]Results!C21</f>
        <v>125305885.00091264</v>
      </c>
      <c r="C19" s="41"/>
      <c r="D19" s="41">
        <f>'Restating Adj'!B22</f>
        <v>2206561.8332285574</v>
      </c>
      <c r="F19" s="41">
        <f t="shared" si="3"/>
        <v>127512446.83414119</v>
      </c>
      <c r="H19" s="41">
        <f>'Pro Forma Adj'!B22</f>
        <v>-19481406.007589854</v>
      </c>
      <c r="J19" s="41">
        <f t="shared" si="4"/>
        <v>108031040.82655135</v>
      </c>
      <c r="L19" s="41"/>
      <c r="N19" s="41">
        <f t="shared" si="5"/>
        <v>108031040.82655135</v>
      </c>
    </row>
    <row r="20" spans="1:14">
      <c r="A20" s="61" t="s">
        <v>76</v>
      </c>
      <c r="B20" s="41">
        <f>[2]Results!C22</f>
        <v>25362553.335236829</v>
      </c>
      <c r="C20" s="41"/>
      <c r="D20" s="41">
        <f>'Restating Adj'!B23</f>
        <v>-119205.98724489645</v>
      </c>
      <c r="F20" s="41">
        <f t="shared" si="3"/>
        <v>25243347.347991932</v>
      </c>
      <c r="H20" s="41">
        <f>'Pro Forma Adj'!B23</f>
        <v>4020309.1765103331</v>
      </c>
      <c r="J20" s="41">
        <f t="shared" si="4"/>
        <v>29263656.524502266</v>
      </c>
      <c r="L20" s="41"/>
      <c r="N20" s="41">
        <f t="shared" si="5"/>
        <v>29263656.524502266</v>
      </c>
    </row>
    <row r="21" spans="1:14">
      <c r="A21" s="61" t="s">
        <v>77</v>
      </c>
      <c r="B21" s="41">
        <f>[2]Results!C23</f>
        <v>13621606.721800074</v>
      </c>
      <c r="C21" s="41"/>
      <c r="D21" s="41">
        <f>'Restating Adj'!B24</f>
        <v>6969.4824389372116</v>
      </c>
      <c r="F21" s="41">
        <f t="shared" si="3"/>
        <v>13628576.204239011</v>
      </c>
      <c r="H21" s="41">
        <f>'Pro Forma Adj'!B24</f>
        <v>91505.452370337007</v>
      </c>
      <c r="J21" s="41">
        <f t="shared" si="4"/>
        <v>13720081.656609347</v>
      </c>
      <c r="L21" s="41"/>
      <c r="N21" s="41">
        <f t="shared" si="5"/>
        <v>13720081.656609347</v>
      </c>
    </row>
    <row r="22" spans="1:14">
      <c r="A22" s="61" t="s">
        <v>78</v>
      </c>
      <c r="B22" s="41">
        <f>[2]Results!C24</f>
        <v>8025975.3729733964</v>
      </c>
      <c r="C22" s="41"/>
      <c r="D22" s="41">
        <f>'Restating Adj'!B25</f>
        <v>4466.1128616715359</v>
      </c>
      <c r="F22" s="41">
        <f t="shared" si="3"/>
        <v>8030441.4858350679</v>
      </c>
      <c r="H22" s="41">
        <f>'Pro Forma Adj'!B25</f>
        <v>57733.388162278228</v>
      </c>
      <c r="J22" s="41">
        <f t="shared" si="4"/>
        <v>8088174.8739973465</v>
      </c>
      <c r="L22" s="41">
        <f>L9*uncollectible_perc</f>
        <v>272081.29887741007</v>
      </c>
      <c r="N22" s="41">
        <f t="shared" si="5"/>
        <v>8360256.1728747562</v>
      </c>
    </row>
    <row r="23" spans="1:14">
      <c r="A23" s="61" t="s">
        <v>79</v>
      </c>
      <c r="B23" s="41">
        <f>[2]Results!C25</f>
        <v>5423426.4819710292</v>
      </c>
      <c r="C23" s="41"/>
      <c r="D23" s="41">
        <f>'Restating Adj'!B26</f>
        <v>-4860648.457373553</v>
      </c>
      <c r="F23" s="41">
        <f t="shared" si="3"/>
        <v>562778.02459747624</v>
      </c>
      <c r="H23" s="41">
        <f>'Pro Forma Adj'!B26</f>
        <v>2679.2924333421715</v>
      </c>
      <c r="J23" s="41">
        <f t="shared" si="4"/>
        <v>565457.31703081843</v>
      </c>
      <c r="L23" s="41"/>
      <c r="N23" s="41">
        <f t="shared" si="5"/>
        <v>565457.31703081843</v>
      </c>
    </row>
    <row r="24" spans="1:14">
      <c r="A24" s="61" t="s">
        <v>80</v>
      </c>
      <c r="B24" s="41">
        <f>[2]Results!C26</f>
        <v>0</v>
      </c>
      <c r="C24" s="41"/>
      <c r="D24" s="41">
        <f>'Restating Adj'!B27</f>
        <v>0</v>
      </c>
      <c r="F24" s="41">
        <f t="shared" si="3"/>
        <v>0</v>
      </c>
      <c r="H24" s="41">
        <f>'Pro Forma Adj'!B27</f>
        <v>0</v>
      </c>
      <c r="J24" s="41">
        <f t="shared" si="4"/>
        <v>0</v>
      </c>
      <c r="L24" s="41"/>
      <c r="N24" s="41">
        <f t="shared" si="5"/>
        <v>0</v>
      </c>
    </row>
    <row r="25" spans="1:14">
      <c r="A25" s="61" t="s">
        <v>81</v>
      </c>
      <c r="B25" s="41">
        <f>[2]Results!C27</f>
        <v>12167262.867714064</v>
      </c>
      <c r="C25" s="41"/>
      <c r="D25" s="41">
        <f>'Restating Adj'!B28</f>
        <v>-244134.45056957737</v>
      </c>
      <c r="F25" s="41">
        <f t="shared" si="3"/>
        <v>11923128.417144487</v>
      </c>
      <c r="H25" s="41">
        <f>'Pro Forma Adj'!B28</f>
        <v>-1329008.6223783894</v>
      </c>
      <c r="J25" s="41">
        <f t="shared" si="4"/>
        <v>10594119.794766098</v>
      </c>
      <c r="L25" s="41"/>
      <c r="N25" s="41">
        <f t="shared" si="5"/>
        <v>10594119.794766098</v>
      </c>
    </row>
    <row r="26" spans="1:14">
      <c r="A26" s="61" t="s">
        <v>82</v>
      </c>
      <c r="B26" s="32">
        <f>SUM(B16:B25)</f>
        <v>244626880.10226449</v>
      </c>
      <c r="C26" s="41"/>
      <c r="D26" s="32">
        <f>SUM(D16:D25)</f>
        <v>-4306066.1217081863</v>
      </c>
      <c r="F26" s="32">
        <f>SUM(F16:F25)</f>
        <v>240320813.98055631</v>
      </c>
      <c r="H26" s="32">
        <f>SUM(H16:H25)</f>
        <v>-12757148.092370346</v>
      </c>
      <c r="J26" s="32">
        <f>SUM(J16:J25)</f>
        <v>227563665.88818601</v>
      </c>
      <c r="L26" s="32">
        <f>SUM(L16:L25)</f>
        <v>272081.29887741007</v>
      </c>
      <c r="N26" s="32">
        <f>SUM(N16:N25)</f>
        <v>227835747.1870634</v>
      </c>
    </row>
    <row r="27" spans="1:14">
      <c r="A27" s="61" t="s">
        <v>83</v>
      </c>
      <c r="B27" s="41">
        <f>[2]Results!C29</f>
        <v>36705844.209221087</v>
      </c>
      <c r="C27" s="41"/>
      <c r="D27" s="41">
        <f>'Restating Adj'!B30</f>
        <v>-415222.55433080252</v>
      </c>
      <c r="F27" s="41">
        <f t="shared" ref="F27:F29" si="6">B27+D27</f>
        <v>36290621.654890284</v>
      </c>
      <c r="H27" s="41">
        <f>'Pro Forma Adj'!B30</f>
        <v>-29238.355724457651</v>
      </c>
      <c r="J27" s="41">
        <f t="shared" ref="J27:J29" si="7">F27+H27</f>
        <v>36261383.29916583</v>
      </c>
      <c r="L27" s="41"/>
      <c r="N27" s="41">
        <f t="shared" ref="N27:N34" si="8">J27+L27</f>
        <v>36261383.29916583</v>
      </c>
    </row>
    <row r="28" spans="1:14">
      <c r="A28" s="61" t="s">
        <v>84</v>
      </c>
      <c r="B28" s="41">
        <f>[2]Results!C30</f>
        <v>4017010.1383138788</v>
      </c>
      <c r="C28" s="41"/>
      <c r="D28" s="41">
        <f>'Restating Adj'!B31</f>
        <v>-169568.97296169098</v>
      </c>
      <c r="F28" s="41">
        <f t="shared" si="6"/>
        <v>3847441.1653521881</v>
      </c>
      <c r="H28" s="41">
        <f>'Pro Forma Adj'!B31</f>
        <v>-182288.98018681514</v>
      </c>
      <c r="J28" s="41">
        <f t="shared" si="7"/>
        <v>3665152.1851653727</v>
      </c>
      <c r="L28" s="41"/>
      <c r="N28" s="41">
        <f t="shared" si="8"/>
        <v>3665152.1851653727</v>
      </c>
    </row>
    <row r="29" spans="1:14">
      <c r="A29" s="61" t="s">
        <v>85</v>
      </c>
      <c r="B29" s="41">
        <f>[2]Results!C31</f>
        <v>17744812.254208628</v>
      </c>
      <c r="C29" s="41"/>
      <c r="D29" s="41">
        <f>'Restating Adj'!B32</f>
        <v>-42124.459304340671</v>
      </c>
      <c r="F29" s="41">
        <f t="shared" si="6"/>
        <v>17702687.794904288</v>
      </c>
      <c r="H29" s="41">
        <f>'Pro Forma Adj'!B32</f>
        <v>-428616.54000000004</v>
      </c>
      <c r="J29" s="41">
        <f t="shared" si="7"/>
        <v>17274071.254904289</v>
      </c>
      <c r="L29" s="41">
        <f>L9*(WUTC_reg_fee_perc+WA_rev_tax_perc)</f>
        <v>1975378.1289263656</v>
      </c>
      <c r="N29" s="41">
        <f t="shared" si="8"/>
        <v>19249449.383830655</v>
      </c>
    </row>
    <row r="30" spans="1:14">
      <c r="A30" s="61" t="s">
        <v>86</v>
      </c>
      <c r="B30" s="41">
        <f>B84</f>
        <v>-13966180.340332307</v>
      </c>
      <c r="C30" s="41"/>
      <c r="D30" s="41">
        <f>D84</f>
        <v>194287.75429866073</v>
      </c>
      <c r="F30" s="41">
        <f>F84</f>
        <v>-13771892.58603365</v>
      </c>
      <c r="H30" s="41">
        <f>H84</f>
        <v>-11461182.141896818</v>
      </c>
      <c r="J30" s="41">
        <f>J84</f>
        <v>-25233074.727930486</v>
      </c>
      <c r="L30" s="41">
        <f>L84</f>
        <v>16188158.292442208</v>
      </c>
      <c r="N30" s="41">
        <f>N84</f>
        <v>-9044916.4354882762</v>
      </c>
    </row>
    <row r="31" spans="1:14">
      <c r="A31" s="61" t="s">
        <v>87</v>
      </c>
      <c r="B31" s="41">
        <f>B79</f>
        <v>0</v>
      </c>
      <c r="C31" s="41"/>
      <c r="D31" s="41">
        <f>D79</f>
        <v>0</v>
      </c>
      <c r="F31" s="41">
        <f>F79</f>
        <v>0</v>
      </c>
      <c r="H31" s="41">
        <f>H79</f>
        <v>0</v>
      </c>
      <c r="J31" s="41">
        <f>J79</f>
        <v>0</v>
      </c>
      <c r="L31" s="41">
        <f>L79</f>
        <v>0</v>
      </c>
      <c r="N31" s="41">
        <f>N79</f>
        <v>0</v>
      </c>
    </row>
    <row r="32" spans="1:14">
      <c r="A32" s="61" t="s">
        <v>88</v>
      </c>
      <c r="B32" s="41">
        <f>[2]Results!C34</f>
        <v>22359798.153024439</v>
      </c>
      <c r="C32" s="41"/>
      <c r="D32" s="41">
        <f>'Restating Adj'!B35</f>
        <v>4258073.6394843711</v>
      </c>
      <c r="F32" s="41">
        <f t="shared" ref="F32:F34" si="9">B32+D32</f>
        <v>26617871.792508811</v>
      </c>
      <c r="H32" s="41">
        <f>'Pro Forma Adj'!B35</f>
        <v>-417013.79217773164</v>
      </c>
      <c r="J32" s="41">
        <f t="shared" ref="J32:J34" si="10">F32+H32</f>
        <v>26200858.000331078</v>
      </c>
      <c r="L32" s="41"/>
      <c r="N32" s="41">
        <f t="shared" si="8"/>
        <v>26200858.000331078</v>
      </c>
    </row>
    <row r="33" spans="1:14">
      <c r="A33" s="61" t="s">
        <v>89</v>
      </c>
      <c r="B33" s="41">
        <f>[2]Results!C35</f>
        <v>0</v>
      </c>
      <c r="C33" s="41"/>
      <c r="D33" s="41">
        <f>'Restating Adj'!B36</f>
        <v>0</v>
      </c>
      <c r="F33" s="41">
        <f t="shared" si="9"/>
        <v>0</v>
      </c>
      <c r="H33" s="41">
        <f>'Pro Forma Adj'!B36</f>
        <v>0</v>
      </c>
      <c r="J33" s="41">
        <f t="shared" si="10"/>
        <v>0</v>
      </c>
      <c r="L33" s="41"/>
      <c r="N33" s="41">
        <f t="shared" si="8"/>
        <v>0</v>
      </c>
    </row>
    <row r="34" spans="1:14">
      <c r="A34" s="61" t="s">
        <v>90</v>
      </c>
      <c r="B34" s="41">
        <f>[2]Results!C36</f>
        <v>-341244.31117613171</v>
      </c>
      <c r="C34" s="41"/>
      <c r="D34" s="41">
        <f>'Restating Adj'!B37</f>
        <v>-513913.347966392</v>
      </c>
      <c r="F34" s="41">
        <f t="shared" si="9"/>
        <v>-855157.65914252377</v>
      </c>
      <c r="H34" s="41">
        <f>'Pro Forma Adj'!B37</f>
        <v>1497.2637677959865</v>
      </c>
      <c r="J34" s="41">
        <f t="shared" si="10"/>
        <v>-853660.39537472778</v>
      </c>
      <c r="L34" s="41"/>
      <c r="N34" s="41">
        <f t="shared" si="8"/>
        <v>-853660.39537472778</v>
      </c>
    </row>
    <row r="35" spans="1:14">
      <c r="A35" s="61" t="s">
        <v>91</v>
      </c>
      <c r="B35" s="32">
        <f>SUM(B26:B34)</f>
        <v>311146920.20552409</v>
      </c>
      <c r="C35" s="41"/>
      <c r="D35" s="32">
        <f>SUM(D26:D34)</f>
        <v>-994534.06248838129</v>
      </c>
      <c r="F35" s="32">
        <f>SUM(F26:F34)</f>
        <v>310152386.14303577</v>
      </c>
      <c r="H35" s="32">
        <f>SUM(H26:H34)</f>
        <v>-25273990.638588373</v>
      </c>
      <c r="J35" s="32">
        <f>SUM(J26:J34)</f>
        <v>284878395.5044474</v>
      </c>
      <c r="L35" s="32">
        <f>SUM(L26:L34)</f>
        <v>18435617.720245983</v>
      </c>
      <c r="N35" s="32">
        <f>SUM(N26:N34)</f>
        <v>303314013.22469336</v>
      </c>
    </row>
    <row r="36" spans="1:14">
      <c r="A36" s="61"/>
      <c r="B36" s="41"/>
      <c r="C36" s="41"/>
      <c r="D36" s="41"/>
      <c r="F36" s="41"/>
      <c r="H36" s="41"/>
      <c r="J36" s="41"/>
      <c r="L36" s="41"/>
      <c r="N36" s="41"/>
    </row>
    <row r="37" spans="1:14" ht="13.5" thickBot="1">
      <c r="A37" s="61" t="s">
        <v>92</v>
      </c>
      <c r="B37" s="60">
        <f>B13-B35</f>
        <v>46232661.73507911</v>
      </c>
      <c r="C37" s="41"/>
      <c r="D37" s="60">
        <f>D13-D35</f>
        <v>-6048376.353720177</v>
      </c>
      <c r="F37" s="60">
        <f>F13-F35</f>
        <v>40184285.381358862</v>
      </c>
      <c r="H37" s="60">
        <f>H13-H35</f>
        <v>-5604726.0659748167</v>
      </c>
      <c r="J37" s="60">
        <f>J13-J35</f>
        <v>34579559.31538403</v>
      </c>
      <c r="L37" s="60">
        <f>L13-L35</f>
        <v>30063722.543106962</v>
      </c>
      <c r="N37" s="60">
        <f>N13-N35</f>
        <v>64643281.858491004</v>
      </c>
    </row>
    <row r="38" spans="1:14" ht="13.5" thickTop="1">
      <c r="A38" s="61"/>
      <c r="B38" s="41"/>
      <c r="C38" s="41"/>
      <c r="D38" s="41"/>
      <c r="F38" s="41"/>
      <c r="H38" s="41"/>
      <c r="J38" s="41"/>
      <c r="L38" s="41"/>
      <c r="N38" s="41"/>
    </row>
    <row r="39" spans="1:14">
      <c r="A39" s="61" t="s">
        <v>93</v>
      </c>
      <c r="B39" s="41"/>
      <c r="C39" s="41"/>
      <c r="D39" s="41"/>
      <c r="F39" s="41"/>
      <c r="H39" s="41"/>
      <c r="J39" s="41"/>
      <c r="L39" s="41"/>
      <c r="N39" s="41"/>
    </row>
    <row r="40" spans="1:14">
      <c r="A40" s="61" t="s">
        <v>94</v>
      </c>
      <c r="B40" s="41">
        <f>[2]Results!C42</f>
        <v>1398743840.7185168</v>
      </c>
      <c r="C40" s="41"/>
      <c r="D40" s="41">
        <f>'Restating Adj'!B43</f>
        <v>27046917.071776655</v>
      </c>
      <c r="F40" s="41">
        <f t="shared" ref="F40:F50" si="11">B40+D40</f>
        <v>1425790757.7902935</v>
      </c>
      <c r="H40" s="41">
        <f>'Pro Forma Adj'!B43</f>
        <v>-1161847.3348459222</v>
      </c>
      <c r="J40" s="41">
        <f t="shared" ref="J40:J50" si="12">F40+H40</f>
        <v>1424628910.4554474</v>
      </c>
      <c r="L40" s="41"/>
      <c r="N40" s="41">
        <f t="shared" ref="N40:N50" si="13">J40+L40</f>
        <v>1424628910.4554474</v>
      </c>
    </row>
    <row r="41" spans="1:14">
      <c r="A41" s="61" t="s">
        <v>95</v>
      </c>
      <c r="B41" s="41">
        <f>[2]Results!C43</f>
        <v>37310.24459140328</v>
      </c>
      <c r="C41" s="41"/>
      <c r="D41" s="41">
        <f>'Restating Adj'!B44</f>
        <v>0</v>
      </c>
      <c r="F41" s="41">
        <f t="shared" si="11"/>
        <v>37310.24459140328</v>
      </c>
      <c r="H41" s="41">
        <f>'Pro Forma Adj'!B44</f>
        <v>0</v>
      </c>
      <c r="J41" s="41">
        <f t="shared" si="12"/>
        <v>37310.24459140328</v>
      </c>
      <c r="L41" s="41"/>
      <c r="N41" s="41">
        <f t="shared" si="13"/>
        <v>37310.24459140328</v>
      </c>
    </row>
    <row r="42" spans="1:14">
      <c r="A42" s="61" t="s">
        <v>96</v>
      </c>
      <c r="B42" s="41">
        <f>[2]Results!C44</f>
        <v>6671729.2360731997</v>
      </c>
      <c r="C42" s="41"/>
      <c r="D42" s="41">
        <f>'Restating Adj'!B45</f>
        <v>-2197306.0259155687</v>
      </c>
      <c r="F42" s="41">
        <f t="shared" si="11"/>
        <v>4474423.210157631</v>
      </c>
      <c r="H42" s="41">
        <f>'Pro Forma Adj'!B45</f>
        <v>15188002.091061195</v>
      </c>
      <c r="J42" s="41">
        <f t="shared" si="12"/>
        <v>19662425.301218826</v>
      </c>
      <c r="L42" s="41"/>
      <c r="N42" s="41">
        <f t="shared" si="13"/>
        <v>19662425.301218826</v>
      </c>
    </row>
    <row r="43" spans="1:14">
      <c r="A43" s="61" t="s">
        <v>97</v>
      </c>
      <c r="B43" s="41">
        <f>[2]Results!C45</f>
        <v>0</v>
      </c>
      <c r="C43" s="41"/>
      <c r="D43" s="41">
        <f>'Restating Adj'!B46</f>
        <v>0</v>
      </c>
      <c r="F43" s="41">
        <f t="shared" si="11"/>
        <v>0</v>
      </c>
      <c r="H43" s="41">
        <f>'Pro Forma Adj'!B46</f>
        <v>0</v>
      </c>
      <c r="J43" s="41">
        <f t="shared" si="12"/>
        <v>0</v>
      </c>
      <c r="L43" s="41"/>
      <c r="N43" s="41">
        <f t="shared" si="13"/>
        <v>0</v>
      </c>
    </row>
    <row r="44" spans="1:14">
      <c r="A44" s="61" t="s">
        <v>98</v>
      </c>
      <c r="B44" s="41">
        <f>[2]Results!C46</f>
        <v>0</v>
      </c>
      <c r="C44" s="41"/>
      <c r="D44" s="41">
        <f>'Restating Adj'!B47</f>
        <v>0</v>
      </c>
      <c r="F44" s="41">
        <f t="shared" si="11"/>
        <v>0</v>
      </c>
      <c r="H44" s="41">
        <f>'Pro Forma Adj'!B47</f>
        <v>0</v>
      </c>
      <c r="J44" s="41">
        <f t="shared" si="12"/>
        <v>0</v>
      </c>
      <c r="L44" s="41"/>
      <c r="N44" s="41">
        <f t="shared" si="13"/>
        <v>0</v>
      </c>
    </row>
    <row r="45" spans="1:14">
      <c r="A45" s="61" t="s">
        <v>99</v>
      </c>
      <c r="B45" s="41">
        <f>[2]Results!C47</f>
        <v>2850427.943054324</v>
      </c>
      <c r="C45" s="41"/>
      <c r="D45" s="41">
        <f>'Restating Adj'!B48</f>
        <v>-2850427.9619466118</v>
      </c>
      <c r="F45" s="41">
        <f t="shared" si="11"/>
        <v>-1.8892287742346525E-2</v>
      </c>
      <c r="H45" s="41">
        <f>'Pro Forma Adj'!B48</f>
        <v>0</v>
      </c>
      <c r="J45" s="41">
        <f t="shared" si="12"/>
        <v>-1.8892287742346525E-2</v>
      </c>
      <c r="L45" s="41"/>
      <c r="N45" s="41">
        <f t="shared" si="13"/>
        <v>-1.8892287742346525E-2</v>
      </c>
    </row>
    <row r="46" spans="1:14">
      <c r="A46" s="61" t="s">
        <v>100</v>
      </c>
      <c r="B46" s="41">
        <f>[2]Results!C48</f>
        <v>3524551.0469494397</v>
      </c>
      <c r="C46" s="41"/>
      <c r="D46" s="41">
        <f>'Restating Adj'!B49</f>
        <v>2033952.2560125524</v>
      </c>
      <c r="F46" s="41">
        <f t="shared" si="11"/>
        <v>5558503.3029619921</v>
      </c>
      <c r="H46" s="41">
        <f>'Pro Forma Adj'!B49</f>
        <v>-3595.335989266634</v>
      </c>
      <c r="J46" s="41">
        <f t="shared" si="12"/>
        <v>5554907.9669727255</v>
      </c>
      <c r="L46" s="41"/>
      <c r="N46" s="41">
        <f t="shared" si="13"/>
        <v>5554907.9669727255</v>
      </c>
    </row>
    <row r="47" spans="1:14">
      <c r="A47" s="61" t="s">
        <v>101</v>
      </c>
      <c r="B47" s="41">
        <f>[2]Results!C49</f>
        <v>7763142.7157643503</v>
      </c>
      <c r="C47" s="41"/>
      <c r="D47" s="41">
        <f>'Restating Adj'!B50</f>
        <v>2018177.8990736436</v>
      </c>
      <c r="F47" s="41">
        <f t="shared" si="11"/>
        <v>9781320.6148379929</v>
      </c>
      <c r="H47" s="41">
        <f>'Pro Forma Adj'!B50</f>
        <v>-3545.2505568028428</v>
      </c>
      <c r="J47" s="41">
        <f t="shared" si="12"/>
        <v>9777775.3642811906</v>
      </c>
      <c r="L47" s="41"/>
      <c r="N47" s="41">
        <f t="shared" si="13"/>
        <v>9777775.3642811906</v>
      </c>
    </row>
    <row r="48" spans="1:14">
      <c r="A48" s="61" t="s">
        <v>102</v>
      </c>
      <c r="B48" s="41">
        <f>[2]Results!C50</f>
        <v>2159291.1506739343</v>
      </c>
      <c r="C48" s="41"/>
      <c r="D48" s="41">
        <f>'Restating Adj'!B51</f>
        <v>8646327.0520162769</v>
      </c>
      <c r="F48" s="41">
        <f t="shared" si="11"/>
        <v>10805618.20269021</v>
      </c>
      <c r="H48" s="41">
        <f>'Pro Forma Adj'!B51</f>
        <v>364275.90369573049</v>
      </c>
      <c r="J48" s="41">
        <f t="shared" si="12"/>
        <v>11169894.106385941</v>
      </c>
      <c r="L48" s="41"/>
      <c r="N48" s="41">
        <f t="shared" si="13"/>
        <v>11169894.106385941</v>
      </c>
    </row>
    <row r="49" spans="1:14">
      <c r="A49" s="61" t="s">
        <v>103</v>
      </c>
      <c r="B49" s="41">
        <f>[2]Results!C51</f>
        <v>2046740.5986772478</v>
      </c>
      <c r="C49" s="41"/>
      <c r="D49" s="41">
        <f>'Restating Adj'!B52</f>
        <v>0</v>
      </c>
      <c r="F49" s="41">
        <f t="shared" si="11"/>
        <v>2046740.5986772478</v>
      </c>
      <c r="H49" s="41">
        <f>'Pro Forma Adj'!B52</f>
        <v>0</v>
      </c>
      <c r="J49" s="41">
        <f t="shared" si="12"/>
        <v>2046740.5986772478</v>
      </c>
      <c r="L49" s="41"/>
      <c r="N49" s="41">
        <f t="shared" si="13"/>
        <v>2046740.5986772478</v>
      </c>
    </row>
    <row r="50" spans="1:14">
      <c r="A50" s="61" t="s">
        <v>104</v>
      </c>
      <c r="B50" s="41">
        <f>[2]Results!C52</f>
        <v>268576.60807565699</v>
      </c>
      <c r="C50" s="41"/>
      <c r="D50" s="41">
        <f>'Restating Adj'!B53</f>
        <v>-268576.60836182453</v>
      </c>
      <c r="F50" s="41">
        <f t="shared" si="11"/>
        <v>-2.86167545709759E-4</v>
      </c>
      <c r="H50" s="41">
        <f>'Pro Forma Adj'!B53</f>
        <v>0</v>
      </c>
      <c r="J50" s="41">
        <f t="shared" si="12"/>
        <v>-2.86167545709759E-4</v>
      </c>
      <c r="L50" s="41"/>
      <c r="N50" s="41">
        <f t="shared" si="13"/>
        <v>-2.86167545709759E-4</v>
      </c>
    </row>
    <row r="51" spans="1:14" ht="13.5" thickBot="1">
      <c r="A51" s="61" t="s">
        <v>105</v>
      </c>
      <c r="B51" s="60">
        <f>SUM(B40:B50)</f>
        <v>1424065610.2623763</v>
      </c>
      <c r="C51" s="41"/>
      <c r="D51" s="60">
        <f>SUM(D40:D50)</f>
        <v>34429063.682655126</v>
      </c>
      <c r="F51" s="60">
        <f>SUM(F40:F50)</f>
        <v>1458494673.9450314</v>
      </c>
      <c r="H51" s="60">
        <f>SUM(H40:H50)</f>
        <v>14383290.073364934</v>
      </c>
      <c r="J51" s="60">
        <f>SUM(J40:J50)</f>
        <v>1472877964.0183964</v>
      </c>
      <c r="L51" s="60">
        <f>SUM(L40:L50)</f>
        <v>0</v>
      </c>
      <c r="N51" s="60">
        <f>SUM(N40:N50)</f>
        <v>1472877964.0183964</v>
      </c>
    </row>
    <row r="52" spans="1:14" ht="13.5" thickTop="1">
      <c r="A52" s="61"/>
      <c r="B52" s="41"/>
      <c r="C52" s="41"/>
      <c r="D52" s="41"/>
      <c r="F52" s="41"/>
      <c r="H52" s="41"/>
      <c r="J52" s="41"/>
      <c r="L52" s="41"/>
      <c r="N52" s="41"/>
    </row>
    <row r="53" spans="1:14">
      <c r="A53" s="61" t="s">
        <v>106</v>
      </c>
      <c r="B53" s="41"/>
      <c r="C53" s="41"/>
      <c r="D53" s="41"/>
      <c r="F53" s="41"/>
      <c r="H53" s="41"/>
      <c r="J53" s="41"/>
      <c r="L53" s="41"/>
      <c r="N53" s="41"/>
    </row>
    <row r="54" spans="1:14">
      <c r="A54" s="61" t="s">
        <v>107</v>
      </c>
      <c r="B54" s="41">
        <f>[2]Results!C56</f>
        <v>-503192583.84775847</v>
      </c>
      <c r="C54" s="41"/>
      <c r="D54" s="41">
        <f>'Restating Adj'!B57</f>
        <v>-7446965.4092337936</v>
      </c>
      <c r="F54" s="41">
        <f t="shared" ref="F54:F60" si="14">B54+D54</f>
        <v>-510639549.25699228</v>
      </c>
      <c r="H54" s="41">
        <f>'Pro Forma Adj'!B57</f>
        <v>123289.41095568537</v>
      </c>
      <c r="J54" s="41">
        <f t="shared" ref="J54:J60" si="15">F54+H54</f>
        <v>-510516259.84603661</v>
      </c>
      <c r="L54" s="41"/>
      <c r="N54" s="41">
        <f t="shared" ref="N54:N61" si="16">J54+L54</f>
        <v>-510516259.84603661</v>
      </c>
    </row>
    <row r="55" spans="1:14">
      <c r="A55" s="61" t="s">
        <v>108</v>
      </c>
      <c r="B55" s="41">
        <f>[2]Results!C57</f>
        <v>-34606345.321051545</v>
      </c>
      <c r="C55" s="41"/>
      <c r="D55" s="41">
        <f>'Restating Adj'!B58</f>
        <v>0</v>
      </c>
      <c r="F55" s="41">
        <f t="shared" si="14"/>
        <v>-34606345.321051545</v>
      </c>
      <c r="H55" s="41">
        <f>'Pro Forma Adj'!B58</f>
        <v>0</v>
      </c>
      <c r="J55" s="41">
        <f t="shared" si="15"/>
        <v>-34606345.321051545</v>
      </c>
      <c r="L55" s="41"/>
      <c r="N55" s="41">
        <f t="shared" si="16"/>
        <v>-34606345.321051545</v>
      </c>
    </row>
    <row r="56" spans="1:14">
      <c r="A56" s="61" t="s">
        <v>109</v>
      </c>
      <c r="B56" s="41">
        <f>[2]Results!C58</f>
        <v>-128569574.10448816</v>
      </c>
      <c r="C56" s="41"/>
      <c r="D56" s="41">
        <f>'Restating Adj'!B59</f>
        <v>-6648465.3569998443</v>
      </c>
      <c r="F56" s="41">
        <f t="shared" si="14"/>
        <v>-135218039.46148801</v>
      </c>
      <c r="H56" s="41">
        <f>'Pro Forma Adj'!B59</f>
        <v>-5544377.6454294352</v>
      </c>
      <c r="J56" s="41">
        <f t="shared" si="15"/>
        <v>-140762417.10691744</v>
      </c>
      <c r="L56" s="41"/>
      <c r="N56" s="41">
        <f t="shared" si="16"/>
        <v>-140762417.10691744</v>
      </c>
    </row>
    <row r="57" spans="1:14">
      <c r="A57" s="61" t="s">
        <v>110</v>
      </c>
      <c r="B57" s="41">
        <f>[2]Results!C59</f>
        <v>-1096753.183804</v>
      </c>
      <c r="C57" s="41"/>
      <c r="D57" s="41">
        <f>'Restating Adj'!B60</f>
        <v>144385.82344165733</v>
      </c>
      <c r="F57" s="41">
        <f t="shared" si="14"/>
        <v>-952367.36036234268</v>
      </c>
      <c r="H57" s="41">
        <f>'Pro Forma Adj'!B60</f>
        <v>0</v>
      </c>
      <c r="J57" s="41">
        <f t="shared" si="15"/>
        <v>-952367.36036234268</v>
      </c>
      <c r="L57" s="41"/>
      <c r="N57" s="41">
        <f t="shared" si="16"/>
        <v>-952367.36036234268</v>
      </c>
    </row>
    <row r="58" spans="1:14">
      <c r="A58" s="61" t="s">
        <v>111</v>
      </c>
      <c r="B58" s="41">
        <f>[2]Results!C60</f>
        <v>-334499.98611589998</v>
      </c>
      <c r="C58" s="41"/>
      <c r="D58" s="41">
        <f>'Restating Adj'!B61</f>
        <v>23142.536575635779</v>
      </c>
      <c r="F58" s="41">
        <f t="shared" si="14"/>
        <v>-311357.44954026421</v>
      </c>
      <c r="H58" s="41">
        <f>'Pro Forma Adj'!B61</f>
        <v>0</v>
      </c>
      <c r="J58" s="41">
        <f t="shared" si="15"/>
        <v>-311357.44954026421</v>
      </c>
      <c r="L58" s="41"/>
      <c r="N58" s="41">
        <f t="shared" si="16"/>
        <v>-311357.44954026421</v>
      </c>
    </row>
    <row r="59" spans="1:14">
      <c r="A59" s="61" t="s">
        <v>112</v>
      </c>
      <c r="B59" s="41">
        <f>[2]Results!C61</f>
        <v>0</v>
      </c>
      <c r="C59" s="41"/>
      <c r="D59" s="41">
        <f>'Restating Adj'!B62</f>
        <v>-2980495.6783333328</v>
      </c>
      <c r="F59" s="41">
        <f t="shared" si="14"/>
        <v>-2980495.6783333328</v>
      </c>
      <c r="H59" s="41">
        <f>'Pro Forma Adj'!B62</f>
        <v>0</v>
      </c>
      <c r="J59" s="41">
        <f t="shared" si="15"/>
        <v>-2980495.6783333328</v>
      </c>
      <c r="L59" s="41"/>
      <c r="N59" s="41">
        <f t="shared" si="16"/>
        <v>-2980495.6783333328</v>
      </c>
    </row>
    <row r="60" spans="1:14">
      <c r="A60" s="61" t="s">
        <v>113</v>
      </c>
      <c r="B60" s="41">
        <f>[2]Results!C62</f>
        <v>-4865967.0740704359</v>
      </c>
      <c r="C60" s="41"/>
      <c r="D60" s="41">
        <f>'Restating Adj'!B63</f>
        <v>-2789519.813278635</v>
      </c>
      <c r="F60" s="41">
        <f t="shared" si="14"/>
        <v>-7655486.887349071</v>
      </c>
      <c r="H60" s="41">
        <f>'Pro Forma Adj'!B63</f>
        <v>6650.0176601060666</v>
      </c>
      <c r="J60" s="41">
        <f t="shared" si="15"/>
        <v>-7648836.8696889654</v>
      </c>
      <c r="L60" s="41"/>
      <c r="N60" s="41">
        <f t="shared" si="16"/>
        <v>-7648836.8696889654</v>
      </c>
    </row>
    <row r="61" spans="1:14">
      <c r="A61" s="61"/>
      <c r="B61" s="41"/>
      <c r="C61" s="41"/>
      <c r="D61" s="41"/>
      <c r="F61" s="41"/>
      <c r="H61" s="41"/>
      <c r="J61" s="41"/>
      <c r="L61" s="41"/>
      <c r="N61" s="41">
        <f t="shared" si="16"/>
        <v>0</v>
      </c>
    </row>
    <row r="62" spans="1:14" ht="13.5" thickBot="1">
      <c r="A62" s="61" t="s">
        <v>114</v>
      </c>
      <c r="B62" s="60">
        <f>SUM(B54:B60)</f>
        <v>-672665723.51728857</v>
      </c>
      <c r="C62" s="41"/>
      <c r="D62" s="60">
        <f>SUM(D54:D60)</f>
        <v>-19697917.897828311</v>
      </c>
      <c r="F62" s="60">
        <f>SUM(F54:F60)</f>
        <v>-692363641.41511679</v>
      </c>
      <c r="H62" s="60">
        <f>SUM(H54:H60)</f>
        <v>-5414438.2168136444</v>
      </c>
      <c r="J62" s="60">
        <f>SUM(J54:J60)</f>
        <v>-697778079.63193047</v>
      </c>
      <c r="L62" s="60">
        <f>SUM(L54:L60)</f>
        <v>0</v>
      </c>
      <c r="N62" s="60">
        <f>SUM(N54:N60)</f>
        <v>-697778079.63193047</v>
      </c>
    </row>
    <row r="63" spans="1:14" ht="13.5" thickTop="1">
      <c r="A63" s="61"/>
      <c r="B63" s="41"/>
      <c r="C63" s="41"/>
      <c r="D63" s="41"/>
      <c r="F63" s="41"/>
      <c r="H63" s="41"/>
      <c r="J63" s="41"/>
      <c r="L63" s="41"/>
      <c r="N63" s="41"/>
    </row>
    <row r="64" spans="1:14" ht="13.5" thickBot="1">
      <c r="A64" s="61" t="s">
        <v>115</v>
      </c>
      <c r="B64" s="60">
        <f>B51+B62</f>
        <v>751399886.74508774</v>
      </c>
      <c r="C64" s="41"/>
      <c r="D64" s="60">
        <f>D51+D62</f>
        <v>14731145.784826815</v>
      </c>
      <c r="F64" s="60">
        <f>F51+F62</f>
        <v>766131032.52991462</v>
      </c>
      <c r="H64" s="60">
        <f>H51+H62</f>
        <v>8968851.8565512896</v>
      </c>
      <c r="J64" s="60">
        <f>J51+J62</f>
        <v>775099884.38646591</v>
      </c>
      <c r="L64" s="60">
        <f>L51+L62</f>
        <v>0</v>
      </c>
      <c r="N64" s="60">
        <f>N51+N62</f>
        <v>775099884.38646591</v>
      </c>
    </row>
    <row r="65" spans="1:14" ht="13.5" thickTop="1">
      <c r="A65" s="61"/>
      <c r="B65" s="41"/>
      <c r="C65" s="41"/>
      <c r="D65" s="41"/>
      <c r="F65" s="41"/>
      <c r="H65" s="41"/>
      <c r="J65" s="41"/>
      <c r="L65" s="41"/>
      <c r="N65" s="41"/>
    </row>
    <row r="66" spans="1:14">
      <c r="A66" s="61" t="s">
        <v>64</v>
      </c>
      <c r="B66" s="119">
        <f>B37/B64</f>
        <v>6.1528704689256267E-2</v>
      </c>
      <c r="C66" s="119"/>
      <c r="D66" s="119">
        <f>F66-B66</f>
        <v>-9.0777743977857733E-3</v>
      </c>
      <c r="F66" s="119">
        <f>F37/F64</f>
        <v>5.2450930291470493E-2</v>
      </c>
      <c r="H66" s="119">
        <f>J66-F66</f>
        <v>-7.8378939435736691E-3</v>
      </c>
      <c r="J66" s="119">
        <f>J37/J64</f>
        <v>4.4613036347896824E-2</v>
      </c>
      <c r="L66" s="119">
        <f>N66-J66</f>
        <v>3.8786901080373741E-2</v>
      </c>
      <c r="N66" s="119">
        <f>N37/N64</f>
        <v>8.3399937428270565E-2</v>
      </c>
    </row>
    <row r="67" spans="1:14">
      <c r="A67" s="61" t="s">
        <v>116</v>
      </c>
      <c r="B67" s="119">
        <f>(B66-Weighted_cost_debt-Weighted_cost_pref)/Percent_common</f>
        <v>6.3973137599340243E-2</v>
      </c>
      <c r="C67" s="119"/>
      <c r="D67" s="119">
        <f>F67-B67</f>
        <v>-1.7423751243350813E-2</v>
      </c>
      <c r="F67" s="119">
        <f>(F66-Weighted_cost_debt-Weighted_cost_pref)/Percent_common</f>
        <v>4.6549386355989431E-2</v>
      </c>
      <c r="H67" s="119">
        <f>J67-F67</f>
        <v>-1.504394231012221E-2</v>
      </c>
      <c r="J67" s="119">
        <f>(J66-Weighted_cost_debt-Weighted_cost_pref)/Percent_common</f>
        <v>3.150544404586722E-2</v>
      </c>
      <c r="L67" s="119">
        <f>N67-J67</f>
        <v>7.4447027025669368E-2</v>
      </c>
      <c r="N67" s="119">
        <f>(N66-Weighted_cost_debt-Weighted_cost_pref)/Percent_common</f>
        <v>0.10595247107153659</v>
      </c>
    </row>
    <row r="68" spans="1:14">
      <c r="A68" s="61" t="s">
        <v>62</v>
      </c>
      <c r="B68" s="41">
        <f>-(B37-(B64*Overall_ROR))/gross_up_factor</f>
        <v>26511726.17193846</v>
      </c>
      <c r="C68" s="41"/>
      <c r="D68" s="41">
        <f>-(D37-(D64*Overall_ROR))/gross_up_factor</f>
        <v>11739294.560519349</v>
      </c>
      <c r="F68" s="41">
        <f>-(F37-(F64*Overall_ROR))/gross_up_factor</f>
        <v>38251020.732457921</v>
      </c>
      <c r="H68" s="41">
        <f>-(H37-(H64*Overall_ROR))/gross_up_factor</f>
        <v>10248319.530895004</v>
      </c>
      <c r="J68" s="41">
        <f>-(J37-(J64*Overall_ROR))/gross_up_factor</f>
        <v>48499340.263352945</v>
      </c>
      <c r="L68" s="41"/>
      <c r="N68" s="41"/>
    </row>
    <row r="69" spans="1:14">
      <c r="A69" s="61"/>
      <c r="B69" s="105"/>
      <c r="C69" s="105"/>
      <c r="D69" s="105"/>
      <c r="F69" s="105"/>
      <c r="H69" s="105"/>
      <c r="J69" s="105"/>
      <c r="L69" s="105"/>
      <c r="N69" s="105"/>
    </row>
    <row r="70" spans="1:14">
      <c r="A70" s="61" t="s">
        <v>117</v>
      </c>
      <c r="B70" s="41"/>
      <c r="C70" s="41"/>
      <c r="D70" s="41"/>
      <c r="F70" s="41"/>
      <c r="H70" s="41"/>
      <c r="J70" s="41"/>
      <c r="L70" s="41"/>
      <c r="N70" s="41"/>
    </row>
    <row r="71" spans="1:14">
      <c r="A71" s="61" t="s">
        <v>118</v>
      </c>
      <c r="B71" s="41">
        <f t="shared" ref="B71:N71" si="17">B13-B26-B27-B28-B29-B34</f>
        <v>54626279.547771238</v>
      </c>
      <c r="C71" s="41"/>
      <c r="D71" s="41">
        <f t="shared" si="17"/>
        <v>-1596014.959937145</v>
      </c>
      <c r="F71" s="41">
        <f t="shared" si="17"/>
        <v>53030264.58783409</v>
      </c>
      <c r="H71" s="41">
        <f t="shared" si="17"/>
        <v>-17482922.000049368</v>
      </c>
      <c r="J71" s="41">
        <f t="shared" si="17"/>
        <v>35547342.587784663</v>
      </c>
      <c r="L71" s="41">
        <f t="shared" si="17"/>
        <v>46251880.835549168</v>
      </c>
      <c r="N71" s="41">
        <f t="shared" si="17"/>
        <v>81799223.423333839</v>
      </c>
    </row>
    <row r="72" spans="1:14">
      <c r="A72" s="61" t="s">
        <v>119</v>
      </c>
      <c r="B72" s="41">
        <f>[2]Results!$C73</f>
        <v>0</v>
      </c>
      <c r="C72" s="41"/>
      <c r="D72" s="41"/>
      <c r="F72" s="41">
        <f t="shared" ref="F72:F76" si="18">B72+D72</f>
        <v>0</v>
      </c>
      <c r="H72" s="41"/>
      <c r="J72" s="41"/>
      <c r="L72" s="41"/>
      <c r="N72" s="41"/>
    </row>
    <row r="73" spans="1:14">
      <c r="A73" s="61" t="s">
        <v>120</v>
      </c>
      <c r="B73" s="41">
        <f>[2]Results!$C74</f>
        <v>-4599793.2770370385</v>
      </c>
      <c r="C73" s="41"/>
      <c r="D73" s="41">
        <f>'Restating Adj'!B76</f>
        <v>217013.20626896209</v>
      </c>
      <c r="F73" s="41">
        <f t="shared" si="18"/>
        <v>-4382780.070768076</v>
      </c>
      <c r="H73" s="41">
        <f>'Pro Forma Adj'!B76</f>
        <v>0</v>
      </c>
      <c r="J73" s="41">
        <f t="shared" ref="J73:J76" si="19">F73+H73</f>
        <v>-4382780.070768076</v>
      </c>
      <c r="L73" s="41"/>
      <c r="N73" s="41">
        <f t="shared" ref="N73:N76" si="20">J73+L73</f>
        <v>-4382780.070768076</v>
      </c>
    </row>
    <row r="74" spans="1:14">
      <c r="A74" s="61" t="s">
        <v>121</v>
      </c>
      <c r="B74" s="41">
        <f>[2]Results!$C75</f>
        <v>25236151.190422058</v>
      </c>
      <c r="C74" s="41"/>
      <c r="D74" s="41">
        <f>'Restating Adj'!B77</f>
        <v>-3756595.1100003608</v>
      </c>
      <c r="F74" s="41">
        <f t="shared" si="18"/>
        <v>21479556.080421697</v>
      </c>
      <c r="H74" s="41">
        <f>'Pro Forma Adj'!B77</f>
        <v>251454.31819101423</v>
      </c>
      <c r="J74" s="41">
        <f t="shared" si="19"/>
        <v>21731010.398612712</v>
      </c>
      <c r="L74" s="41"/>
      <c r="N74" s="41">
        <f t="shared" si="20"/>
        <v>21731010.398612712</v>
      </c>
    </row>
    <row r="75" spans="1:14">
      <c r="A75" s="61" t="s">
        <v>122</v>
      </c>
      <c r="B75" s="41">
        <f>[2]Results!$C76</f>
        <v>64493174.138834439</v>
      </c>
      <c r="C75" s="41"/>
      <c r="D75" s="41">
        <f>'Restating Adj'!B78</f>
        <v>-2566569.5074167242</v>
      </c>
      <c r="E75" s="88"/>
      <c r="F75" s="41">
        <f t="shared" si="18"/>
        <v>61926604.631417714</v>
      </c>
      <c r="G75" s="88"/>
      <c r="H75" s="41">
        <f>'Pro Forma Adj'!B78</f>
        <v>2050306.5331223093</v>
      </c>
      <c r="J75" s="41">
        <f t="shared" si="19"/>
        <v>63976911.164540023</v>
      </c>
      <c r="L75" s="41"/>
      <c r="N75" s="41">
        <f t="shared" si="20"/>
        <v>63976911.164540023</v>
      </c>
    </row>
    <row r="76" spans="1:14">
      <c r="A76" s="61" t="s">
        <v>123</v>
      </c>
      <c r="B76" s="36">
        <f>[2]Results!$C77</f>
        <v>138386468.17417011</v>
      </c>
      <c r="C76" s="41"/>
      <c r="D76" s="36">
        <f>'Restating Adj'!B79</f>
        <v>-1178110.4330472155</v>
      </c>
      <c r="E76" s="88"/>
      <c r="F76" s="36">
        <f t="shared" si="18"/>
        <v>137208357.7411229</v>
      </c>
      <c r="G76" s="88"/>
      <c r="H76" s="36">
        <f>'Pro Forma Adj'!B79</f>
        <v>951489.85858771845</v>
      </c>
      <c r="J76" s="36">
        <f t="shared" si="19"/>
        <v>138159847.59971061</v>
      </c>
      <c r="L76" s="36"/>
      <c r="N76" s="36">
        <f t="shared" si="20"/>
        <v>138159847.59971061</v>
      </c>
    </row>
    <row r="77" spans="1:14">
      <c r="A77" s="61" t="s">
        <v>124</v>
      </c>
      <c r="B77" s="41">
        <f t="shared" ref="B77:N77" si="21">B71-B73-B74+B75-B76</f>
        <v>-39903372.400949448</v>
      </c>
      <c r="C77" s="41"/>
      <c r="D77" s="41">
        <f t="shared" si="21"/>
        <v>555107.86942474497</v>
      </c>
      <c r="E77" s="88"/>
      <c r="F77" s="41">
        <f t="shared" si="21"/>
        <v>-39348264.531524718</v>
      </c>
      <c r="G77" s="88"/>
      <c r="H77" s="41">
        <f t="shared" si="21"/>
        <v>-16635559.643705791</v>
      </c>
      <c r="J77" s="41">
        <f t="shared" si="21"/>
        <v>-55983824.175230563</v>
      </c>
      <c r="L77" s="41">
        <f t="shared" si="21"/>
        <v>46251880.835549168</v>
      </c>
      <c r="N77" s="41">
        <f t="shared" si="21"/>
        <v>-9731943.3396813869</v>
      </c>
    </row>
    <row r="78" spans="1:14">
      <c r="A78" s="61"/>
      <c r="B78" s="41"/>
      <c r="C78" s="41"/>
      <c r="D78" s="41"/>
      <c r="E78" s="88"/>
      <c r="F78" s="41"/>
      <c r="G78" s="88"/>
      <c r="H78" s="41"/>
      <c r="J78" s="41"/>
      <c r="L78" s="41"/>
      <c r="N78" s="41"/>
    </row>
    <row r="79" spans="1:14">
      <c r="A79" s="61" t="s">
        <v>125</v>
      </c>
      <c r="B79" s="41">
        <v>0</v>
      </c>
      <c r="C79" s="41"/>
      <c r="D79" s="41">
        <v>0</v>
      </c>
      <c r="E79" s="88"/>
      <c r="F79" s="41">
        <v>0</v>
      </c>
      <c r="G79" s="88"/>
      <c r="H79" s="41">
        <v>0</v>
      </c>
      <c r="J79" s="41">
        <v>0</v>
      </c>
      <c r="L79" s="41">
        <v>0</v>
      </c>
      <c r="N79" s="41">
        <v>0</v>
      </c>
    </row>
    <row r="80" spans="1:14">
      <c r="A80" s="61" t="s">
        <v>126</v>
      </c>
      <c r="B80" s="41">
        <f>B77-B79</f>
        <v>-39903372.400949448</v>
      </c>
      <c r="C80" s="41"/>
      <c r="D80" s="41">
        <f>D77-D79</f>
        <v>555107.86942474497</v>
      </c>
      <c r="E80" s="88"/>
      <c r="F80" s="41">
        <f>F77-F79</f>
        <v>-39348264.531524718</v>
      </c>
      <c r="G80" s="88"/>
      <c r="H80" s="41">
        <f>H77-H79</f>
        <v>-16635559.643705791</v>
      </c>
      <c r="J80" s="41">
        <f>J77-J79</f>
        <v>-55983824.175230563</v>
      </c>
      <c r="L80" s="41">
        <f>L77-L79</f>
        <v>46251880.835549168</v>
      </c>
      <c r="N80" s="41">
        <f>N77-N79</f>
        <v>-9731943.3396813869</v>
      </c>
    </row>
    <row r="81" spans="1:14">
      <c r="A81" s="61"/>
      <c r="B81" s="41"/>
      <c r="C81" s="41"/>
      <c r="D81" s="41"/>
      <c r="E81" s="88"/>
      <c r="F81" s="41"/>
      <c r="G81" s="88"/>
      <c r="H81" s="41"/>
      <c r="J81" s="41"/>
      <c r="L81" s="41"/>
      <c r="N81" s="41"/>
    </row>
    <row r="82" spans="1:14">
      <c r="A82" s="61" t="s">
        <v>198</v>
      </c>
      <c r="B82" s="41">
        <f>B80*0.35</f>
        <v>-13966180.340332307</v>
      </c>
      <c r="C82" s="41"/>
      <c r="D82" s="41">
        <f>D80*0.35</f>
        <v>194287.75429866073</v>
      </c>
      <c r="E82" s="88"/>
      <c r="F82" s="41">
        <f>F80*0.35</f>
        <v>-13771892.58603365</v>
      </c>
      <c r="G82" s="88"/>
      <c r="H82" s="41">
        <f>H80*0.35</f>
        <v>-5822445.8752970267</v>
      </c>
      <c r="J82" s="41">
        <f>J80*0.35</f>
        <v>-19594338.461330697</v>
      </c>
      <c r="L82" s="41">
        <f>L80*0.35</f>
        <v>16188158.292442208</v>
      </c>
      <c r="N82" s="41">
        <f>N80*0.35</f>
        <v>-3406180.1688884851</v>
      </c>
    </row>
    <row r="83" spans="1:14">
      <c r="A83" s="61" t="s">
        <v>199</v>
      </c>
      <c r="B83" s="41">
        <v>0</v>
      </c>
      <c r="C83" s="41"/>
      <c r="D83" s="41">
        <f>'Restating Adj'!B86</f>
        <v>0</v>
      </c>
      <c r="E83" s="88"/>
      <c r="F83" s="41">
        <f t="shared" ref="F83" si="22">B83+D83</f>
        <v>0</v>
      </c>
      <c r="G83" s="88"/>
      <c r="H83" s="41">
        <f>'Pro Forma Adj'!B86</f>
        <v>-5638736.2665997902</v>
      </c>
      <c r="J83" s="41">
        <f t="shared" ref="J83" si="23">F83+H83</f>
        <v>-5638736.2665997902</v>
      </c>
      <c r="L83" s="41"/>
      <c r="N83" s="41">
        <f t="shared" ref="N83" si="24">J83+L83</f>
        <v>-5638736.2665997902</v>
      </c>
    </row>
    <row r="84" spans="1:14">
      <c r="A84" s="61" t="s">
        <v>200</v>
      </c>
      <c r="B84" s="41">
        <f>B82+B83</f>
        <v>-13966180.340332307</v>
      </c>
      <c r="C84" s="41"/>
      <c r="D84" s="41">
        <f>D82+D83</f>
        <v>194287.75429866073</v>
      </c>
      <c r="E84" s="88"/>
      <c r="F84" s="41">
        <f>F82+F83</f>
        <v>-13771892.58603365</v>
      </c>
      <c r="G84" s="88"/>
      <c r="H84" s="41">
        <f>H82+H83</f>
        <v>-11461182.141896818</v>
      </c>
      <c r="J84" s="41">
        <f>J82+J83</f>
        <v>-25233074.727930486</v>
      </c>
      <c r="L84" s="41">
        <f>L82+L83</f>
        <v>16188158.292442208</v>
      </c>
      <c r="N84" s="41">
        <f>N82+N83</f>
        <v>-9044916.4354882762</v>
      </c>
    </row>
    <row r="85" spans="1:14">
      <c r="A85" s="61"/>
      <c r="B85" s="41"/>
      <c r="C85" s="41"/>
      <c r="D85" s="41"/>
      <c r="F85" s="41"/>
      <c r="H85" s="41"/>
      <c r="J85" s="41"/>
      <c r="L85" s="41"/>
      <c r="N85" s="41"/>
    </row>
    <row r="86" spans="1:14">
      <c r="A86" s="61"/>
      <c r="B86" s="41"/>
      <c r="C86" s="41"/>
      <c r="D86" s="41"/>
      <c r="E86" s="88"/>
      <c r="F86" s="41"/>
      <c r="G86" s="88"/>
      <c r="H86" s="41"/>
      <c r="J86" s="41"/>
      <c r="L86" s="41"/>
      <c r="N86" s="41"/>
    </row>
    <row r="87" spans="1:14">
      <c r="A87" s="61"/>
      <c r="B87" s="41"/>
      <c r="C87" s="41"/>
      <c r="D87" s="41"/>
      <c r="E87" s="88"/>
      <c r="F87" s="41"/>
      <c r="G87" s="88"/>
      <c r="H87" s="41"/>
      <c r="J87" s="41"/>
      <c r="L87" s="41"/>
      <c r="N87" s="41"/>
    </row>
    <row r="88" spans="1:14">
      <c r="A88" s="61"/>
      <c r="B88" s="41"/>
      <c r="C88" s="41"/>
      <c r="D88" s="41"/>
      <c r="E88" s="88"/>
      <c r="F88" s="41"/>
      <c r="G88" s="88"/>
      <c r="H88" s="41"/>
      <c r="J88" s="41"/>
      <c r="L88" s="41"/>
      <c r="N88" s="41"/>
    </row>
    <row r="89" spans="1:14">
      <c r="A89" s="61"/>
      <c r="B89" s="41"/>
      <c r="C89" s="41"/>
      <c r="D89" s="41"/>
      <c r="E89" s="88"/>
      <c r="F89" s="41"/>
      <c r="G89" s="88"/>
      <c r="H89" s="41"/>
      <c r="J89" s="41"/>
      <c r="L89" s="41"/>
      <c r="N89" s="41"/>
    </row>
    <row r="90" spans="1:14">
      <c r="A90" s="113"/>
      <c r="B90" s="41"/>
      <c r="C90" s="41"/>
      <c r="D90" s="41"/>
      <c r="E90" s="88"/>
      <c r="F90" s="41"/>
      <c r="G90" s="88"/>
      <c r="H90" s="41"/>
      <c r="J90" s="41"/>
      <c r="L90" s="41"/>
      <c r="N90" s="41"/>
    </row>
    <row r="91" spans="1:14">
      <c r="A91" s="88"/>
      <c r="B91" s="24"/>
      <c r="C91" s="24"/>
      <c r="D91" s="24"/>
      <c r="F91" s="24"/>
      <c r="H91" s="24"/>
      <c r="J91" s="24"/>
      <c r="L91" s="24"/>
      <c r="N91" s="24"/>
    </row>
    <row r="92" spans="1:14">
      <c r="A92" s="88"/>
    </row>
    <row r="93" spans="1:14">
      <c r="A93" s="88"/>
    </row>
    <row r="94" spans="1:14">
      <c r="A94" s="88"/>
    </row>
    <row r="95" spans="1:14">
      <c r="A95" s="88"/>
    </row>
    <row r="96" spans="1:14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</sheetData>
  <phoneticPr fontId="3" type="noConversion"/>
  <pageMargins left="0.5" right="0.5" top="0.5" bottom="0.5" header="0.5" footer="0.5"/>
  <pageSetup scale="6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1"/>
  <sheetViews>
    <sheetView workbookViewId="0">
      <selection activeCell="D3" sqref="D3"/>
    </sheetView>
  </sheetViews>
  <sheetFormatPr defaultRowHeight="15"/>
  <cols>
    <col min="1" max="1" width="5.140625" style="272" customWidth="1"/>
    <col min="2" max="2" width="22.85546875" style="272" customWidth="1"/>
    <col min="3" max="11" width="12" style="272" customWidth="1"/>
    <col min="12" max="16384" width="9.140625" style="272"/>
  </cols>
  <sheetData>
    <row r="1" spans="1:11">
      <c r="B1" s="273" t="s">
        <v>324</v>
      </c>
      <c r="C1" s="273"/>
      <c r="D1" s="273"/>
      <c r="E1" s="273"/>
      <c r="F1" s="273"/>
      <c r="G1" s="273"/>
      <c r="H1" s="273"/>
      <c r="I1" s="274"/>
      <c r="K1" s="275" t="s">
        <v>325</v>
      </c>
    </row>
    <row r="3" spans="1:11" ht="34.5">
      <c r="C3" s="276" t="s">
        <v>312</v>
      </c>
      <c r="D3" s="276" t="s">
        <v>326</v>
      </c>
      <c r="E3" s="276" t="s">
        <v>327</v>
      </c>
      <c r="F3" s="276" t="s">
        <v>328</v>
      </c>
      <c r="G3" s="276" t="s">
        <v>329</v>
      </c>
      <c r="H3" s="276" t="s">
        <v>330</v>
      </c>
      <c r="I3" s="276" t="s">
        <v>331</v>
      </c>
      <c r="J3" s="277" t="s">
        <v>332</v>
      </c>
      <c r="K3" s="276" t="s">
        <v>313</v>
      </c>
    </row>
    <row r="5" spans="1:11">
      <c r="A5" s="278">
        <v>1</v>
      </c>
      <c r="B5" s="278" t="s">
        <v>65</v>
      </c>
    </row>
    <row r="6" spans="1:11">
      <c r="A6" s="278">
        <v>2</v>
      </c>
      <c r="B6" s="278" t="s">
        <v>66</v>
      </c>
      <c r="C6" s="279">
        <f>SUM(D6:K6)</f>
        <v>-6737565.5899999887</v>
      </c>
      <c r="D6" s="279">
        <f>SUM('Restating Adj'!C12:G12)</f>
        <v>-6737565.5899999887</v>
      </c>
      <c r="E6" s="279">
        <f>SUM('Restating Adj'!H12:L12)</f>
        <v>0</v>
      </c>
      <c r="F6" s="279">
        <f>SUM('Restating Adj'!M12:P12)</f>
        <v>0</v>
      </c>
      <c r="G6" s="279">
        <f>SUM('Restating Adj'!Q12)</f>
        <v>0</v>
      </c>
      <c r="H6" s="279">
        <f>SUM('Restating Adj'!R12:Z12)</f>
        <v>0</v>
      </c>
      <c r="I6" s="279">
        <f>SUM('Restating Adj'!AA12:AI12)</f>
        <v>0</v>
      </c>
      <c r="J6" s="279">
        <f>C781</f>
        <v>0</v>
      </c>
      <c r="K6" s="279">
        <f>SUM('Restating Adj'!AJ12:AP12)</f>
        <v>0</v>
      </c>
    </row>
    <row r="7" spans="1:11">
      <c r="A7" s="278">
        <v>3</v>
      </c>
      <c r="B7" s="278" t="s">
        <v>67</v>
      </c>
      <c r="C7" s="279">
        <f>SUM(D7:K7)</f>
        <v>0</v>
      </c>
      <c r="D7" s="279">
        <f>SUM('Restating Adj'!C13:G13)</f>
        <v>0</v>
      </c>
      <c r="E7" s="279">
        <f>SUM('Restating Adj'!H13:L13)</f>
        <v>0</v>
      </c>
      <c r="F7" s="279">
        <f>SUM('Restating Adj'!M13:P13)</f>
        <v>0</v>
      </c>
      <c r="G7" s="279">
        <f>SUM('Restating Adj'!Q13)</f>
        <v>0</v>
      </c>
      <c r="H7" s="279">
        <f>SUM('Restating Adj'!R13:Z13)</f>
        <v>0</v>
      </c>
      <c r="I7" s="279">
        <f>SUM('Restating Adj'!AA13:AI13)</f>
        <v>0</v>
      </c>
      <c r="J7" s="279">
        <f>C782</f>
        <v>0</v>
      </c>
      <c r="K7" s="279">
        <f>SUM('Restating Adj'!AJ13:AP13)</f>
        <v>0</v>
      </c>
    </row>
    <row r="8" spans="1:11">
      <c r="A8" s="278">
        <v>4</v>
      </c>
      <c r="B8" s="278" t="s">
        <v>68</v>
      </c>
      <c r="C8" s="279">
        <f>SUM(D8:K8)</f>
        <v>3803644.2032988709</v>
      </c>
      <c r="D8" s="279">
        <f>SUM('Restating Adj'!C14:G14)</f>
        <v>0</v>
      </c>
      <c r="E8" s="279">
        <f>SUM('Restating Adj'!H14:L14)</f>
        <v>0</v>
      </c>
      <c r="F8" s="279">
        <f>SUM('Restating Adj'!M14:P14)</f>
        <v>3803644.2032988709</v>
      </c>
      <c r="G8" s="279">
        <f>SUM('Restating Adj'!Q14)</f>
        <v>0</v>
      </c>
      <c r="H8" s="279">
        <f>SUM('Restating Adj'!R14:Z14)</f>
        <v>0</v>
      </c>
      <c r="I8" s="279">
        <f>SUM('Restating Adj'!AA14:AI14)</f>
        <v>0</v>
      </c>
      <c r="J8" s="279">
        <f>C783</f>
        <v>0</v>
      </c>
      <c r="K8" s="279">
        <f>SUM('Restating Adj'!AJ14:AP14)</f>
        <v>0</v>
      </c>
    </row>
    <row r="9" spans="1:11">
      <c r="A9" s="278">
        <v>5</v>
      </c>
      <c r="B9" s="278" t="s">
        <v>69</v>
      </c>
      <c r="C9" s="279">
        <f>SUM(D9:K9)</f>
        <v>-4108989.02950744</v>
      </c>
      <c r="D9" s="279">
        <f>SUM('Restating Adj'!C15:G15)</f>
        <v>102649.47138948992</v>
      </c>
      <c r="E9" s="279">
        <f>SUM('Restating Adj'!H15:L15)</f>
        <v>0</v>
      </c>
      <c r="F9" s="279">
        <f>SUM('Restating Adj'!M15:P15)</f>
        <v>0</v>
      </c>
      <c r="G9" s="279">
        <f>SUM('Restating Adj'!Q15)</f>
        <v>0</v>
      </c>
      <c r="H9" s="279">
        <f>SUM('Restating Adj'!R15:Z15)</f>
        <v>0</v>
      </c>
      <c r="I9" s="279">
        <f>SUM('Restating Adj'!AA15:AI15)</f>
        <v>0</v>
      </c>
      <c r="J9" s="279">
        <f>C784</f>
        <v>0</v>
      </c>
      <c r="K9" s="279">
        <f>SUM('Restating Adj'!AJ15:AP15)</f>
        <v>-4211638.5008969298</v>
      </c>
    </row>
    <row r="10" spans="1:11">
      <c r="A10" s="278">
        <v>6</v>
      </c>
      <c r="B10" s="278" t="s">
        <v>70</v>
      </c>
      <c r="C10" s="280">
        <f>SUM(C6:C9)</f>
        <v>-7042910.4162085578</v>
      </c>
      <c r="D10" s="280">
        <f t="shared" ref="D10:K10" si="0">SUM(D6:D9)</f>
        <v>-6634916.1186104985</v>
      </c>
      <c r="E10" s="280">
        <f t="shared" si="0"/>
        <v>0</v>
      </c>
      <c r="F10" s="280">
        <f t="shared" si="0"/>
        <v>3803644.2032988709</v>
      </c>
      <c r="G10" s="280">
        <f t="shared" si="0"/>
        <v>0</v>
      </c>
      <c r="H10" s="280">
        <f t="shared" si="0"/>
        <v>0</v>
      </c>
      <c r="I10" s="280">
        <f t="shared" si="0"/>
        <v>0</v>
      </c>
      <c r="J10" s="280">
        <f t="shared" si="0"/>
        <v>0</v>
      </c>
      <c r="K10" s="280">
        <f t="shared" si="0"/>
        <v>-4211638.5008969298</v>
      </c>
    </row>
    <row r="11" spans="1:11">
      <c r="A11" s="278">
        <v>7</v>
      </c>
      <c r="B11" s="278"/>
    </row>
    <row r="12" spans="1:11">
      <c r="A12" s="278">
        <v>8</v>
      </c>
      <c r="B12" s="278" t="s">
        <v>71</v>
      </c>
    </row>
    <row r="13" spans="1:11">
      <c r="A13" s="278">
        <v>9</v>
      </c>
      <c r="B13" s="278" t="s">
        <v>72</v>
      </c>
      <c r="C13" s="279">
        <f t="shared" ref="C13:C22" si="1">SUM(D13:K13)</f>
        <v>-1302039.490000973</v>
      </c>
      <c r="D13" s="279">
        <f>SUM('Restating Adj'!C19:G19)</f>
        <v>0</v>
      </c>
      <c r="E13" s="279">
        <f>SUM('Restating Adj'!H19:L19)</f>
        <v>4476.8202040964206</v>
      </c>
      <c r="F13" s="279">
        <f>SUM('Restating Adj'!M19:P19)</f>
        <v>-1306516.3102050694</v>
      </c>
      <c r="G13" s="279">
        <f>SUM('Restating Adj'!Q19)</f>
        <v>0</v>
      </c>
      <c r="H13" s="279">
        <f>SUM('Restating Adj'!R19:Z19)</f>
        <v>0</v>
      </c>
      <c r="I13" s="279">
        <f>SUM('Restating Adj'!AA19:AI19)</f>
        <v>0</v>
      </c>
      <c r="J13" s="279">
        <f t="shared" ref="J13:J22" si="2">C788</f>
        <v>0</v>
      </c>
      <c r="K13" s="279">
        <f>SUM('Restating Adj'!AJ19:AP19)</f>
        <v>0</v>
      </c>
    </row>
    <row r="14" spans="1:11">
      <c r="A14" s="278">
        <v>10</v>
      </c>
      <c r="B14" s="278" t="s">
        <v>73</v>
      </c>
      <c r="C14" s="279">
        <f t="shared" si="1"/>
        <v>0</v>
      </c>
      <c r="D14" s="279">
        <f>SUM('Restating Adj'!C20:G20)</f>
        <v>0</v>
      </c>
      <c r="E14" s="279">
        <f>SUM('Restating Adj'!H20:L20)</f>
        <v>0</v>
      </c>
      <c r="F14" s="279">
        <f>SUM('Restating Adj'!M20:P20)</f>
        <v>0</v>
      </c>
      <c r="G14" s="279">
        <f>SUM('Restating Adj'!Q20)</f>
        <v>0</v>
      </c>
      <c r="H14" s="279">
        <f>SUM('Restating Adj'!R20:Z20)</f>
        <v>0</v>
      </c>
      <c r="I14" s="279">
        <f>SUM('Restating Adj'!AA20:AI20)</f>
        <v>0</v>
      </c>
      <c r="J14" s="279">
        <f t="shared" si="2"/>
        <v>0</v>
      </c>
      <c r="K14" s="279">
        <f>SUM('Restating Adj'!AJ20:AP20)</f>
        <v>0</v>
      </c>
    </row>
    <row r="15" spans="1:11">
      <c r="A15" s="278">
        <v>11</v>
      </c>
      <c r="B15" s="278" t="s">
        <v>74</v>
      </c>
      <c r="C15" s="279">
        <f t="shared" si="1"/>
        <v>1964.8349516471831</v>
      </c>
      <c r="D15" s="279">
        <f>SUM('Restating Adj'!C21:G21)</f>
        <v>0</v>
      </c>
      <c r="E15" s="279">
        <f>SUM('Restating Adj'!H21:L21)</f>
        <v>1964.8349516471831</v>
      </c>
      <c r="F15" s="279">
        <f>SUM('Restating Adj'!M21:P21)</f>
        <v>0</v>
      </c>
      <c r="G15" s="279">
        <f>SUM('Restating Adj'!Q21)</f>
        <v>0</v>
      </c>
      <c r="H15" s="279">
        <f>SUM('Restating Adj'!R21:Z21)</f>
        <v>0</v>
      </c>
      <c r="I15" s="279">
        <f>SUM('Restating Adj'!AA21:AI21)</f>
        <v>0</v>
      </c>
      <c r="J15" s="279">
        <f t="shared" si="2"/>
        <v>0</v>
      </c>
      <c r="K15" s="279">
        <f>SUM('Restating Adj'!AJ21:AP21)</f>
        <v>0</v>
      </c>
    </row>
    <row r="16" spans="1:11">
      <c r="A16" s="278">
        <v>12</v>
      </c>
      <c r="B16" s="278" t="s">
        <v>75</v>
      </c>
      <c r="C16" s="279">
        <f t="shared" si="1"/>
        <v>2206561.8332285578</v>
      </c>
      <c r="D16" s="279">
        <f>SUM('Restating Adj'!C22:G22)</f>
        <v>0</v>
      </c>
      <c r="E16" s="279">
        <f>SUM('Restating Adj'!H22:L22)</f>
        <v>-80921.077909857544</v>
      </c>
      <c r="F16" s="279">
        <f>SUM('Restating Adj'!M22:P22)</f>
        <v>2287482.9111384153</v>
      </c>
      <c r="G16" s="279">
        <f>SUM('Restating Adj'!Q22)</f>
        <v>0</v>
      </c>
      <c r="H16" s="279">
        <f>SUM('Restating Adj'!R22:Z22)</f>
        <v>0</v>
      </c>
      <c r="I16" s="279">
        <f>SUM('Restating Adj'!AA22:AI22)</f>
        <v>0</v>
      </c>
      <c r="J16" s="279">
        <f t="shared" si="2"/>
        <v>0</v>
      </c>
      <c r="K16" s="279">
        <f>SUM('Restating Adj'!AJ22:AP22)</f>
        <v>0</v>
      </c>
    </row>
    <row r="17" spans="1:11">
      <c r="A17" s="278">
        <v>13</v>
      </c>
      <c r="B17" s="278" t="s">
        <v>76</v>
      </c>
      <c r="C17" s="279">
        <f t="shared" si="1"/>
        <v>-119205.98724489645</v>
      </c>
      <c r="D17" s="279">
        <f>SUM('Restating Adj'!C23:G23)</f>
        <v>-7394.9629479036066</v>
      </c>
      <c r="E17" s="279">
        <f>SUM('Restating Adj'!H23:L23)</f>
        <v>-111811.02429699284</v>
      </c>
      <c r="F17" s="279">
        <f>SUM('Restating Adj'!M23:P23)</f>
        <v>0</v>
      </c>
      <c r="G17" s="279">
        <f>SUM('Restating Adj'!Q23)</f>
        <v>0</v>
      </c>
      <c r="H17" s="279">
        <f>SUM('Restating Adj'!R23:Z23)</f>
        <v>0</v>
      </c>
      <c r="I17" s="279">
        <f>SUM('Restating Adj'!AA23:AI23)</f>
        <v>0</v>
      </c>
      <c r="J17" s="279">
        <f t="shared" si="2"/>
        <v>0</v>
      </c>
      <c r="K17" s="279">
        <f>SUM('Restating Adj'!AJ23:AP23)</f>
        <v>0</v>
      </c>
    </row>
    <row r="18" spans="1:11">
      <c r="A18" s="278">
        <v>14</v>
      </c>
      <c r="B18" s="278" t="s">
        <v>77</v>
      </c>
      <c r="C18" s="279">
        <f t="shared" si="1"/>
        <v>6969.4824389372116</v>
      </c>
      <c r="D18" s="279">
        <f>SUM('Restating Adj'!C24:G24)</f>
        <v>0</v>
      </c>
      <c r="E18" s="279">
        <f>SUM('Restating Adj'!H24:L24)</f>
        <v>6969.4824389372116</v>
      </c>
      <c r="F18" s="279">
        <f>SUM('Restating Adj'!M24:P24)</f>
        <v>0</v>
      </c>
      <c r="G18" s="279">
        <f>SUM('Restating Adj'!Q24)</f>
        <v>0</v>
      </c>
      <c r="H18" s="279">
        <f>SUM('Restating Adj'!R24:Z24)</f>
        <v>0</v>
      </c>
      <c r="I18" s="279">
        <f>SUM('Restating Adj'!AA24:AI24)</f>
        <v>0</v>
      </c>
      <c r="J18" s="279">
        <f t="shared" si="2"/>
        <v>0</v>
      </c>
      <c r="K18" s="279">
        <f>SUM('Restating Adj'!AJ24:AP24)</f>
        <v>0</v>
      </c>
    </row>
    <row r="19" spans="1:11">
      <c r="A19" s="278">
        <v>15</v>
      </c>
      <c r="B19" s="278" t="s">
        <v>78</v>
      </c>
      <c r="C19" s="279">
        <f t="shared" si="1"/>
        <v>4466.1128616715359</v>
      </c>
      <c r="D19" s="279">
        <f>SUM('Restating Adj'!C25:G25)</f>
        <v>0</v>
      </c>
      <c r="E19" s="279">
        <f>SUM('Restating Adj'!H25:L25)</f>
        <v>4466.1128616715359</v>
      </c>
      <c r="F19" s="279">
        <f>SUM('Restating Adj'!M25:P25)</f>
        <v>0</v>
      </c>
      <c r="G19" s="279">
        <f>SUM('Restating Adj'!Q25)</f>
        <v>0</v>
      </c>
      <c r="H19" s="279">
        <f>SUM('Restating Adj'!R25:Z25)</f>
        <v>0</v>
      </c>
      <c r="I19" s="279">
        <f>SUM('Restating Adj'!AA25:AI25)</f>
        <v>0</v>
      </c>
      <c r="J19" s="279">
        <f t="shared" si="2"/>
        <v>0</v>
      </c>
      <c r="K19" s="279">
        <f>SUM('Restating Adj'!AJ25:AP25)</f>
        <v>0</v>
      </c>
    </row>
    <row r="20" spans="1:11">
      <c r="A20" s="278">
        <v>16</v>
      </c>
      <c r="B20" s="278" t="s">
        <v>79</v>
      </c>
      <c r="C20" s="279">
        <f t="shared" si="1"/>
        <v>-4860648.457373553</v>
      </c>
      <c r="D20" s="279">
        <f>SUM('Restating Adj'!C26:G26)</f>
        <v>0</v>
      </c>
      <c r="E20" s="279">
        <f>SUM('Restating Adj'!H26:L26)</f>
        <v>-4858857.1696259631</v>
      </c>
      <c r="F20" s="279">
        <f>SUM('Restating Adj'!M26:P26)</f>
        <v>0</v>
      </c>
      <c r="G20" s="279">
        <f>SUM('Restating Adj'!Q26)</f>
        <v>0</v>
      </c>
      <c r="H20" s="279">
        <f>SUM('Restating Adj'!R26:Z26)</f>
        <v>0</v>
      </c>
      <c r="I20" s="279">
        <f>SUM('Restating Adj'!AA26:AI26)</f>
        <v>0</v>
      </c>
      <c r="J20" s="279">
        <f t="shared" si="2"/>
        <v>0</v>
      </c>
      <c r="K20" s="279">
        <f>SUM('Restating Adj'!AJ26:AP26)</f>
        <v>-1791.2877475899786</v>
      </c>
    </row>
    <row r="21" spans="1:11">
      <c r="A21" s="278">
        <v>17</v>
      </c>
      <c r="B21" s="278" t="s">
        <v>80</v>
      </c>
      <c r="C21" s="279">
        <f t="shared" si="1"/>
        <v>0</v>
      </c>
      <c r="D21" s="279">
        <f>SUM('Restating Adj'!C27:G27)</f>
        <v>0</v>
      </c>
      <c r="E21" s="279">
        <f>SUM('Restating Adj'!H27:L27)</f>
        <v>0</v>
      </c>
      <c r="F21" s="279">
        <f>SUM('Restating Adj'!M27:P27)</f>
        <v>0</v>
      </c>
      <c r="G21" s="279">
        <f>SUM('Restating Adj'!Q27)</f>
        <v>0</v>
      </c>
      <c r="H21" s="279">
        <f>SUM('Restating Adj'!R27:Z27)</f>
        <v>0</v>
      </c>
      <c r="I21" s="279">
        <f>SUM('Restating Adj'!AA27:AI27)</f>
        <v>0</v>
      </c>
      <c r="J21" s="279">
        <f t="shared" si="2"/>
        <v>0</v>
      </c>
      <c r="K21" s="279">
        <f>SUM('Restating Adj'!AJ27:AP27)</f>
        <v>0</v>
      </c>
    </row>
    <row r="22" spans="1:11">
      <c r="A22" s="278">
        <v>18</v>
      </c>
      <c r="B22" s="278" t="s">
        <v>81</v>
      </c>
      <c r="C22" s="281">
        <f t="shared" si="1"/>
        <v>-244134.45056957737</v>
      </c>
      <c r="D22" s="281">
        <f>SUM('Restating Adj'!C28:G28)</f>
        <v>0</v>
      </c>
      <c r="E22" s="281">
        <f>SUM('Restating Adj'!H28:L28)</f>
        <v>-36726.639320838513</v>
      </c>
      <c r="F22" s="281">
        <f>SUM('Restating Adj'!M28:P28)</f>
        <v>0</v>
      </c>
      <c r="G22" s="281">
        <f>SUM('Restating Adj'!Q28)</f>
        <v>0</v>
      </c>
      <c r="H22" s="281">
        <f>SUM('Restating Adj'!R28:Z28)</f>
        <v>0</v>
      </c>
      <c r="I22" s="281">
        <f>SUM('Restating Adj'!AA28:AI28)</f>
        <v>54303.537524919564</v>
      </c>
      <c r="J22" s="281">
        <f t="shared" si="2"/>
        <v>0</v>
      </c>
      <c r="K22" s="281">
        <f>SUM('Restating Adj'!AJ28:AP28)</f>
        <v>-261711.34877365842</v>
      </c>
    </row>
    <row r="23" spans="1:11">
      <c r="A23" s="278">
        <v>19</v>
      </c>
      <c r="B23" s="278" t="s">
        <v>82</v>
      </c>
      <c r="C23" s="282">
        <f>SUM(C13:C22)</f>
        <v>-4306066.1217081863</v>
      </c>
      <c r="D23" s="282">
        <f t="shared" ref="D23:J23" si="3">SUM(D13:D22)</f>
        <v>-7394.9629479036066</v>
      </c>
      <c r="E23" s="282">
        <f t="shared" si="3"/>
        <v>-5070438.6606972991</v>
      </c>
      <c r="F23" s="282">
        <f t="shared" si="3"/>
        <v>980966.60093334597</v>
      </c>
      <c r="G23" s="282">
        <f t="shared" si="3"/>
        <v>0</v>
      </c>
      <c r="H23" s="282">
        <f t="shared" si="3"/>
        <v>0</v>
      </c>
      <c r="I23" s="282">
        <f t="shared" si="3"/>
        <v>54303.537524919564</v>
      </c>
      <c r="J23" s="282">
        <f t="shared" si="3"/>
        <v>0</v>
      </c>
      <c r="K23" s="282">
        <f>SUM(K13:K22)</f>
        <v>-263502.63652124838</v>
      </c>
    </row>
    <row r="24" spans="1:11">
      <c r="A24" s="278">
        <v>20</v>
      </c>
      <c r="B24" s="278" t="s">
        <v>83</v>
      </c>
      <c r="C24" s="279">
        <f t="shared" ref="C24:C31" si="4">SUM(D24:K24)</f>
        <v>-415222.55433080252</v>
      </c>
      <c r="D24" s="279">
        <f>SUM('Restating Adj'!C30:G30)</f>
        <v>0</v>
      </c>
      <c r="E24" s="279">
        <f>SUM('Restating Adj'!H30:L30)</f>
        <v>0</v>
      </c>
      <c r="F24" s="279">
        <f>SUM('Restating Adj'!M30:P30)</f>
        <v>-397232.00153080252</v>
      </c>
      <c r="G24" s="279">
        <f>SUM('Restating Adj'!Q30)</f>
        <v>0</v>
      </c>
      <c r="H24" s="279">
        <f>SUM('Restating Adj'!R30:Z30)</f>
        <v>0</v>
      </c>
      <c r="I24" s="279">
        <f>SUM('Restating Adj'!AA30:AI30)</f>
        <v>-17990.552800000001</v>
      </c>
      <c r="J24" s="279">
        <v>0</v>
      </c>
      <c r="K24" s="279">
        <f>SUM('Restating Adj'!AJ30:AP30)</f>
        <v>0</v>
      </c>
    </row>
    <row r="25" spans="1:11">
      <c r="A25" s="278">
        <v>21</v>
      </c>
      <c r="B25" s="278" t="s">
        <v>84</v>
      </c>
      <c r="C25" s="279">
        <f t="shared" si="4"/>
        <v>-169568.97296169098</v>
      </c>
      <c r="D25" s="279">
        <f>SUM('Restating Adj'!C31:G31)</f>
        <v>0</v>
      </c>
      <c r="E25" s="279">
        <f>SUM('Restating Adj'!H31:L31)</f>
        <v>0</v>
      </c>
      <c r="F25" s="279">
        <f>SUM('Restating Adj'!M31:P31)</f>
        <v>0</v>
      </c>
      <c r="G25" s="279">
        <f>SUM('Restating Adj'!Q31)</f>
        <v>0</v>
      </c>
      <c r="H25" s="279">
        <f>SUM('Restating Adj'!R31:Z31)</f>
        <v>0</v>
      </c>
      <c r="I25" s="279">
        <f>SUM('Restating Adj'!AA31:AI31)</f>
        <v>-169568.97296169098</v>
      </c>
      <c r="J25" s="279">
        <v>0</v>
      </c>
      <c r="K25" s="279">
        <f>SUM('Restating Adj'!AJ31:AP31)</f>
        <v>0</v>
      </c>
    </row>
    <row r="26" spans="1:11">
      <c r="A26" s="278">
        <v>22</v>
      </c>
      <c r="B26" s="278" t="s">
        <v>85</v>
      </c>
      <c r="C26" s="279">
        <f t="shared" si="4"/>
        <v>-42124.459304340671</v>
      </c>
      <c r="D26" s="279">
        <f>SUM('Restating Adj'!C32:G32)</f>
        <v>0</v>
      </c>
      <c r="E26" s="279">
        <f>SUM('Restating Adj'!H32:L32)</f>
        <v>0</v>
      </c>
      <c r="F26" s="279">
        <f>SUM('Restating Adj'!M32:P32)</f>
        <v>-42124.459304340671</v>
      </c>
      <c r="G26" s="279">
        <f>SUM('Restating Adj'!Q32)</f>
        <v>0</v>
      </c>
      <c r="H26" s="279">
        <f>SUM('Restating Adj'!R32:Z32)</f>
        <v>0</v>
      </c>
      <c r="I26" s="279">
        <f>SUM('Restating Adj'!AA32:AI32)</f>
        <v>0</v>
      </c>
      <c r="J26" s="279">
        <v>0</v>
      </c>
      <c r="K26" s="279">
        <f>SUM('Restating Adj'!AJ32:AP32)</f>
        <v>0</v>
      </c>
    </row>
    <row r="27" spans="1:11">
      <c r="A27" s="278">
        <v>23</v>
      </c>
      <c r="B27" s="278" t="s">
        <v>314</v>
      </c>
      <c r="C27" s="279">
        <f>C80</f>
        <v>194287.75429866</v>
      </c>
      <c r="D27" s="279">
        <f>D80</f>
        <v>-2894483.2544819084</v>
      </c>
      <c r="E27" s="279">
        <f t="shared" ref="E27:K27" si="5">E80</f>
        <v>2259701.8408625298</v>
      </c>
      <c r="F27" s="279">
        <f t="shared" si="5"/>
        <v>1016053.5446754035</v>
      </c>
      <c r="G27" s="279">
        <f t="shared" si="5"/>
        <v>0</v>
      </c>
      <c r="H27" s="279">
        <f t="shared" si="5"/>
        <v>-75954.622194136726</v>
      </c>
      <c r="I27" s="279">
        <f t="shared" si="5"/>
        <v>50182.783794053554</v>
      </c>
      <c r="J27" s="279">
        <f t="shared" si="5"/>
        <v>0</v>
      </c>
      <c r="K27" s="279">
        <f t="shared" si="5"/>
        <v>-161212.53835728174</v>
      </c>
    </row>
    <row r="28" spans="1:11">
      <c r="A28" s="278">
        <v>24</v>
      </c>
      <c r="B28" s="278" t="s">
        <v>315</v>
      </c>
      <c r="C28" s="279">
        <f t="shared" si="4"/>
        <v>0</v>
      </c>
      <c r="D28" s="279">
        <v>0</v>
      </c>
      <c r="E28" s="279">
        <f>C227</f>
        <v>0</v>
      </c>
      <c r="F28" s="279">
        <f>C341</f>
        <v>0</v>
      </c>
      <c r="G28" s="279">
        <f>C455</f>
        <v>0</v>
      </c>
      <c r="H28" s="279">
        <f>C570</f>
        <v>0</v>
      </c>
      <c r="I28" s="279">
        <f>C685</f>
        <v>0</v>
      </c>
      <c r="J28" s="279">
        <f>C803</f>
        <v>0</v>
      </c>
      <c r="K28" s="279">
        <f>C1152</f>
        <v>0</v>
      </c>
    </row>
    <row r="29" spans="1:11">
      <c r="A29" s="278">
        <v>25</v>
      </c>
      <c r="B29" s="278" t="s">
        <v>316</v>
      </c>
      <c r="C29" s="279">
        <f t="shared" si="4"/>
        <v>4258073.6394843711</v>
      </c>
      <c r="D29" s="279">
        <f>SUM('Restating Adj'!C35:G35)</f>
        <v>623320</v>
      </c>
      <c r="E29" s="279">
        <f>SUM('Restating Adj'!H35:L35)</f>
        <v>-525944.76265158609</v>
      </c>
      <c r="F29" s="279">
        <f>SUM('Restating Adj'!M35:P35)</f>
        <v>136253.30590310734</v>
      </c>
      <c r="G29" s="279">
        <f>SUM('Restating Adj'!Q35)</f>
        <v>0</v>
      </c>
      <c r="H29" s="279">
        <f>SUM('Restating Adj'!R35:Z35)</f>
        <v>3737965.5327728949</v>
      </c>
      <c r="I29" s="279">
        <f>SUM('Restating Adj'!AA35:AI35)</f>
        <v>-23574.331352442532</v>
      </c>
      <c r="J29" s="279">
        <v>0</v>
      </c>
      <c r="K29" s="279">
        <f>SUM('Restating Adj'!AJ35:AP35)</f>
        <v>310053.89481239684</v>
      </c>
    </row>
    <row r="30" spans="1:11">
      <c r="A30" s="278">
        <v>26</v>
      </c>
      <c r="B30" s="278" t="s">
        <v>89</v>
      </c>
      <c r="C30" s="279">
        <f t="shared" si="4"/>
        <v>0</v>
      </c>
      <c r="D30" s="279">
        <f>SUM('Restating Adj'!C36:G36)</f>
        <v>0</v>
      </c>
      <c r="E30" s="279">
        <f>SUM('Restating Adj'!H36:L36)</f>
        <v>0</v>
      </c>
      <c r="F30" s="279">
        <f>SUM('Restating Adj'!M36:P36)</f>
        <v>0</v>
      </c>
      <c r="G30" s="279">
        <f>SUM('Restating Adj'!Q36)</f>
        <v>0</v>
      </c>
      <c r="H30" s="279">
        <f>SUM('Restating Adj'!R36:Z36)</f>
        <v>0</v>
      </c>
      <c r="I30" s="279">
        <f>SUM('Restating Adj'!AA36:AI36)</f>
        <v>0</v>
      </c>
      <c r="J30" s="279">
        <v>0</v>
      </c>
      <c r="K30" s="279">
        <f>SUM('Restating Adj'!AJ36:AP36)</f>
        <v>0</v>
      </c>
    </row>
    <row r="31" spans="1:11">
      <c r="A31" s="278">
        <v>27</v>
      </c>
      <c r="B31" s="278" t="s">
        <v>90</v>
      </c>
      <c r="C31" s="279">
        <f t="shared" si="4"/>
        <v>-513913.347966392</v>
      </c>
      <c r="D31" s="279">
        <f>SUM('Restating Adj'!C37:G37)</f>
        <v>0</v>
      </c>
      <c r="E31" s="279">
        <f>SUM('Restating Adj'!H37:L37)</f>
        <v>0</v>
      </c>
      <c r="F31" s="279">
        <f>SUM('Restating Adj'!M37:P37)</f>
        <v>0</v>
      </c>
      <c r="G31" s="279">
        <f>SUM('Restating Adj'!Q37)</f>
        <v>0</v>
      </c>
      <c r="H31" s="279">
        <f>SUM('Restating Adj'!R37:Z37)</f>
        <v>0</v>
      </c>
      <c r="I31" s="279">
        <f>SUM('Restating Adj'!AA37:AI37)</f>
        <v>34004.906666666662</v>
      </c>
      <c r="J31" s="279">
        <v>0</v>
      </c>
      <c r="K31" s="279">
        <f>SUM('Restating Adj'!AJ37:AP37)</f>
        <v>-547918.25463305868</v>
      </c>
    </row>
    <row r="32" spans="1:11">
      <c r="A32" s="278">
        <v>28</v>
      </c>
      <c r="B32" s="283" t="s">
        <v>91</v>
      </c>
      <c r="C32" s="284">
        <f>SUM(C23:C31)</f>
        <v>-994534.06248838222</v>
      </c>
      <c r="D32" s="284">
        <f t="shared" ref="D32:J32" si="6">SUM(D23:D31)</f>
        <v>-2278558.2174298121</v>
      </c>
      <c r="E32" s="284">
        <f t="shared" si="6"/>
        <v>-3336681.5824863552</v>
      </c>
      <c r="F32" s="284">
        <f t="shared" si="6"/>
        <v>1693916.9906767136</v>
      </c>
      <c r="G32" s="284">
        <f t="shared" si="6"/>
        <v>0</v>
      </c>
      <c r="H32" s="284">
        <f t="shared" si="6"/>
        <v>3662010.9105787585</v>
      </c>
      <c r="I32" s="284">
        <f t="shared" si="6"/>
        <v>-72642.629128493747</v>
      </c>
      <c r="J32" s="284">
        <f t="shared" si="6"/>
        <v>0</v>
      </c>
      <c r="K32" s="284">
        <f>SUM(K23:K31)</f>
        <v>-662579.53469919192</v>
      </c>
    </row>
    <row r="33" spans="1:11">
      <c r="A33" s="278">
        <v>29</v>
      </c>
      <c r="B33" s="278"/>
    </row>
    <row r="34" spans="1:11" ht="15.75" thickBot="1">
      <c r="A34" s="278">
        <v>30</v>
      </c>
      <c r="B34" s="278" t="s">
        <v>92</v>
      </c>
      <c r="C34" s="285">
        <f>C10-C32</f>
        <v>-6048376.3537201751</v>
      </c>
      <c r="D34" s="285">
        <f t="shared" ref="D34:J34" si="7">D10-D32</f>
        <v>-4356357.9011806864</v>
      </c>
      <c r="E34" s="285">
        <f t="shared" si="7"/>
        <v>3336681.5824863552</v>
      </c>
      <c r="F34" s="285">
        <f t="shared" si="7"/>
        <v>2109727.2126221573</v>
      </c>
      <c r="G34" s="285">
        <f t="shared" si="7"/>
        <v>0</v>
      </c>
      <c r="H34" s="285">
        <f t="shared" si="7"/>
        <v>-3662010.9105787585</v>
      </c>
      <c r="I34" s="285">
        <f t="shared" si="7"/>
        <v>72642.629128493747</v>
      </c>
      <c r="J34" s="285">
        <f t="shared" si="7"/>
        <v>0</v>
      </c>
      <c r="K34" s="285">
        <f>K10-K32</f>
        <v>-3549058.966197738</v>
      </c>
    </row>
    <row r="35" spans="1:11" ht="15.75" thickTop="1">
      <c r="A35" s="278">
        <v>31</v>
      </c>
      <c r="B35" s="278"/>
    </row>
    <row r="36" spans="1:11">
      <c r="A36" s="278">
        <v>32</v>
      </c>
      <c r="B36" s="278" t="s">
        <v>93</v>
      </c>
    </row>
    <row r="37" spans="1:11">
      <c r="A37" s="278">
        <v>33</v>
      </c>
      <c r="B37" s="278" t="s">
        <v>94</v>
      </c>
      <c r="C37" s="279">
        <f t="shared" ref="C37:C47" si="8">SUM(D37:K37)</f>
        <v>27046917.071776658</v>
      </c>
      <c r="D37" s="279">
        <f>SUM('Restating Adj'!C43:G43)</f>
        <v>0</v>
      </c>
      <c r="E37" s="279">
        <f>SUM('Restating Adj'!H43:L43)</f>
        <v>0</v>
      </c>
      <c r="F37" s="279">
        <f>SUM('Restating Adj'!M43:P43)</f>
        <v>-26125927.969872698</v>
      </c>
      <c r="G37" s="279">
        <f>SUM('Restating Adj'!Q43)</f>
        <v>0</v>
      </c>
      <c r="H37" s="279">
        <f>SUM('Restating Adj'!R43:Z43)</f>
        <v>0</v>
      </c>
      <c r="I37" s="279">
        <f>SUM('Restating Adj'!AA43:AI43)</f>
        <v>53172845.041649356</v>
      </c>
      <c r="J37" s="279">
        <v>0</v>
      </c>
      <c r="K37" s="279">
        <f>SUM('Restating Adj'!AJ43:AP43)</f>
        <v>0</v>
      </c>
    </row>
    <row r="38" spans="1:11">
      <c r="A38" s="278">
        <v>34</v>
      </c>
      <c r="B38" s="278" t="s">
        <v>95</v>
      </c>
      <c r="C38" s="279">
        <f t="shared" si="8"/>
        <v>0</v>
      </c>
      <c r="D38" s="279">
        <f>SUM('Restating Adj'!C44:G44)</f>
        <v>0</v>
      </c>
      <c r="E38" s="279">
        <f>SUM('Restating Adj'!H44:L44)</f>
        <v>0</v>
      </c>
      <c r="F38" s="279">
        <f>SUM('Restating Adj'!M44:P44)</f>
        <v>0</v>
      </c>
      <c r="G38" s="279">
        <f>SUM('Restating Adj'!Q44)</f>
        <v>0</v>
      </c>
      <c r="H38" s="279">
        <f>SUM('Restating Adj'!R44:Z44)</f>
        <v>0</v>
      </c>
      <c r="I38" s="279">
        <f>SUM('Restating Adj'!AA44:AI44)</f>
        <v>0</v>
      </c>
      <c r="J38" s="279">
        <v>0</v>
      </c>
      <c r="K38" s="279">
        <f>SUM('Restating Adj'!AJ44:AP44)</f>
        <v>0</v>
      </c>
    </row>
    <row r="39" spans="1:11">
      <c r="A39" s="278">
        <v>35</v>
      </c>
      <c r="B39" s="278" t="s">
        <v>96</v>
      </c>
      <c r="C39" s="279">
        <f t="shared" si="8"/>
        <v>-2197306.0259155687</v>
      </c>
      <c r="D39" s="279">
        <f>SUM('Restating Adj'!C45:G45)</f>
        <v>0</v>
      </c>
      <c r="E39" s="279">
        <f>SUM('Restating Adj'!H45:L45)</f>
        <v>0</v>
      </c>
      <c r="F39" s="279">
        <f>SUM('Restating Adj'!M45:P45)</f>
        <v>0</v>
      </c>
      <c r="G39" s="279">
        <f>SUM('Restating Adj'!Q45)</f>
        <v>0</v>
      </c>
      <c r="H39" s="279">
        <f>SUM('Restating Adj'!R45:Z45)</f>
        <v>0</v>
      </c>
      <c r="I39" s="279">
        <f>SUM('Restating Adj'!AA45:AI45)</f>
        <v>-2197306.0259155687</v>
      </c>
      <c r="J39" s="279">
        <v>0</v>
      </c>
      <c r="K39" s="279">
        <f>SUM('Restating Adj'!AJ45:AP45)</f>
        <v>0</v>
      </c>
    </row>
    <row r="40" spans="1:11">
      <c r="A40" s="278">
        <v>36</v>
      </c>
      <c r="B40" s="278" t="s">
        <v>97</v>
      </c>
      <c r="C40" s="279">
        <f t="shared" si="8"/>
        <v>0</v>
      </c>
      <c r="D40" s="279">
        <f>SUM('Restating Adj'!C46:G46)</f>
        <v>0</v>
      </c>
      <c r="E40" s="279">
        <f>SUM('Restating Adj'!H46:L46)</f>
        <v>0</v>
      </c>
      <c r="F40" s="279">
        <f>SUM('Restating Adj'!M46:P46)</f>
        <v>0</v>
      </c>
      <c r="G40" s="279">
        <f>SUM('Restating Adj'!Q46)</f>
        <v>0</v>
      </c>
      <c r="H40" s="279">
        <f>SUM('Restating Adj'!R46:Z46)</f>
        <v>0</v>
      </c>
      <c r="I40" s="279">
        <f>SUM('Restating Adj'!AA46:AI46)</f>
        <v>0</v>
      </c>
      <c r="J40" s="279">
        <v>0</v>
      </c>
      <c r="K40" s="279">
        <f>SUM('Restating Adj'!AJ46:AP46)</f>
        <v>0</v>
      </c>
    </row>
    <row r="41" spans="1:11">
      <c r="A41" s="278">
        <v>37</v>
      </c>
      <c r="B41" s="278" t="s">
        <v>98</v>
      </c>
      <c r="C41" s="279">
        <f t="shared" si="8"/>
        <v>0</v>
      </c>
      <c r="D41" s="279">
        <f>SUM('Restating Adj'!C47:G47)</f>
        <v>0</v>
      </c>
      <c r="E41" s="279">
        <f>SUM('Restating Adj'!H47:L47)</f>
        <v>0</v>
      </c>
      <c r="F41" s="279">
        <f>SUM('Restating Adj'!M47:P47)</f>
        <v>0</v>
      </c>
      <c r="G41" s="279">
        <f>SUM('Restating Adj'!Q47)</f>
        <v>0</v>
      </c>
      <c r="H41" s="279">
        <f>SUM('Restating Adj'!R47:Z47)</f>
        <v>0</v>
      </c>
      <c r="I41" s="279">
        <f>SUM('Restating Adj'!AA47:AI47)</f>
        <v>0</v>
      </c>
      <c r="J41" s="279">
        <v>0</v>
      </c>
      <c r="K41" s="279">
        <f>SUM('Restating Adj'!AJ47:AP47)</f>
        <v>0</v>
      </c>
    </row>
    <row r="42" spans="1:11">
      <c r="A42" s="278">
        <v>38</v>
      </c>
      <c r="B42" s="278" t="s">
        <v>99</v>
      </c>
      <c r="C42" s="279">
        <f t="shared" si="8"/>
        <v>-2850427.9619466118</v>
      </c>
      <c r="D42" s="279">
        <f>SUM('Restating Adj'!C48:G48)</f>
        <v>0</v>
      </c>
      <c r="E42" s="279">
        <f>SUM('Restating Adj'!H48:L48)</f>
        <v>0</v>
      </c>
      <c r="F42" s="279">
        <f>SUM('Restating Adj'!M48:P48)</f>
        <v>0</v>
      </c>
      <c r="G42" s="279">
        <f>SUM('Restating Adj'!Q48)</f>
        <v>0</v>
      </c>
      <c r="H42" s="279">
        <f>SUM('Restating Adj'!R48:Z48)</f>
        <v>0</v>
      </c>
      <c r="I42" s="279">
        <f>SUM('Restating Adj'!AA48:AI48)</f>
        <v>-2850427.9619466118</v>
      </c>
      <c r="J42" s="279">
        <v>0</v>
      </c>
      <c r="K42" s="279">
        <f>SUM('Restating Adj'!AJ48:AP48)</f>
        <v>0</v>
      </c>
    </row>
    <row r="43" spans="1:11">
      <c r="A43" s="278">
        <v>39</v>
      </c>
      <c r="B43" s="278" t="s">
        <v>100</v>
      </c>
      <c r="C43" s="279">
        <f t="shared" si="8"/>
        <v>2033952.2560125524</v>
      </c>
      <c r="D43" s="279">
        <f>SUM('Restating Adj'!C49:G49)</f>
        <v>0</v>
      </c>
      <c r="E43" s="279">
        <f>SUM('Restating Adj'!H49:L49)</f>
        <v>0</v>
      </c>
      <c r="F43" s="279">
        <f>SUM('Restating Adj'!M49:P49)</f>
        <v>0</v>
      </c>
      <c r="G43" s="279">
        <f>SUM('Restating Adj'!Q49)</f>
        <v>0</v>
      </c>
      <c r="H43" s="279">
        <f>SUM('Restating Adj'!R49:Z49)</f>
        <v>0</v>
      </c>
      <c r="I43" s="279">
        <f>SUM('Restating Adj'!AA49:AI49)</f>
        <v>2033952.2560125524</v>
      </c>
      <c r="J43" s="279">
        <v>0</v>
      </c>
      <c r="K43" s="279">
        <f>SUM('Restating Adj'!AJ49:AP49)</f>
        <v>0</v>
      </c>
    </row>
    <row r="44" spans="1:11">
      <c r="A44" s="278">
        <v>40</v>
      </c>
      <c r="B44" s="278" t="s">
        <v>101</v>
      </c>
      <c r="C44" s="279">
        <f t="shared" si="8"/>
        <v>2018177.8990736436</v>
      </c>
      <c r="D44" s="279">
        <f>SUM('Restating Adj'!C50:G50)</f>
        <v>0</v>
      </c>
      <c r="E44" s="279">
        <f>SUM('Restating Adj'!H50:L50)</f>
        <v>0</v>
      </c>
      <c r="F44" s="279">
        <f>SUM('Restating Adj'!M50:P50)</f>
        <v>0</v>
      </c>
      <c r="G44" s="279">
        <f>SUM('Restating Adj'!Q50)</f>
        <v>0</v>
      </c>
      <c r="H44" s="279">
        <f>SUM('Restating Adj'!R50:Z50)</f>
        <v>0</v>
      </c>
      <c r="I44" s="279">
        <f>SUM('Restating Adj'!AA50:AI50)</f>
        <v>2018177.8990736436</v>
      </c>
      <c r="J44" s="279">
        <v>0</v>
      </c>
      <c r="K44" s="279">
        <f>SUM('Restating Adj'!AJ50:AP50)</f>
        <v>0</v>
      </c>
    </row>
    <row r="45" spans="1:11">
      <c r="A45" s="278">
        <v>41</v>
      </c>
      <c r="B45" s="278" t="s">
        <v>102</v>
      </c>
      <c r="C45" s="279">
        <f t="shared" si="8"/>
        <v>8646327.0520162769</v>
      </c>
      <c r="D45" s="279">
        <f>SUM('Restating Adj'!C51:G51)</f>
        <v>0</v>
      </c>
      <c r="E45" s="279">
        <f>SUM('Restating Adj'!H51:L51)</f>
        <v>0</v>
      </c>
      <c r="F45" s="279">
        <f>SUM('Restating Adj'!M51:P51)</f>
        <v>0</v>
      </c>
      <c r="G45" s="279">
        <f>SUM('Restating Adj'!Q51)</f>
        <v>0</v>
      </c>
      <c r="H45" s="279">
        <f>SUM('Restating Adj'!R51:Z51)</f>
        <v>0</v>
      </c>
      <c r="I45" s="279">
        <f>SUM('Restating Adj'!AA51:AI51)</f>
        <v>-2159291.1506739343</v>
      </c>
      <c r="J45" s="279">
        <v>0</v>
      </c>
      <c r="K45" s="279">
        <f>SUM('Restating Adj'!AJ51:AP51)</f>
        <v>10805618.20269021</v>
      </c>
    </row>
    <row r="46" spans="1:11">
      <c r="A46" s="278">
        <v>42</v>
      </c>
      <c r="B46" s="278" t="s">
        <v>317</v>
      </c>
      <c r="C46" s="279">
        <f t="shared" si="8"/>
        <v>0</v>
      </c>
      <c r="D46" s="279">
        <f>SUM('Restating Adj'!C52:G52)</f>
        <v>0</v>
      </c>
      <c r="E46" s="279">
        <f>SUM('Restating Adj'!H52:L52)</f>
        <v>0</v>
      </c>
      <c r="F46" s="279">
        <f>SUM('Restating Adj'!M52:P52)</f>
        <v>0</v>
      </c>
      <c r="G46" s="279">
        <f>SUM('Restating Adj'!Q52)</f>
        <v>0</v>
      </c>
      <c r="H46" s="279">
        <f>SUM('Restating Adj'!R52:Z52)</f>
        <v>0</v>
      </c>
      <c r="I46" s="279">
        <f>SUM('Restating Adj'!AA52:AI52)</f>
        <v>0</v>
      </c>
      <c r="J46" s="279">
        <v>0</v>
      </c>
      <c r="K46" s="279">
        <f>SUM('Restating Adj'!AJ52:AP52)</f>
        <v>0</v>
      </c>
    </row>
    <row r="47" spans="1:11">
      <c r="A47" s="278">
        <v>43</v>
      </c>
      <c r="B47" s="278" t="s">
        <v>104</v>
      </c>
      <c r="C47" s="279">
        <f t="shared" si="8"/>
        <v>-268576.60836182453</v>
      </c>
      <c r="D47" s="281">
        <f>SUM('Restating Adj'!C53:G53)</f>
        <v>0</v>
      </c>
      <c r="E47" s="279">
        <f>SUM('Restating Adj'!H53:L53)</f>
        <v>0</v>
      </c>
      <c r="F47" s="279">
        <f>SUM('Restating Adj'!M53:P53)</f>
        <v>0</v>
      </c>
      <c r="G47" s="279">
        <f>SUM('Restating Adj'!Q53)</f>
        <v>0</v>
      </c>
      <c r="H47" s="279">
        <f>SUM('Restating Adj'!R53:Z53)</f>
        <v>0</v>
      </c>
      <c r="I47" s="279">
        <f>SUM('Restating Adj'!AA53:AI53)</f>
        <v>-268576.60836182453</v>
      </c>
      <c r="J47" s="279">
        <v>0</v>
      </c>
      <c r="K47" s="279">
        <f>SUM('Restating Adj'!AJ53:AP53)</f>
        <v>0</v>
      </c>
    </row>
    <row r="48" spans="1:11">
      <c r="A48" s="278">
        <v>44</v>
      </c>
      <c r="B48" s="278" t="s">
        <v>105</v>
      </c>
      <c r="C48" s="284">
        <f>SUM(C37:C47)</f>
        <v>34429063.682655126</v>
      </c>
      <c r="D48" s="284">
        <f t="shared" ref="D48:J48" si="9">SUM(D37:D47)</f>
        <v>0</v>
      </c>
      <c r="E48" s="284">
        <f t="shared" si="9"/>
        <v>0</v>
      </c>
      <c r="F48" s="284">
        <f t="shared" si="9"/>
        <v>-26125927.969872698</v>
      </c>
      <c r="G48" s="284">
        <f t="shared" si="9"/>
        <v>0</v>
      </c>
      <c r="H48" s="284">
        <f t="shared" si="9"/>
        <v>0</v>
      </c>
      <c r="I48" s="284">
        <f t="shared" si="9"/>
        <v>49749373.44983761</v>
      </c>
      <c r="J48" s="284">
        <f t="shared" si="9"/>
        <v>0</v>
      </c>
      <c r="K48" s="284">
        <f>SUM(K37:K47)</f>
        <v>10805618.20269021</v>
      </c>
    </row>
    <row r="49" spans="1:11">
      <c r="A49" s="278">
        <v>45</v>
      </c>
      <c r="B49" s="278"/>
    </row>
    <row r="50" spans="1:11">
      <c r="A50" s="278">
        <v>46</v>
      </c>
      <c r="B50" s="278" t="s">
        <v>318</v>
      </c>
    </row>
    <row r="51" spans="1:11">
      <c r="A51" s="278">
        <v>47</v>
      </c>
      <c r="B51" s="278" t="s">
        <v>107</v>
      </c>
      <c r="C51" s="279">
        <f t="shared" ref="C51:C57" si="10">SUM(D51:K51)</f>
        <v>-7446965.4092337936</v>
      </c>
      <c r="D51" s="279">
        <f>SUM('Restating Adj'!C57:G57)</f>
        <v>0</v>
      </c>
      <c r="E51" s="279">
        <f>SUM('Restating Adj'!H57:L57)</f>
        <v>0</v>
      </c>
      <c r="F51" s="279">
        <f>SUM('Restating Adj'!M57:P57)</f>
        <v>16010762.339428132</v>
      </c>
      <c r="G51" s="279">
        <f>SUM('Restating Adj'!Q57)</f>
        <v>-8005.3957926276607</v>
      </c>
      <c r="H51" s="279">
        <f>SUM('Restating Adj'!R57:Z57)</f>
        <v>0</v>
      </c>
      <c r="I51" s="279">
        <f>SUM('Restating Adj'!AA57:AI57)</f>
        <v>-23449722.352869298</v>
      </c>
      <c r="J51" s="279">
        <v>0</v>
      </c>
      <c r="K51" s="279">
        <f>SUM('Restating Adj'!AJ57:AP57)</f>
        <v>0</v>
      </c>
    </row>
    <row r="52" spans="1:11">
      <c r="A52" s="278">
        <v>48</v>
      </c>
      <c r="B52" s="278" t="s">
        <v>108</v>
      </c>
      <c r="C52" s="279">
        <f t="shared" si="10"/>
        <v>0</v>
      </c>
      <c r="D52" s="279">
        <f>SUM('Restating Adj'!C58:G58)</f>
        <v>0</v>
      </c>
      <c r="E52" s="279">
        <f>SUM('Restating Adj'!H58:L58)</f>
        <v>0</v>
      </c>
      <c r="F52" s="279">
        <f>SUM('Restating Adj'!M58:P58)</f>
        <v>0</v>
      </c>
      <c r="G52" s="279">
        <f>SUM('Restating Adj'!Q58)</f>
        <v>0</v>
      </c>
      <c r="H52" s="279">
        <f>SUM('Restating Adj'!R58:Z58)</f>
        <v>0</v>
      </c>
      <c r="I52" s="279">
        <f>SUM('Restating Adj'!AA58:AI58)</f>
        <v>0</v>
      </c>
      <c r="J52" s="279">
        <v>0</v>
      </c>
      <c r="K52" s="279">
        <f>SUM('Restating Adj'!AJ58:AP58)</f>
        <v>0</v>
      </c>
    </row>
    <row r="53" spans="1:11">
      <c r="A53" s="278">
        <v>49</v>
      </c>
      <c r="B53" s="278" t="s">
        <v>109</v>
      </c>
      <c r="C53" s="279">
        <f t="shared" si="10"/>
        <v>-6648465.3569998452</v>
      </c>
      <c r="D53" s="279">
        <f>SUM('Restating Adj'!C59:G59)</f>
        <v>2751332</v>
      </c>
      <c r="E53" s="279">
        <f>SUM('Restating Adj'!H59:L59)</f>
        <v>472405.91201826412</v>
      </c>
      <c r="F53" s="279">
        <f>SUM('Restating Adj'!M59:P59)</f>
        <v>1810649.4576148225</v>
      </c>
      <c r="G53" s="279">
        <f>SUM('Restating Adj'!Q59)</f>
        <v>0</v>
      </c>
      <c r="H53" s="279">
        <f>SUM('Restating Adj'!R59:Z59)</f>
        <v>-14745818.120134011</v>
      </c>
      <c r="I53" s="279">
        <f>SUM('Restating Adj'!AA59:AI59)</f>
        <v>1635107.942471453</v>
      </c>
      <c r="J53" s="279">
        <v>0</v>
      </c>
      <c r="K53" s="279">
        <f>SUM('Restating Adj'!AJ59:AP59)</f>
        <v>1427857.4510296264</v>
      </c>
    </row>
    <row r="54" spans="1:11">
      <c r="A54" s="278">
        <v>50</v>
      </c>
      <c r="B54" s="278" t="s">
        <v>110</v>
      </c>
      <c r="C54" s="279">
        <f t="shared" si="10"/>
        <v>144385.82344165733</v>
      </c>
      <c r="D54" s="279">
        <f>SUM('Restating Adj'!C60:G60)</f>
        <v>0</v>
      </c>
      <c r="E54" s="279">
        <f>SUM('Restating Adj'!H60:L60)</f>
        <v>0</v>
      </c>
      <c r="F54" s="279">
        <f>SUM('Restating Adj'!M60:P60)</f>
        <v>144385.82344165733</v>
      </c>
      <c r="G54" s="279">
        <f>SUM('Restating Adj'!Q60)</f>
        <v>0</v>
      </c>
      <c r="H54" s="279">
        <f>SUM('Restating Adj'!R60:Z60)</f>
        <v>0</v>
      </c>
      <c r="I54" s="279">
        <f>SUM('Restating Adj'!AA60:AI60)</f>
        <v>0</v>
      </c>
      <c r="J54" s="279">
        <v>0</v>
      </c>
      <c r="K54" s="279">
        <f>SUM('Restating Adj'!AJ60:AP60)</f>
        <v>0</v>
      </c>
    </row>
    <row r="55" spans="1:11">
      <c r="A55" s="278">
        <v>51</v>
      </c>
      <c r="B55" s="278" t="s">
        <v>111</v>
      </c>
      <c r="C55" s="279">
        <f t="shared" si="10"/>
        <v>23142.536575635779</v>
      </c>
      <c r="D55" s="279">
        <f>SUM('Restating Adj'!C61:G61)</f>
        <v>0</v>
      </c>
      <c r="E55" s="279">
        <f>SUM('Restating Adj'!H61:L61)</f>
        <v>0</v>
      </c>
      <c r="F55" s="279">
        <f>SUM('Restating Adj'!M61:P61)</f>
        <v>0</v>
      </c>
      <c r="G55" s="279">
        <f>SUM('Restating Adj'!Q61)</f>
        <v>0</v>
      </c>
      <c r="H55" s="279">
        <f>SUM('Restating Adj'!R61:Z61)</f>
        <v>0</v>
      </c>
      <c r="I55" s="279">
        <f>SUM('Restating Adj'!AA61:AI61)</f>
        <v>23142.536575635779</v>
      </c>
      <c r="J55" s="279">
        <v>0</v>
      </c>
      <c r="K55" s="279">
        <f>SUM('Restating Adj'!AJ61:AP61)</f>
        <v>0</v>
      </c>
    </row>
    <row r="56" spans="1:11">
      <c r="A56" s="278">
        <v>52</v>
      </c>
      <c r="B56" s="278" t="s">
        <v>112</v>
      </c>
      <c r="C56" s="279">
        <f t="shared" si="10"/>
        <v>-2980495.6783333328</v>
      </c>
      <c r="D56" s="279">
        <f>SUM('Restating Adj'!C62:G62)</f>
        <v>0</v>
      </c>
      <c r="E56" s="279">
        <f>SUM('Restating Adj'!H62:L62)</f>
        <v>0</v>
      </c>
      <c r="F56" s="279">
        <f>SUM('Restating Adj'!M62:P62)</f>
        <v>0</v>
      </c>
      <c r="G56" s="279">
        <f>SUM('Restating Adj'!Q62)</f>
        <v>0</v>
      </c>
      <c r="H56" s="279">
        <f>SUM('Restating Adj'!R62:Z62)</f>
        <v>0</v>
      </c>
      <c r="I56" s="279">
        <f>SUM('Restating Adj'!AA62:AI62)</f>
        <v>-2980495.6783333328</v>
      </c>
      <c r="J56" s="279">
        <v>0</v>
      </c>
      <c r="K56" s="279">
        <f>SUM('Restating Adj'!AJ62:AP62)</f>
        <v>0</v>
      </c>
    </row>
    <row r="57" spans="1:11">
      <c r="A57" s="278">
        <v>53</v>
      </c>
      <c r="B57" s="278" t="s">
        <v>319</v>
      </c>
      <c r="C57" s="279">
        <f t="shared" si="10"/>
        <v>-2789519.813278635</v>
      </c>
      <c r="D57" s="279">
        <f>SUM('Restating Adj'!C63:G63)</f>
        <v>0</v>
      </c>
      <c r="E57" s="279">
        <f>SUM('Restating Adj'!H63:L63)</f>
        <v>0</v>
      </c>
      <c r="F57" s="279">
        <f>SUM('Restating Adj'!M63:P63)</f>
        <v>-212582.87396787116</v>
      </c>
      <c r="G57" s="279">
        <f>SUM('Restating Adj'!Q63)</f>
        <v>0</v>
      </c>
      <c r="H57" s="279">
        <f>SUM('Restating Adj'!R63:Z63)</f>
        <v>0</v>
      </c>
      <c r="I57" s="279">
        <f>SUM('Restating Adj'!AA63:AI63)</f>
        <v>1185108.7951282924</v>
      </c>
      <c r="J57" s="279">
        <v>0</v>
      </c>
      <c r="K57" s="279">
        <f>SUM('Restating Adj'!AJ63:AP63)</f>
        <v>-3762045.7344390564</v>
      </c>
    </row>
    <row r="58" spans="1:11">
      <c r="A58" s="278">
        <v>54</v>
      </c>
      <c r="B58" s="278"/>
      <c r="F58" s="279"/>
      <c r="G58" s="279"/>
    </row>
    <row r="59" spans="1:11">
      <c r="A59" s="278">
        <v>55</v>
      </c>
      <c r="B59" s="278" t="s">
        <v>320</v>
      </c>
      <c r="C59" s="284">
        <f>SUM(C51:C58)</f>
        <v>-19697917.897828311</v>
      </c>
      <c r="D59" s="284">
        <f t="shared" ref="D59:J59" si="11">SUM(D51:D58)</f>
        <v>2751332</v>
      </c>
      <c r="E59" s="284">
        <f t="shared" si="11"/>
        <v>472405.91201826412</v>
      </c>
      <c r="F59" s="284">
        <f t="shared" si="11"/>
        <v>17753214.746516742</v>
      </c>
      <c r="G59" s="284">
        <f t="shared" si="11"/>
        <v>-8005.3957926276607</v>
      </c>
      <c r="H59" s="284">
        <f t="shared" si="11"/>
        <v>-14745818.120134011</v>
      </c>
      <c r="I59" s="284">
        <f t="shared" si="11"/>
        <v>-23586858.757027254</v>
      </c>
      <c r="J59" s="284">
        <f t="shared" si="11"/>
        <v>0</v>
      </c>
      <c r="K59" s="284">
        <f>SUM(K51:K58)</f>
        <v>-2334188.2834094297</v>
      </c>
    </row>
    <row r="60" spans="1:11">
      <c r="A60" s="278">
        <v>56</v>
      </c>
      <c r="B60" s="278"/>
    </row>
    <row r="61" spans="1:11" ht="15.75" thickBot="1">
      <c r="A61" s="278">
        <v>57</v>
      </c>
      <c r="B61" s="278" t="s">
        <v>115</v>
      </c>
      <c r="C61" s="285">
        <f>C48+C59</f>
        <v>14731145.784826815</v>
      </c>
      <c r="D61" s="285">
        <f t="shared" ref="D61:J61" si="12">D48+D59</f>
        <v>2751332</v>
      </c>
      <c r="E61" s="285">
        <f t="shared" si="12"/>
        <v>472405.91201826412</v>
      </c>
      <c r="F61" s="285">
        <f t="shared" si="12"/>
        <v>-8372713.2233559564</v>
      </c>
      <c r="G61" s="285">
        <f t="shared" si="12"/>
        <v>-8005.3957926276607</v>
      </c>
      <c r="H61" s="285">
        <f t="shared" si="12"/>
        <v>-14745818.120134011</v>
      </c>
      <c r="I61" s="285">
        <f t="shared" si="12"/>
        <v>26162514.692810357</v>
      </c>
      <c r="J61" s="285">
        <f t="shared" si="12"/>
        <v>0</v>
      </c>
      <c r="K61" s="285">
        <f>K48+K59</f>
        <v>8471429.9192807805</v>
      </c>
    </row>
    <row r="62" spans="1:11" ht="15.75" thickTop="1">
      <c r="A62" s="278">
        <v>58</v>
      </c>
      <c r="B62" s="278"/>
    </row>
    <row r="63" spans="1:11">
      <c r="A63" s="278">
        <v>59</v>
      </c>
      <c r="B63" s="286" t="s">
        <v>321</v>
      </c>
      <c r="C63" s="287">
        <f t="shared" ref="C63" si="13">(((C34+Unadj_Op_revenue)/(C61+Unadj_rate_base))-Weighted_cost_debt-Weighted_cost_pref)/Percent_common-Unadj_ROE</f>
        <v>-1.7423751243350626E-2</v>
      </c>
      <c r="D63" s="287">
        <f t="shared" ref="D63:K63" si="14">(((D34+Unadj_Op_revenue)/(D61+Unadj_rate_base))-Weighted_cost_debt-Weighted_cost_pref)/Percent_common-Unadj_ROE</f>
        <v>-1.1518189197381824E-2</v>
      </c>
      <c r="E63" s="287">
        <f t="shared" si="14"/>
        <v>8.4437070310727502E-3</v>
      </c>
      <c r="F63" s="287">
        <f t="shared" si="14"/>
        <v>6.7806072703848613E-3</v>
      </c>
      <c r="G63" s="287">
        <f t="shared" si="14"/>
        <v>1.2582193486543325E-6</v>
      </c>
      <c r="H63" s="287">
        <f t="shared" si="14"/>
        <v>-7.177548221242433E-3</v>
      </c>
      <c r="I63" s="287">
        <f t="shared" si="14"/>
        <v>-3.7942854262563927E-3</v>
      </c>
      <c r="J63" s="287">
        <f t="shared" si="14"/>
        <v>0</v>
      </c>
      <c r="K63" s="287">
        <f t="shared" si="14"/>
        <v>-1.0281302090609963E-2</v>
      </c>
    </row>
    <row r="64" spans="1:11">
      <c r="A64" s="278">
        <v>60</v>
      </c>
      <c r="B64" s="288" t="s">
        <v>62</v>
      </c>
      <c r="C64" s="289">
        <f t="shared" ref="C64" si="15">-(C34-(C61*Overall_ROR))/gross_up_factor</f>
        <v>11739294.560519345</v>
      </c>
      <c r="D64" s="289">
        <f t="shared" ref="D64:K64" si="16">-(D34-(D61*Overall_ROR))/gross_up_factor</f>
        <v>7397914.0962455422</v>
      </c>
      <c r="E64" s="289">
        <f t="shared" si="16"/>
        <v>-5319227.8012260953</v>
      </c>
      <c r="F64" s="289">
        <f t="shared" si="16"/>
        <v>-4529927.5592857394</v>
      </c>
      <c r="G64" s="289">
        <f t="shared" si="16"/>
        <v>-1077.0633172632556</v>
      </c>
      <c r="H64" s="289">
        <f t="shared" si="16"/>
        <v>3923678.2592753149</v>
      </c>
      <c r="I64" s="289">
        <f t="shared" si="16"/>
        <v>3402773.2726525944</v>
      </c>
      <c r="J64" s="289">
        <f t="shared" si="16"/>
        <v>0</v>
      </c>
      <c r="K64" s="289">
        <f t="shared" si="16"/>
        <v>6865161.3561749943</v>
      </c>
    </row>
    <row r="65" spans="1:11">
      <c r="A65" s="278">
        <v>61</v>
      </c>
      <c r="B65" s="278"/>
    </row>
    <row r="66" spans="1:11">
      <c r="A66" s="278">
        <v>62</v>
      </c>
      <c r="B66" s="278" t="s">
        <v>117</v>
      </c>
    </row>
    <row r="67" spans="1:11">
      <c r="A67" s="278">
        <v>63</v>
      </c>
      <c r="B67" s="278" t="s">
        <v>118</v>
      </c>
      <c r="C67" s="282">
        <f>SUM(D67:K67)</f>
        <v>-1596014.9599371464</v>
      </c>
      <c r="D67" s="282">
        <f t="shared" ref="D67:K67" si="17">D10-D23-D24-D25-D26-D31</f>
        <v>-6627521.1556625953</v>
      </c>
      <c r="E67" s="282">
        <f t="shared" si="17"/>
        <v>5070438.6606972991</v>
      </c>
      <c r="F67" s="282">
        <f t="shared" si="17"/>
        <v>3262034.063200668</v>
      </c>
      <c r="G67" s="282">
        <f t="shared" si="17"/>
        <v>0</v>
      </c>
      <c r="H67" s="282">
        <f t="shared" si="17"/>
        <v>0</v>
      </c>
      <c r="I67" s="282">
        <f t="shared" si="17"/>
        <v>99251.081570104769</v>
      </c>
      <c r="J67" s="282">
        <f t="shared" si="17"/>
        <v>0</v>
      </c>
      <c r="K67" s="282">
        <f t="shared" si="17"/>
        <v>-3400217.6097426228</v>
      </c>
    </row>
    <row r="68" spans="1:11">
      <c r="A68" s="278">
        <v>64</v>
      </c>
      <c r="B68" s="278" t="s">
        <v>119</v>
      </c>
      <c r="C68" s="282">
        <v>0</v>
      </c>
      <c r="D68" s="294">
        <v>0</v>
      </c>
      <c r="E68" s="294">
        <v>0</v>
      </c>
      <c r="F68" s="294">
        <v>0</v>
      </c>
      <c r="G68" s="294">
        <v>0</v>
      </c>
      <c r="H68" s="294">
        <v>0</v>
      </c>
      <c r="I68" s="294">
        <v>0</v>
      </c>
      <c r="J68" s="294">
        <v>0</v>
      </c>
      <c r="K68" s="294">
        <v>0</v>
      </c>
    </row>
    <row r="69" spans="1:11">
      <c r="A69" s="278">
        <v>65</v>
      </c>
      <c r="B69" s="278" t="s">
        <v>120</v>
      </c>
      <c r="C69" s="282">
        <f>SUM(D69:K69)</f>
        <v>217013.20626896209</v>
      </c>
      <c r="D69" s="282">
        <f>SUM('Restating Adj'!C76:G76)</f>
        <v>0</v>
      </c>
      <c r="E69" s="282">
        <f>SUM('Restating Adj'!H76:L76)</f>
        <v>0</v>
      </c>
      <c r="F69" s="282">
        <f>SUM('Restating Adj'!M76:P76)</f>
        <v>0</v>
      </c>
      <c r="G69" s="282">
        <f>SUM('Restating Adj'!Q76)</f>
        <v>0</v>
      </c>
      <c r="H69" s="282">
        <f>SUM('Restating Adj'!R76:Z76)</f>
        <v>217013.20626896209</v>
      </c>
      <c r="I69" s="282">
        <f>SUM('Restating Adj'!AA76:AI76)</f>
        <v>0</v>
      </c>
      <c r="J69" s="282">
        <v>0</v>
      </c>
      <c r="K69" s="282">
        <f>SUM('Restating Adj'!AJ76:AP76)</f>
        <v>0</v>
      </c>
    </row>
    <row r="70" spans="1:11">
      <c r="A70" s="278">
        <v>66</v>
      </c>
      <c r="B70" s="278" t="s">
        <v>121</v>
      </c>
      <c r="C70" s="282">
        <f>SUM(D70:K70)</f>
        <v>-3756595.1100003608</v>
      </c>
      <c r="D70" s="282">
        <f>SUM('Restating Adj'!C77:G77)</f>
        <v>0</v>
      </c>
      <c r="E70" s="282">
        <f>SUM('Restating Adj'!H77:L77)</f>
        <v>0</v>
      </c>
      <c r="F70" s="282">
        <f>SUM('Restating Adj'!M77:P77)</f>
        <v>0</v>
      </c>
      <c r="G70" s="282">
        <f>SUM('Restating Adj'!Q77)</f>
        <v>0</v>
      </c>
      <c r="H70" s="282">
        <f>SUM('Restating Adj'!R77:Z77)</f>
        <v>0</v>
      </c>
      <c r="I70" s="282">
        <f>SUM('Restating Adj'!AA77:AI77)</f>
        <v>0</v>
      </c>
      <c r="J70" s="282">
        <v>0</v>
      </c>
      <c r="K70" s="282">
        <f>SUM('Restating Adj'!AJ77:AP77)</f>
        <v>-3756595.1100003608</v>
      </c>
    </row>
    <row r="71" spans="1:11">
      <c r="A71" s="278">
        <v>67</v>
      </c>
      <c r="B71" s="283" t="s">
        <v>122</v>
      </c>
      <c r="C71" s="282">
        <f>SUM(D71:K71)</f>
        <v>-2566569.5074167242</v>
      </c>
      <c r="D71" s="282">
        <f>SUM('Restating Adj'!C78:G78)</f>
        <v>-1653038</v>
      </c>
      <c r="E71" s="282">
        <f>SUM('Restating Adj'!H78:L78)</f>
        <v>0</v>
      </c>
      <c r="F71" s="282">
        <f>SUM('Restating Adj'!M78:P78)</f>
        <v>-449420.00153080252</v>
      </c>
      <c r="G71" s="282">
        <f>SUM('Restating Adj'!Q78)</f>
        <v>0</v>
      </c>
      <c r="H71" s="282">
        <f>SUM('Restating Adj'!R78:Z78)</f>
        <v>0</v>
      </c>
      <c r="I71" s="282">
        <f>SUM('Restating Adj'!AA78:AI78)</f>
        <v>-494158.28733096202</v>
      </c>
      <c r="J71" s="282">
        <v>0</v>
      </c>
      <c r="K71" s="282">
        <f>SUM('Restating Adj'!AJ78:AP78)</f>
        <v>30046.781445040437</v>
      </c>
    </row>
    <row r="72" spans="1:11">
      <c r="A72" s="278">
        <v>68</v>
      </c>
      <c r="B72" s="283" t="s">
        <v>123</v>
      </c>
      <c r="C72" s="290">
        <f>SUM(D72:K72)</f>
        <v>-1178110.4330472155</v>
      </c>
      <c r="D72" s="290">
        <f>SUM('Restating Adj'!C79:G79)</f>
        <v>-10607</v>
      </c>
      <c r="E72" s="290">
        <f>SUM('Restating Adj'!H79:L79)</f>
        <v>-1385852.3131956439</v>
      </c>
      <c r="F72" s="290">
        <f>SUM('Restating Adj'!M79:P79)</f>
        <v>-90396.065974144673</v>
      </c>
      <c r="G72" s="290">
        <f>SUM('Restating Adj'!Q79)</f>
        <v>0</v>
      </c>
      <c r="H72" s="290">
        <f>SUM('Restating Adj'!R79:Z79)</f>
        <v>0</v>
      </c>
      <c r="I72" s="290">
        <f>SUM('Restating Adj'!AA79:AI79)</f>
        <v>-538286.5880295817</v>
      </c>
      <c r="J72" s="290">
        <v>0</v>
      </c>
      <c r="K72" s="290">
        <f>SUM('Restating Adj'!AJ79:AP79)</f>
        <v>847031.53415215481</v>
      </c>
    </row>
    <row r="73" spans="1:11">
      <c r="A73" s="278">
        <v>69</v>
      </c>
      <c r="B73" s="283" t="s">
        <v>124</v>
      </c>
      <c r="C73" s="291">
        <f>SUM(D73:K73)</f>
        <v>555107.86942474381</v>
      </c>
      <c r="D73" s="291">
        <f>D67-D69-D70+D71-D72</f>
        <v>-8269952.1556625953</v>
      </c>
      <c r="E73" s="291">
        <f t="shared" ref="E73:K73" si="18">E67-E69-E70+E71-E72</f>
        <v>6456290.973892943</v>
      </c>
      <c r="F73" s="291">
        <f t="shared" si="18"/>
        <v>2903010.1276440104</v>
      </c>
      <c r="G73" s="291">
        <f t="shared" si="18"/>
        <v>0</v>
      </c>
      <c r="H73" s="291">
        <f t="shared" si="18"/>
        <v>-217013.20626896209</v>
      </c>
      <c r="I73" s="291">
        <f t="shared" si="18"/>
        <v>143379.38226872444</v>
      </c>
      <c r="J73" s="291">
        <f t="shared" si="18"/>
        <v>0</v>
      </c>
      <c r="K73" s="291">
        <f t="shared" si="18"/>
        <v>-460607.25244937645</v>
      </c>
    </row>
    <row r="74" spans="1:11">
      <c r="A74" s="278">
        <v>70</v>
      </c>
      <c r="B74" s="278"/>
      <c r="C74" s="292"/>
      <c r="D74" s="292"/>
      <c r="E74" s="292"/>
      <c r="F74" s="292"/>
      <c r="G74" s="292"/>
      <c r="H74" s="292"/>
      <c r="I74" s="292"/>
      <c r="J74" s="292"/>
      <c r="K74" s="292"/>
    </row>
    <row r="75" spans="1:11">
      <c r="A75" s="278">
        <v>71</v>
      </c>
      <c r="B75" s="278" t="s">
        <v>125</v>
      </c>
      <c r="C75" s="282">
        <f t="shared" ref="C75:C76" si="19">SUM(D75:K75)</f>
        <v>0</v>
      </c>
      <c r="D75" s="282">
        <f>C162</f>
        <v>0</v>
      </c>
      <c r="E75" s="282">
        <f>C277</f>
        <v>0</v>
      </c>
      <c r="F75" s="282">
        <f>C391</f>
        <v>0</v>
      </c>
      <c r="G75" s="282">
        <f>C505</f>
        <v>0</v>
      </c>
      <c r="H75" s="282">
        <f>C620</f>
        <v>0</v>
      </c>
      <c r="I75" s="282">
        <f>C735</f>
        <v>0</v>
      </c>
      <c r="J75" s="282">
        <f>C853</f>
        <v>0</v>
      </c>
      <c r="K75" s="282">
        <f>C1202</f>
        <v>0</v>
      </c>
    </row>
    <row r="76" spans="1:11">
      <c r="A76" s="278">
        <v>72</v>
      </c>
      <c r="B76" s="278" t="s">
        <v>126</v>
      </c>
      <c r="C76" s="282">
        <f t="shared" si="19"/>
        <v>555107.86942474381</v>
      </c>
      <c r="D76" s="282">
        <f>D73-D75</f>
        <v>-8269952.1556625953</v>
      </c>
      <c r="E76" s="282">
        <f t="shared" ref="E76:K76" si="20">E73-E75</f>
        <v>6456290.973892943</v>
      </c>
      <c r="F76" s="282">
        <f t="shared" si="20"/>
        <v>2903010.1276440104</v>
      </c>
      <c r="G76" s="282">
        <f>SUM('Restating Adj'!Q83)</f>
        <v>0</v>
      </c>
      <c r="H76" s="282">
        <f t="shared" si="20"/>
        <v>-217013.20626896209</v>
      </c>
      <c r="I76" s="282">
        <f t="shared" si="20"/>
        <v>143379.38226872444</v>
      </c>
      <c r="J76" s="282">
        <f t="shared" si="20"/>
        <v>0</v>
      </c>
      <c r="K76" s="282">
        <f t="shared" si="20"/>
        <v>-460607.25244937645</v>
      </c>
    </row>
    <row r="77" spans="1:11">
      <c r="A77" s="278">
        <v>73</v>
      </c>
      <c r="B77" s="278"/>
    </row>
    <row r="78" spans="1:11">
      <c r="A78" s="278">
        <v>74</v>
      </c>
      <c r="B78" s="278" t="s">
        <v>200</v>
      </c>
      <c r="C78" s="292">
        <f>SUM(D78:K78)</f>
        <v>194287.75429866</v>
      </c>
      <c r="D78" s="292">
        <f>D76*0.35</f>
        <v>-2894483.2544819084</v>
      </c>
      <c r="E78" s="292">
        <f t="shared" ref="E78:K78" si="21">E76*0.35</f>
        <v>2259701.8408625298</v>
      </c>
      <c r="F78" s="292">
        <f t="shared" si="21"/>
        <v>1016053.5446754035</v>
      </c>
      <c r="G78" s="292">
        <f t="shared" si="21"/>
        <v>0</v>
      </c>
      <c r="H78" s="292">
        <f t="shared" si="21"/>
        <v>-75954.622194136726</v>
      </c>
      <c r="I78" s="292">
        <f t="shared" si="21"/>
        <v>50182.783794053554</v>
      </c>
      <c r="J78" s="292">
        <f t="shared" si="21"/>
        <v>0</v>
      </c>
      <c r="K78" s="292">
        <f t="shared" si="21"/>
        <v>-161212.53835728174</v>
      </c>
    </row>
    <row r="79" spans="1:11">
      <c r="A79" s="278">
        <v>75</v>
      </c>
      <c r="B79" s="278" t="s">
        <v>199</v>
      </c>
      <c r="C79" s="292">
        <f t="shared" ref="C79:C80" si="22">SUM(D79:K79)</f>
        <v>0</v>
      </c>
      <c r="D79" s="292">
        <f>SUM('Restating Adj'!C86:G86)</f>
        <v>0</v>
      </c>
      <c r="E79" s="292">
        <f>SUM('Restating Adj'!H86:L86)</f>
        <v>0</v>
      </c>
      <c r="F79" s="292">
        <f>SUM('Restating Adj'!M86:P86)</f>
        <v>0</v>
      </c>
      <c r="G79" s="292">
        <f>SUM('Restating Adj'!Q86)</f>
        <v>0</v>
      </c>
      <c r="H79" s="292">
        <f>SUM('Restating Adj'!R86:Z86)</f>
        <v>0</v>
      </c>
      <c r="I79" s="292">
        <f>SUM('Restating Adj'!AA86:AI86)</f>
        <v>0</v>
      </c>
      <c r="J79" s="292">
        <v>0</v>
      </c>
      <c r="K79" s="292">
        <f>SUM('Restating Adj'!AJ86:AP86)</f>
        <v>0</v>
      </c>
    </row>
    <row r="80" spans="1:11" ht="15.75" thickBot="1">
      <c r="A80" s="278">
        <v>76</v>
      </c>
      <c r="B80" s="278" t="s">
        <v>200</v>
      </c>
      <c r="C80" s="293">
        <f t="shared" si="22"/>
        <v>194287.75429866</v>
      </c>
      <c r="D80" s="293">
        <f>D78+D79</f>
        <v>-2894483.2544819084</v>
      </c>
      <c r="E80" s="293">
        <f t="shared" ref="E80:K80" si="23">E78+E79</f>
        <v>2259701.8408625298</v>
      </c>
      <c r="F80" s="293">
        <f t="shared" si="23"/>
        <v>1016053.5446754035</v>
      </c>
      <c r="G80" s="293">
        <f t="shared" si="23"/>
        <v>0</v>
      </c>
      <c r="H80" s="293">
        <f t="shared" si="23"/>
        <v>-75954.622194136726</v>
      </c>
      <c r="I80" s="293">
        <f t="shared" si="23"/>
        <v>50182.783794053554</v>
      </c>
      <c r="J80" s="293">
        <f t="shared" si="23"/>
        <v>0</v>
      </c>
      <c r="K80" s="293">
        <f t="shared" si="23"/>
        <v>-161212.53835728174</v>
      </c>
    </row>
    <row r="81" ht="15.75" thickTop="1"/>
  </sheetData>
  <pageMargins left="0.5" right="0.5" top="0.4" bottom="0.25" header="0.25" footer="0.3"/>
  <pageSetup scale="63" orientation="portrait" r:id="rId1"/>
  <headerFooter>
    <oddHeader>&amp;RExhibit No.___(RBD-6) - Revised 12/10/10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1"/>
  <sheetViews>
    <sheetView workbookViewId="0">
      <selection activeCell="I13" sqref="I13"/>
    </sheetView>
  </sheetViews>
  <sheetFormatPr defaultRowHeight="15"/>
  <cols>
    <col min="1" max="1" width="5.140625" style="272" customWidth="1"/>
    <col min="2" max="2" width="22.85546875" style="272" customWidth="1"/>
    <col min="3" max="11" width="12" style="272" customWidth="1"/>
    <col min="12" max="16384" width="9.140625" style="272"/>
  </cols>
  <sheetData>
    <row r="1" spans="1:11">
      <c r="B1" s="273" t="s">
        <v>322</v>
      </c>
      <c r="C1" s="273"/>
      <c r="D1" s="273"/>
      <c r="E1" s="273"/>
      <c r="F1" s="273"/>
      <c r="G1" s="273"/>
      <c r="H1" s="273"/>
      <c r="I1" s="274"/>
      <c r="K1" s="275" t="s">
        <v>323</v>
      </c>
    </row>
    <row r="3" spans="1:11" ht="34.5">
      <c r="C3" s="276" t="s">
        <v>312</v>
      </c>
      <c r="D3" s="276" t="s">
        <v>326</v>
      </c>
      <c r="E3" s="276" t="s">
        <v>327</v>
      </c>
      <c r="F3" s="276" t="s">
        <v>328</v>
      </c>
      <c r="G3" s="276" t="s">
        <v>329</v>
      </c>
      <c r="H3" s="276" t="s">
        <v>330</v>
      </c>
      <c r="I3" s="276" t="s">
        <v>331</v>
      </c>
      <c r="J3" s="277" t="s">
        <v>332</v>
      </c>
      <c r="K3" s="276" t="s">
        <v>313</v>
      </c>
    </row>
    <row r="5" spans="1:11">
      <c r="A5" s="278">
        <v>1</v>
      </c>
      <c r="B5" s="278" t="s">
        <v>65</v>
      </c>
    </row>
    <row r="6" spans="1:11">
      <c r="A6" s="278">
        <v>2</v>
      </c>
      <c r="B6" s="278" t="s">
        <v>66</v>
      </c>
      <c r="C6" s="279">
        <f>SUM(D6:K6)</f>
        <v>12402155.109999999</v>
      </c>
      <c r="D6" s="279">
        <f>SUM('Pro Forma Adj'!C12:D12)</f>
        <v>12402155.109999999</v>
      </c>
      <c r="E6" s="279">
        <f>SUM('Pro Forma Adj'!E12:G12)</f>
        <v>0</v>
      </c>
      <c r="F6" s="279">
        <f>SUM('Pro Forma Adj'!H12:I12)</f>
        <v>0</v>
      </c>
      <c r="G6" s="279">
        <f>SUM('Pro Forma Adj'!J12)</f>
        <v>0</v>
      </c>
      <c r="H6" s="279">
        <f>SUM('Pro Forma Adj'!K12:N12)</f>
        <v>0</v>
      </c>
      <c r="I6" s="279">
        <f>SUM('Pro Forma Adj'!O12:Q12)</f>
        <v>0</v>
      </c>
      <c r="J6" s="279">
        <f>SUM('Pro Forma Adj'!R12:S12)</f>
        <v>0</v>
      </c>
      <c r="K6" s="279">
        <f>SUM('Pro Forma Adj'!T12:Y12)</f>
        <v>0</v>
      </c>
    </row>
    <row r="7" spans="1:11">
      <c r="A7" s="278">
        <v>3</v>
      </c>
      <c r="B7" s="278" t="s">
        <v>67</v>
      </c>
      <c r="C7" s="279">
        <f>SUM(D7:K7)</f>
        <v>0</v>
      </c>
      <c r="D7" s="279">
        <f>SUM('Pro Forma Adj'!C13:D13)</f>
        <v>0</v>
      </c>
      <c r="E7" s="279">
        <f>SUM('Pro Forma Adj'!E13:G13)</f>
        <v>0</v>
      </c>
      <c r="F7" s="279">
        <f>SUM('Pro Forma Adj'!H13:I13)</f>
        <v>0</v>
      </c>
      <c r="G7" s="279">
        <f>SUM('Pro Forma Adj'!J13)</f>
        <v>0</v>
      </c>
      <c r="H7" s="279">
        <f>SUM('Pro Forma Adj'!K13:N13)</f>
        <v>0</v>
      </c>
      <c r="I7" s="279">
        <f>SUM('Pro Forma Adj'!O13:Q13)</f>
        <v>0</v>
      </c>
      <c r="J7" s="279">
        <f>SUM('Pro Forma Adj'!R13:S13)</f>
        <v>0</v>
      </c>
      <c r="K7" s="279">
        <f>SUM('Pro Forma Adj'!T13:Y13)</f>
        <v>0</v>
      </c>
    </row>
    <row r="8" spans="1:11">
      <c r="A8" s="278">
        <v>4</v>
      </c>
      <c r="B8" s="278" t="s">
        <v>68</v>
      </c>
      <c r="C8" s="279">
        <f>SUM(D8:K8)</f>
        <v>-46215933.386372209</v>
      </c>
      <c r="D8" s="279">
        <f>SUM('Pro Forma Adj'!C14:D14)</f>
        <v>0</v>
      </c>
      <c r="E8" s="279">
        <f>SUM('Pro Forma Adj'!E14:G14)</f>
        <v>0</v>
      </c>
      <c r="F8" s="279">
        <f>SUM('Pro Forma Adj'!H14:I14)</f>
        <v>0</v>
      </c>
      <c r="G8" s="279">
        <f>SUM('Pro Forma Adj'!J14)</f>
        <v>0</v>
      </c>
      <c r="H8" s="279">
        <f>SUM('Pro Forma Adj'!K14:N14)</f>
        <v>0</v>
      </c>
      <c r="I8" s="279">
        <f>SUM('Pro Forma Adj'!O14:Q14)</f>
        <v>0</v>
      </c>
      <c r="J8" s="279">
        <f>SUM('Pro Forma Adj'!R14:S14)</f>
        <v>0</v>
      </c>
      <c r="K8" s="279">
        <f>SUM('Pro Forma Adj'!T14:Y14)</f>
        <v>-46215933.386372209</v>
      </c>
    </row>
    <row r="9" spans="1:11">
      <c r="A9" s="278">
        <v>5</v>
      </c>
      <c r="B9" s="278" t="s">
        <v>69</v>
      </c>
      <c r="C9" s="279">
        <f>SUM(D9:K9)</f>
        <v>2935061.5718090204</v>
      </c>
      <c r="D9" s="279">
        <f>SUM('Pro Forma Adj'!C15:D15)</f>
        <v>-17062.670165353691</v>
      </c>
      <c r="E9" s="279">
        <f>SUM('Pro Forma Adj'!E15:G15)</f>
        <v>0</v>
      </c>
      <c r="F9" s="279">
        <f>SUM('Pro Forma Adj'!H15:I15)</f>
        <v>1178569.3667911782</v>
      </c>
      <c r="G9" s="279">
        <f>SUM('Pro Forma Adj'!J15)</f>
        <v>0</v>
      </c>
      <c r="H9" s="279">
        <f>SUM('Pro Forma Adj'!K15:N15)</f>
        <v>0</v>
      </c>
      <c r="I9" s="279">
        <f>SUM('Pro Forma Adj'!O15:Q15)</f>
        <v>-3000000</v>
      </c>
      <c r="J9" s="279">
        <f>SUM('Pro Forma Adj'!R15:S15)</f>
        <v>0</v>
      </c>
      <c r="K9" s="279">
        <f>SUM('Pro Forma Adj'!T15:Y15)</f>
        <v>4773554.8751831958</v>
      </c>
    </row>
    <row r="10" spans="1:11">
      <c r="A10" s="278">
        <v>6</v>
      </c>
      <c r="B10" s="278" t="s">
        <v>70</v>
      </c>
      <c r="C10" s="280">
        <f>SUM(C6:C9)</f>
        <v>-30878716.704563189</v>
      </c>
      <c r="D10" s="280">
        <f t="shared" ref="D10:K10" si="0">SUM(D6:D9)</f>
        <v>12385092.439834645</v>
      </c>
      <c r="E10" s="280">
        <f t="shared" si="0"/>
        <v>0</v>
      </c>
      <c r="F10" s="280">
        <f t="shared" si="0"/>
        <v>1178569.3667911782</v>
      </c>
      <c r="G10" s="280">
        <f t="shared" si="0"/>
        <v>0</v>
      </c>
      <c r="H10" s="280">
        <f t="shared" si="0"/>
        <v>0</v>
      </c>
      <c r="I10" s="280">
        <f t="shared" si="0"/>
        <v>-3000000</v>
      </c>
      <c r="J10" s="280">
        <f t="shared" si="0"/>
        <v>0</v>
      </c>
      <c r="K10" s="280">
        <f t="shared" si="0"/>
        <v>-41442378.511189014</v>
      </c>
    </row>
    <row r="11" spans="1:11">
      <c r="A11" s="278">
        <v>7</v>
      </c>
      <c r="B11" s="278"/>
    </row>
    <row r="12" spans="1:11">
      <c r="A12" s="278">
        <v>8</v>
      </c>
      <c r="B12" s="278" t="s">
        <v>71</v>
      </c>
    </row>
    <row r="13" spans="1:11">
      <c r="A13" s="278">
        <v>9</v>
      </c>
      <c r="B13" s="278" t="s">
        <v>72</v>
      </c>
      <c r="C13" s="279">
        <f t="shared" ref="C13:C22" si="1">SUM(D13:K13)</f>
        <v>3866911.1401345837</v>
      </c>
      <c r="D13" s="279">
        <f>SUM('Pro Forma Adj'!C19:D19)</f>
        <v>0</v>
      </c>
      <c r="E13" s="279">
        <f>SUM('Pro Forma Adj'!E19:G19)</f>
        <v>59054.702015338407</v>
      </c>
      <c r="F13" s="279">
        <f>SUM('Pro Forma Adj'!H19:I19)</f>
        <v>0</v>
      </c>
      <c r="G13" s="279">
        <f>SUM('Pro Forma Adj'!J19)</f>
        <v>0</v>
      </c>
      <c r="H13" s="279">
        <f>SUM('Pro Forma Adj'!K19:N19)</f>
        <v>0</v>
      </c>
      <c r="I13" s="279">
        <f>SUM('Pro Forma Adj'!O19:Q19)</f>
        <v>0</v>
      </c>
      <c r="J13" s="279">
        <f>SUM('Pro Forma Adj'!R19:S19)</f>
        <v>0</v>
      </c>
      <c r="K13" s="279">
        <f>SUM('Pro Forma Adj'!T19:Y19)</f>
        <v>3807856.4381192452</v>
      </c>
    </row>
    <row r="14" spans="1:11">
      <c r="A14" s="278">
        <v>10</v>
      </c>
      <c r="B14" s="278" t="s">
        <v>73</v>
      </c>
      <c r="C14" s="279">
        <f t="shared" si="1"/>
        <v>0</v>
      </c>
      <c r="D14" s="279">
        <f>SUM('Pro Forma Adj'!C20:D20)</f>
        <v>0</v>
      </c>
      <c r="E14" s="279">
        <f>SUM('Pro Forma Adj'!E20:G20)</f>
        <v>0</v>
      </c>
      <c r="F14" s="279">
        <f>SUM('Pro Forma Adj'!H20:I20)</f>
        <v>0</v>
      </c>
      <c r="G14" s="279">
        <f>SUM('Pro Forma Adj'!J20)</f>
        <v>0</v>
      </c>
      <c r="H14" s="279">
        <f>SUM('Pro Forma Adj'!K20:N20)</f>
        <v>0</v>
      </c>
      <c r="I14" s="279">
        <f>SUM('Pro Forma Adj'!O20:Q20)</f>
        <v>0</v>
      </c>
      <c r="J14" s="279">
        <f>SUM('Pro Forma Adj'!R20:S20)</f>
        <v>0</v>
      </c>
      <c r="K14" s="279">
        <f>SUM('Pro Forma Adj'!T20:Y20)</f>
        <v>0</v>
      </c>
    </row>
    <row r="15" spans="1:11">
      <c r="A15" s="278">
        <v>11</v>
      </c>
      <c r="B15" s="278" t="s">
        <v>74</v>
      </c>
      <c r="C15" s="279">
        <f t="shared" si="1"/>
        <v>14128.087987025239</v>
      </c>
      <c r="D15" s="279">
        <f>SUM('Pro Forma Adj'!C21:D21)</f>
        <v>0</v>
      </c>
      <c r="E15" s="279">
        <f>SUM('Pro Forma Adj'!E21:G21)</f>
        <v>25399.398190712527</v>
      </c>
      <c r="F15" s="279">
        <f>SUM('Pro Forma Adj'!H21:I21)</f>
        <v>0</v>
      </c>
      <c r="G15" s="279">
        <f>SUM('Pro Forma Adj'!J21)</f>
        <v>0</v>
      </c>
      <c r="H15" s="279">
        <f>SUM('Pro Forma Adj'!K21:N21)</f>
        <v>0</v>
      </c>
      <c r="I15" s="279">
        <f>SUM('Pro Forma Adj'!O21:Q21)</f>
        <v>0</v>
      </c>
      <c r="J15" s="279">
        <f>SUM('Pro Forma Adj'!R21:S21)</f>
        <v>0</v>
      </c>
      <c r="K15" s="279">
        <f>SUM('Pro Forma Adj'!T21:Y21)</f>
        <v>-11271.310203687288</v>
      </c>
    </row>
    <row r="16" spans="1:11">
      <c r="A16" s="278">
        <v>12</v>
      </c>
      <c r="B16" s="278" t="s">
        <v>75</v>
      </c>
      <c r="C16" s="279">
        <f t="shared" si="1"/>
        <v>-19481406.007589854</v>
      </c>
      <c r="D16" s="279">
        <f>SUM('Pro Forma Adj'!C22:D22)</f>
        <v>0</v>
      </c>
      <c r="E16" s="279">
        <f>SUM('Pro Forma Adj'!E22:G22)</f>
        <v>30949.259530558389</v>
      </c>
      <c r="F16" s="279">
        <f>SUM('Pro Forma Adj'!H22:I22)</f>
        <v>0</v>
      </c>
      <c r="G16" s="279">
        <f>SUM('Pro Forma Adj'!J22)</f>
        <v>0</v>
      </c>
      <c r="H16" s="279">
        <f>SUM('Pro Forma Adj'!K22:N22)</f>
        <v>0</v>
      </c>
      <c r="I16" s="279">
        <f>SUM('Pro Forma Adj'!O22:Q22)</f>
        <v>0</v>
      </c>
      <c r="J16" s="279">
        <f>SUM('Pro Forma Adj'!R22:S22)</f>
        <v>0</v>
      </c>
      <c r="K16" s="279">
        <f>SUM('Pro Forma Adj'!T22:Y22)</f>
        <v>-19512355.267120413</v>
      </c>
    </row>
    <row r="17" spans="1:11">
      <c r="A17" s="278">
        <v>13</v>
      </c>
      <c r="B17" s="278" t="s">
        <v>76</v>
      </c>
      <c r="C17" s="279">
        <f t="shared" si="1"/>
        <v>4020309.1765103331</v>
      </c>
      <c r="D17" s="279">
        <f>SUM('Pro Forma Adj'!C23:D23)</f>
        <v>0</v>
      </c>
      <c r="E17" s="279">
        <f>SUM('Pro Forma Adj'!E23:G23)</f>
        <v>21961.872203814237</v>
      </c>
      <c r="F17" s="279">
        <f>SUM('Pro Forma Adj'!H23:I23)</f>
        <v>0</v>
      </c>
      <c r="G17" s="279">
        <f>SUM('Pro Forma Adj'!J23)</f>
        <v>0</v>
      </c>
      <c r="H17" s="279">
        <f>SUM('Pro Forma Adj'!K23:N23)</f>
        <v>0</v>
      </c>
      <c r="I17" s="279">
        <f>SUM('Pro Forma Adj'!O23:Q23)</f>
        <v>0</v>
      </c>
      <c r="J17" s="279">
        <f>SUM('Pro Forma Adj'!R23:S23)</f>
        <v>0</v>
      </c>
      <c r="K17" s="279">
        <f>SUM('Pro Forma Adj'!T23:Y23)</f>
        <v>3998347.3043065188</v>
      </c>
    </row>
    <row r="18" spans="1:11">
      <c r="A18" s="278">
        <v>14</v>
      </c>
      <c r="B18" s="278" t="s">
        <v>77</v>
      </c>
      <c r="C18" s="279">
        <f t="shared" si="1"/>
        <v>91505.452370337007</v>
      </c>
      <c r="D18" s="279">
        <f>SUM('Pro Forma Adj'!C24:D24)</f>
        <v>0</v>
      </c>
      <c r="E18" s="279">
        <f>SUM('Pro Forma Adj'!E24:G24)</f>
        <v>91505.452370337007</v>
      </c>
      <c r="F18" s="279">
        <f>SUM('Pro Forma Adj'!H24:I24)</f>
        <v>0</v>
      </c>
      <c r="G18" s="279">
        <f>SUM('Pro Forma Adj'!J24)</f>
        <v>0</v>
      </c>
      <c r="H18" s="279">
        <f>SUM('Pro Forma Adj'!K24:N24)</f>
        <v>0</v>
      </c>
      <c r="I18" s="279">
        <f>SUM('Pro Forma Adj'!O24:Q24)</f>
        <v>0</v>
      </c>
      <c r="J18" s="279">
        <f>SUM('Pro Forma Adj'!R24:S24)</f>
        <v>0</v>
      </c>
      <c r="K18" s="279">
        <f>SUM('Pro Forma Adj'!T24:Y24)</f>
        <v>0</v>
      </c>
    </row>
    <row r="19" spans="1:11">
      <c r="A19" s="278">
        <v>15</v>
      </c>
      <c r="B19" s="278" t="s">
        <v>78</v>
      </c>
      <c r="C19" s="279">
        <f t="shared" si="1"/>
        <v>57733.388162278228</v>
      </c>
      <c r="D19" s="279">
        <f>SUM('Pro Forma Adj'!C25:D25)</f>
        <v>0</v>
      </c>
      <c r="E19" s="279">
        <f>SUM('Pro Forma Adj'!E25:G25)</f>
        <v>57733.388162278228</v>
      </c>
      <c r="F19" s="279">
        <f>SUM('Pro Forma Adj'!H25:I25)</f>
        <v>0</v>
      </c>
      <c r="G19" s="279">
        <f>SUM('Pro Forma Adj'!J25)</f>
        <v>0</v>
      </c>
      <c r="H19" s="279">
        <f>SUM('Pro Forma Adj'!K25:N25)</f>
        <v>0</v>
      </c>
      <c r="I19" s="279">
        <f>SUM('Pro Forma Adj'!O25:Q25)</f>
        <v>0</v>
      </c>
      <c r="J19" s="279">
        <f>SUM('Pro Forma Adj'!R25:S25)</f>
        <v>0</v>
      </c>
      <c r="K19" s="279">
        <f>SUM('Pro Forma Adj'!T25:Y25)</f>
        <v>0</v>
      </c>
    </row>
    <row r="20" spans="1:11">
      <c r="A20" s="278">
        <v>16</v>
      </c>
      <c r="B20" s="278" t="s">
        <v>79</v>
      </c>
      <c r="C20" s="279">
        <f t="shared" si="1"/>
        <v>2679.2924333421715</v>
      </c>
      <c r="D20" s="279">
        <f>SUM('Pro Forma Adj'!C26:D26)</f>
        <v>0</v>
      </c>
      <c r="E20" s="279">
        <f>SUM('Pro Forma Adj'!E26:G26)</f>
        <v>2679.2924333421715</v>
      </c>
      <c r="F20" s="279">
        <f>SUM('Pro Forma Adj'!H26:I26)</f>
        <v>0</v>
      </c>
      <c r="G20" s="279">
        <f>SUM('Pro Forma Adj'!J26)</f>
        <v>0</v>
      </c>
      <c r="H20" s="279">
        <f>SUM('Pro Forma Adj'!K26:N26)</f>
        <v>0</v>
      </c>
      <c r="I20" s="279">
        <f>SUM('Pro Forma Adj'!O26:Q26)</f>
        <v>0</v>
      </c>
      <c r="J20" s="279">
        <f>SUM('Pro Forma Adj'!R26:S26)</f>
        <v>0</v>
      </c>
      <c r="K20" s="279">
        <f>SUM('Pro Forma Adj'!T26:Y26)</f>
        <v>0</v>
      </c>
    </row>
    <row r="21" spans="1:11">
      <c r="A21" s="278">
        <v>17</v>
      </c>
      <c r="B21" s="278" t="s">
        <v>80</v>
      </c>
      <c r="C21" s="279">
        <f t="shared" si="1"/>
        <v>0</v>
      </c>
      <c r="D21" s="279">
        <f>SUM('Pro Forma Adj'!C27:D27)</f>
        <v>0</v>
      </c>
      <c r="E21" s="279">
        <f>SUM('Pro Forma Adj'!E27:G27)</f>
        <v>0</v>
      </c>
      <c r="F21" s="279">
        <f>SUM('Pro Forma Adj'!H27:I27)</f>
        <v>0</v>
      </c>
      <c r="G21" s="279">
        <f>SUM('Pro Forma Adj'!J27)</f>
        <v>0</v>
      </c>
      <c r="H21" s="279">
        <f>SUM('Pro Forma Adj'!K27:N27)</f>
        <v>0</v>
      </c>
      <c r="I21" s="279">
        <f>SUM('Pro Forma Adj'!O27:Q27)</f>
        <v>0</v>
      </c>
      <c r="J21" s="279">
        <f>SUM('Pro Forma Adj'!R27:S27)</f>
        <v>0</v>
      </c>
      <c r="K21" s="279">
        <f>SUM('Pro Forma Adj'!T27:Y27)</f>
        <v>0</v>
      </c>
    </row>
    <row r="22" spans="1:11">
      <c r="A22" s="278">
        <v>18</v>
      </c>
      <c r="B22" s="278" t="s">
        <v>81</v>
      </c>
      <c r="C22" s="281">
        <f t="shared" si="1"/>
        <v>-1329008.6223783894</v>
      </c>
      <c r="D22" s="281">
        <f>SUM('Pro Forma Adj'!C28:D28)</f>
        <v>0</v>
      </c>
      <c r="E22" s="281">
        <f>SUM('Pro Forma Adj'!E28:G28)</f>
        <v>-1329008.6223783894</v>
      </c>
      <c r="F22" s="281">
        <f>SUM('Pro Forma Adj'!H28:I28)</f>
        <v>0</v>
      </c>
      <c r="G22" s="281">
        <f>SUM('Pro Forma Adj'!J28)</f>
        <v>0</v>
      </c>
      <c r="H22" s="281">
        <f>SUM('Pro Forma Adj'!K28:N28)</f>
        <v>0</v>
      </c>
      <c r="I22" s="281">
        <f>SUM('Pro Forma Adj'!O28:Q28)</f>
        <v>0</v>
      </c>
      <c r="J22" s="281">
        <f>SUM('Pro Forma Adj'!R28:S28)</f>
        <v>0</v>
      </c>
      <c r="K22" s="281">
        <f>SUM('Pro Forma Adj'!T28:Y28)</f>
        <v>0</v>
      </c>
    </row>
    <row r="23" spans="1:11">
      <c r="A23" s="278">
        <v>19</v>
      </c>
      <c r="B23" s="278" t="s">
        <v>82</v>
      </c>
      <c r="C23" s="282">
        <f>SUM(C13:C22)</f>
        <v>-12757148.092370346</v>
      </c>
      <c r="D23" s="282">
        <f t="shared" ref="D23:J23" si="2">SUM(D13:D22)</f>
        <v>0</v>
      </c>
      <c r="E23" s="282">
        <f t="shared" si="2"/>
        <v>-1039725.2574720084</v>
      </c>
      <c r="F23" s="282">
        <f t="shared" si="2"/>
        <v>0</v>
      </c>
      <c r="G23" s="282">
        <f t="shared" si="2"/>
        <v>0</v>
      </c>
      <c r="H23" s="282">
        <f t="shared" si="2"/>
        <v>0</v>
      </c>
      <c r="I23" s="282">
        <f t="shared" si="2"/>
        <v>0</v>
      </c>
      <c r="J23" s="282">
        <f t="shared" si="2"/>
        <v>0</v>
      </c>
      <c r="K23" s="282">
        <f>SUM(K13:K22)</f>
        <v>-11717422.834898338</v>
      </c>
    </row>
    <row r="24" spans="1:11">
      <c r="A24" s="278">
        <v>20</v>
      </c>
      <c r="B24" s="278" t="s">
        <v>83</v>
      </c>
      <c r="C24" s="279">
        <f t="shared" ref="C24:C31" si="3">SUM(D24:K24)</f>
        <v>-29238.355724457651</v>
      </c>
      <c r="D24" s="279">
        <f>SUM('Pro Forma Adj'!C30:D30)</f>
        <v>0</v>
      </c>
      <c r="E24" s="279">
        <f>SUM('Pro Forma Adj'!E30:G30)</f>
        <v>0</v>
      </c>
      <c r="F24" s="279">
        <f>SUM('Pro Forma Adj'!H30:I30)</f>
        <v>0</v>
      </c>
      <c r="G24" s="279">
        <f>SUM('Pro Forma Adj'!J30)</f>
        <v>0</v>
      </c>
      <c r="H24" s="279">
        <f>SUM('Pro Forma Adj'!K30:N30)</f>
        <v>0</v>
      </c>
      <c r="I24" s="279">
        <f>SUM('Pro Forma Adj'!O30:Q30)</f>
        <v>0</v>
      </c>
      <c r="J24" s="279">
        <f>SUM('Pro Forma Adj'!R30:S30)</f>
        <v>0</v>
      </c>
      <c r="K24" s="279">
        <f>SUM('Pro Forma Adj'!T30:Y30)</f>
        <v>-29238.355724457651</v>
      </c>
    </row>
    <row r="25" spans="1:11">
      <c r="A25" s="278">
        <v>21</v>
      </c>
      <c r="B25" s="278" t="s">
        <v>84</v>
      </c>
      <c r="C25" s="279">
        <f t="shared" si="3"/>
        <v>-182288.98018681514</v>
      </c>
      <c r="D25" s="279">
        <f>SUM('Pro Forma Adj'!C31:D31)</f>
        <v>0</v>
      </c>
      <c r="E25" s="279">
        <f>SUM('Pro Forma Adj'!E31:G31)</f>
        <v>0</v>
      </c>
      <c r="F25" s="279">
        <f>SUM('Pro Forma Adj'!H31:I31)</f>
        <v>0</v>
      </c>
      <c r="G25" s="279">
        <f>SUM('Pro Forma Adj'!J31)</f>
        <v>0</v>
      </c>
      <c r="H25" s="279">
        <f>SUM('Pro Forma Adj'!K31:N31)</f>
        <v>0</v>
      </c>
      <c r="I25" s="279">
        <f>SUM('Pro Forma Adj'!O31:Q31)</f>
        <v>-182288.98018681514</v>
      </c>
      <c r="J25" s="279">
        <f>SUM('Pro Forma Adj'!R31:S31)</f>
        <v>0</v>
      </c>
      <c r="K25" s="279">
        <f>SUM('Pro Forma Adj'!T31:Y31)</f>
        <v>0</v>
      </c>
    </row>
    <row r="26" spans="1:11">
      <c r="A26" s="278">
        <v>22</v>
      </c>
      <c r="B26" s="278" t="s">
        <v>85</v>
      </c>
      <c r="C26" s="279">
        <f t="shared" si="3"/>
        <v>-428616.54000000004</v>
      </c>
      <c r="D26" s="279">
        <f>SUM('Pro Forma Adj'!C32:D32)</f>
        <v>0</v>
      </c>
      <c r="E26" s="279">
        <f>SUM('Pro Forma Adj'!E32:G32)</f>
        <v>0</v>
      </c>
      <c r="F26" s="279">
        <f>SUM('Pro Forma Adj'!H32:I32)</f>
        <v>0</v>
      </c>
      <c r="G26" s="279">
        <f>SUM('Pro Forma Adj'!J32)</f>
        <v>0</v>
      </c>
      <c r="H26" s="279">
        <f>SUM('Pro Forma Adj'!K32:N32)</f>
        <v>-428616.54000000004</v>
      </c>
      <c r="I26" s="279">
        <f>SUM('Pro Forma Adj'!O32:Q32)</f>
        <v>0</v>
      </c>
      <c r="J26" s="279">
        <f>SUM('Pro Forma Adj'!R32:S32)</f>
        <v>0</v>
      </c>
      <c r="K26" s="279">
        <f>SUM('Pro Forma Adj'!T32:Y32)</f>
        <v>0</v>
      </c>
    </row>
    <row r="27" spans="1:11">
      <c r="A27" s="278">
        <v>23</v>
      </c>
      <c r="B27" s="278" t="s">
        <v>314</v>
      </c>
      <c r="C27" s="279">
        <f>C80</f>
        <v>-11461182.141896818</v>
      </c>
      <c r="D27" s="279">
        <f>D80</f>
        <v>4334782.3539421251</v>
      </c>
      <c r="E27" s="279">
        <f t="shared" ref="E27:K27" si="4">E80</f>
        <v>-192084.06039049852</v>
      </c>
      <c r="F27" s="279">
        <f t="shared" si="4"/>
        <v>412499.27837691235</v>
      </c>
      <c r="G27" s="279">
        <f t="shared" si="4"/>
        <v>0</v>
      </c>
      <c r="H27" s="279">
        <f t="shared" si="4"/>
        <v>-5488720.4775997903</v>
      </c>
      <c r="I27" s="279">
        <f t="shared" si="4"/>
        <v>-45625.120341806294</v>
      </c>
      <c r="J27" s="279">
        <f t="shared" si="4"/>
        <v>0</v>
      </c>
      <c r="K27" s="279">
        <f t="shared" si="4"/>
        <v>-10482034.11588376</v>
      </c>
    </row>
    <row r="28" spans="1:11">
      <c r="A28" s="278">
        <v>24</v>
      </c>
      <c r="B28" s="278" t="s">
        <v>315</v>
      </c>
      <c r="C28" s="279">
        <f t="shared" si="3"/>
        <v>0</v>
      </c>
      <c r="D28" s="279">
        <v>0</v>
      </c>
      <c r="E28" s="279">
        <f t="shared" ref="E28" si="5">C227</f>
        <v>0</v>
      </c>
      <c r="F28" s="279">
        <f t="shared" ref="F28" si="6">C341</f>
        <v>0</v>
      </c>
      <c r="G28" s="279">
        <f t="shared" ref="G28" si="7">C455</f>
        <v>0</v>
      </c>
      <c r="H28" s="279">
        <f t="shared" ref="H28" si="8">C570</f>
        <v>0</v>
      </c>
      <c r="I28" s="279">
        <f t="shared" ref="I28" si="9">C685</f>
        <v>0</v>
      </c>
      <c r="J28" s="279">
        <f t="shared" ref="J28" si="10">C803</f>
        <v>0</v>
      </c>
      <c r="K28" s="279">
        <f t="shared" ref="K28" si="11">C1152</f>
        <v>0</v>
      </c>
    </row>
    <row r="29" spans="1:11">
      <c r="A29" s="278">
        <v>25</v>
      </c>
      <c r="B29" s="278" t="s">
        <v>316</v>
      </c>
      <c r="C29" s="279">
        <f t="shared" si="3"/>
        <v>-417013.79217773164</v>
      </c>
      <c r="D29" s="279">
        <f>SUM('Pro Forma Adj'!C35:D35)</f>
        <v>0</v>
      </c>
      <c r="E29" s="279">
        <f>SUM('Pro Forma Adj'!E35:G35)</f>
        <v>602865.95216914499</v>
      </c>
      <c r="F29" s="279">
        <f>SUM('Pro Forma Adj'!H35:I35)</f>
        <v>0</v>
      </c>
      <c r="G29" s="279">
        <f>SUM('Pro Forma Adj'!J35)</f>
        <v>0</v>
      </c>
      <c r="H29" s="279">
        <f>SUM('Pro Forma Adj'!K35:N35)</f>
        <v>0</v>
      </c>
      <c r="I29" s="279">
        <f>SUM('Pro Forma Adj'!O35:Q35)</f>
        <v>-1019879.7443468766</v>
      </c>
      <c r="J29" s="279">
        <f>SUM('Pro Forma Adj'!R35:S35)</f>
        <v>0</v>
      </c>
      <c r="K29" s="279">
        <f>SUM('Pro Forma Adj'!T35:Y35)</f>
        <v>0</v>
      </c>
    </row>
    <row r="30" spans="1:11">
      <c r="A30" s="278">
        <v>26</v>
      </c>
      <c r="B30" s="278" t="s">
        <v>89</v>
      </c>
      <c r="C30" s="279">
        <f t="shared" si="3"/>
        <v>0</v>
      </c>
      <c r="D30" s="279">
        <f>SUM('Pro Forma Adj'!C36:D36)</f>
        <v>0</v>
      </c>
      <c r="E30" s="279">
        <f>SUM('Pro Forma Adj'!E36:G36)</f>
        <v>0</v>
      </c>
      <c r="F30" s="279">
        <f>SUM('Pro Forma Adj'!H36:I36)</f>
        <v>0</v>
      </c>
      <c r="G30" s="279">
        <f>SUM('Pro Forma Adj'!J36)</f>
        <v>0</v>
      </c>
      <c r="H30" s="279">
        <f>SUM('Pro Forma Adj'!K36:N36)</f>
        <v>0</v>
      </c>
      <c r="I30" s="279">
        <f>SUM('Pro Forma Adj'!O36:Q36)</f>
        <v>0</v>
      </c>
      <c r="J30" s="279">
        <f>SUM('Pro Forma Adj'!R36:S36)</f>
        <v>0</v>
      </c>
      <c r="K30" s="279">
        <f>SUM('Pro Forma Adj'!T36:Y36)</f>
        <v>0</v>
      </c>
    </row>
    <row r="31" spans="1:11">
      <c r="A31" s="278">
        <v>27</v>
      </c>
      <c r="B31" s="278" t="s">
        <v>90</v>
      </c>
      <c r="C31" s="279">
        <f t="shared" si="3"/>
        <v>1497.2637677959865</v>
      </c>
      <c r="D31" s="279">
        <f>SUM('Pro Forma Adj'!C37:D37)</f>
        <v>0</v>
      </c>
      <c r="E31" s="279">
        <f>SUM('Pro Forma Adj'!E37:G37)</f>
        <v>0</v>
      </c>
      <c r="F31" s="279">
        <f>SUM('Pro Forma Adj'!H37:I37)</f>
        <v>0</v>
      </c>
      <c r="G31" s="279">
        <f>SUM('Pro Forma Adj'!J37)</f>
        <v>0</v>
      </c>
      <c r="H31" s="279">
        <f>SUM('Pro Forma Adj'!K37:N37)</f>
        <v>0</v>
      </c>
      <c r="I31" s="279">
        <f>SUM('Pro Forma Adj'!O37:Q37)</f>
        <v>0</v>
      </c>
      <c r="J31" s="279">
        <f>SUM('Pro Forma Adj'!R37:S37)</f>
        <v>0</v>
      </c>
      <c r="K31" s="279">
        <f>SUM('Pro Forma Adj'!T37:Y37)</f>
        <v>1497.2637677959865</v>
      </c>
    </row>
    <row r="32" spans="1:11">
      <c r="A32" s="278">
        <v>28</v>
      </c>
      <c r="B32" s="283" t="s">
        <v>91</v>
      </c>
      <c r="C32" s="284">
        <f>SUM(C23:C31)</f>
        <v>-25273990.638588373</v>
      </c>
      <c r="D32" s="284">
        <f t="shared" ref="D32:J32" si="12">SUM(D23:D31)</f>
        <v>4334782.3539421251</v>
      </c>
      <c r="E32" s="284">
        <f t="shared" si="12"/>
        <v>-628943.36569336196</v>
      </c>
      <c r="F32" s="284">
        <f t="shared" si="12"/>
        <v>412499.27837691235</v>
      </c>
      <c r="G32" s="284">
        <f t="shared" si="12"/>
        <v>0</v>
      </c>
      <c r="H32" s="284">
        <f t="shared" si="12"/>
        <v>-5917337.0175997904</v>
      </c>
      <c r="I32" s="284">
        <f t="shared" si="12"/>
        <v>-1247793.844875498</v>
      </c>
      <c r="J32" s="284">
        <f t="shared" si="12"/>
        <v>0</v>
      </c>
      <c r="K32" s="284">
        <f>SUM(K23:K31)</f>
        <v>-22227198.042738758</v>
      </c>
    </row>
    <row r="33" spans="1:11">
      <c r="A33" s="278">
        <v>29</v>
      </c>
      <c r="B33" s="278"/>
    </row>
    <row r="34" spans="1:11" ht="15.75" thickBot="1">
      <c r="A34" s="278">
        <v>30</v>
      </c>
      <c r="B34" s="278" t="s">
        <v>92</v>
      </c>
      <c r="C34" s="285">
        <f>C10-C32</f>
        <v>-5604726.0659748167</v>
      </c>
      <c r="D34" s="285">
        <f t="shared" ref="D34:J34" si="13">D10-D32</f>
        <v>8050310.0858925199</v>
      </c>
      <c r="E34" s="285">
        <f t="shared" si="13"/>
        <v>628943.36569336196</v>
      </c>
      <c r="F34" s="285">
        <f t="shared" si="13"/>
        <v>766070.08841426589</v>
      </c>
      <c r="G34" s="285">
        <f t="shared" si="13"/>
        <v>0</v>
      </c>
      <c r="H34" s="285">
        <f t="shared" si="13"/>
        <v>5917337.0175997904</v>
      </c>
      <c r="I34" s="285">
        <f t="shared" si="13"/>
        <v>-1752206.155124502</v>
      </c>
      <c r="J34" s="285">
        <f t="shared" si="13"/>
        <v>0</v>
      </c>
      <c r="K34" s="285">
        <f>K10-K32</f>
        <v>-19215180.468450256</v>
      </c>
    </row>
    <row r="35" spans="1:11" ht="15.75" thickTop="1">
      <c r="A35" s="278">
        <v>31</v>
      </c>
      <c r="B35" s="278"/>
    </row>
    <row r="36" spans="1:11">
      <c r="A36" s="278">
        <v>32</v>
      </c>
      <c r="B36" s="278" t="s">
        <v>93</v>
      </c>
    </row>
    <row r="37" spans="1:11">
      <c r="A37" s="278">
        <v>33</v>
      </c>
      <c r="B37" s="278" t="s">
        <v>94</v>
      </c>
      <c r="C37" s="279">
        <f t="shared" ref="C37:C47" si="14">SUM(D37:K37)</f>
        <v>-1161847.3348459222</v>
      </c>
      <c r="D37" s="279">
        <f>SUM('Pro Forma Adj'!C43:D43)</f>
        <v>0</v>
      </c>
      <c r="E37" s="279">
        <f>SUM('Pro Forma Adj'!E43:G43)</f>
        <v>0</v>
      </c>
      <c r="F37" s="279">
        <f>SUM('Pro Forma Adj'!H43:I43)</f>
        <v>0</v>
      </c>
      <c r="G37" s="279">
        <f>SUM('Pro Forma Adj'!J43)</f>
        <v>0</v>
      </c>
      <c r="H37" s="279">
        <f>SUM('Pro Forma Adj'!K43:N43)</f>
        <v>0</v>
      </c>
      <c r="I37" s="279">
        <f>SUM('Pro Forma Adj'!O43:Q43)</f>
        <v>0</v>
      </c>
      <c r="J37" s="279">
        <f>SUM('Pro Forma Adj'!R43:S43)</f>
        <v>0</v>
      </c>
      <c r="K37" s="279">
        <f>SUM('Pro Forma Adj'!T43:Y43)</f>
        <v>-1161847.3348459222</v>
      </c>
    </row>
    <row r="38" spans="1:11">
      <c r="A38" s="278">
        <v>34</v>
      </c>
      <c r="B38" s="278" t="s">
        <v>95</v>
      </c>
      <c r="C38" s="279">
        <f t="shared" si="14"/>
        <v>0</v>
      </c>
      <c r="D38" s="279">
        <f>SUM('Pro Forma Adj'!C44:D44)</f>
        <v>0</v>
      </c>
      <c r="E38" s="279">
        <f>SUM('Pro Forma Adj'!E44:G44)</f>
        <v>0</v>
      </c>
      <c r="F38" s="279">
        <f>SUM('Pro Forma Adj'!H44:I44)</f>
        <v>0</v>
      </c>
      <c r="G38" s="279">
        <f>SUM('Pro Forma Adj'!J44)</f>
        <v>0</v>
      </c>
      <c r="H38" s="279">
        <f>SUM('Pro Forma Adj'!K44:N44)</f>
        <v>0</v>
      </c>
      <c r="I38" s="279">
        <f>SUM('Pro Forma Adj'!O44:Q44)</f>
        <v>0</v>
      </c>
      <c r="J38" s="279">
        <f>SUM('Pro Forma Adj'!R44:S44)</f>
        <v>0</v>
      </c>
      <c r="K38" s="279">
        <f>SUM('Pro Forma Adj'!T44:Y44)</f>
        <v>0</v>
      </c>
    </row>
    <row r="39" spans="1:11">
      <c r="A39" s="278">
        <v>35</v>
      </c>
      <c r="B39" s="278" t="s">
        <v>96</v>
      </c>
      <c r="C39" s="279">
        <f t="shared" si="14"/>
        <v>15188002.091061195</v>
      </c>
      <c r="D39" s="279">
        <f>SUM('Pro Forma Adj'!C45:D45)</f>
        <v>0</v>
      </c>
      <c r="E39" s="279">
        <f>SUM('Pro Forma Adj'!E45:G45)</f>
        <v>-637047.28166666592</v>
      </c>
      <c r="F39" s="279">
        <f>SUM('Pro Forma Adj'!H45:I45)</f>
        <v>0</v>
      </c>
      <c r="G39" s="279">
        <f>SUM('Pro Forma Adj'!J45)</f>
        <v>0</v>
      </c>
      <c r="H39" s="279">
        <f>SUM('Pro Forma Adj'!K45:N45)</f>
        <v>0</v>
      </c>
      <c r="I39" s="279">
        <f>SUM('Pro Forma Adj'!O45:Q45)</f>
        <v>15825958.38027703</v>
      </c>
      <c r="J39" s="279">
        <f>SUM('Pro Forma Adj'!R45:S45)</f>
        <v>0</v>
      </c>
      <c r="K39" s="279">
        <f>SUM('Pro Forma Adj'!T45:Y45)</f>
        <v>-909.0075491683674</v>
      </c>
    </row>
    <row r="40" spans="1:11">
      <c r="A40" s="278">
        <v>36</v>
      </c>
      <c r="B40" s="278" t="s">
        <v>97</v>
      </c>
      <c r="C40" s="279">
        <f t="shared" si="14"/>
        <v>0</v>
      </c>
      <c r="D40" s="279">
        <f>SUM('Pro Forma Adj'!C46:D46)</f>
        <v>0</v>
      </c>
      <c r="E40" s="279">
        <f>SUM('Pro Forma Adj'!E46:G46)</f>
        <v>0</v>
      </c>
      <c r="F40" s="279">
        <f>SUM('Pro Forma Adj'!H46:I46)</f>
        <v>0</v>
      </c>
      <c r="G40" s="279">
        <f>SUM('Pro Forma Adj'!J46)</f>
        <v>0</v>
      </c>
      <c r="H40" s="279">
        <f>SUM('Pro Forma Adj'!K46:N46)</f>
        <v>0</v>
      </c>
      <c r="I40" s="279">
        <f>SUM('Pro Forma Adj'!O46:Q46)</f>
        <v>0</v>
      </c>
      <c r="J40" s="279">
        <f>SUM('Pro Forma Adj'!R46:S46)</f>
        <v>0</v>
      </c>
      <c r="K40" s="279">
        <f>SUM('Pro Forma Adj'!T46:Y46)</f>
        <v>0</v>
      </c>
    </row>
    <row r="41" spans="1:11">
      <c r="A41" s="278">
        <v>37</v>
      </c>
      <c r="B41" s="278" t="s">
        <v>98</v>
      </c>
      <c r="C41" s="279">
        <f t="shared" si="14"/>
        <v>0</v>
      </c>
      <c r="D41" s="279">
        <f>SUM('Pro Forma Adj'!C47:D47)</f>
        <v>0</v>
      </c>
      <c r="E41" s="279">
        <f>SUM('Pro Forma Adj'!E47:G47)</f>
        <v>0</v>
      </c>
      <c r="F41" s="279">
        <f>SUM('Pro Forma Adj'!H47:I47)</f>
        <v>0</v>
      </c>
      <c r="G41" s="279">
        <f>SUM('Pro Forma Adj'!J47)</f>
        <v>0</v>
      </c>
      <c r="H41" s="279">
        <f>SUM('Pro Forma Adj'!K47:N47)</f>
        <v>0</v>
      </c>
      <c r="I41" s="279">
        <f>SUM('Pro Forma Adj'!O47:Q47)</f>
        <v>0</v>
      </c>
      <c r="J41" s="279">
        <f>SUM('Pro Forma Adj'!R47:S47)</f>
        <v>0</v>
      </c>
      <c r="K41" s="279">
        <f>SUM('Pro Forma Adj'!T47:Y47)</f>
        <v>0</v>
      </c>
    </row>
    <row r="42" spans="1:11">
      <c r="A42" s="278">
        <v>38</v>
      </c>
      <c r="B42" s="278" t="s">
        <v>99</v>
      </c>
      <c r="C42" s="279">
        <f t="shared" si="14"/>
        <v>0</v>
      </c>
      <c r="D42" s="279">
        <f>SUM('Pro Forma Adj'!C48:D48)</f>
        <v>0</v>
      </c>
      <c r="E42" s="279">
        <f>SUM('Pro Forma Adj'!E48:G48)</f>
        <v>0</v>
      </c>
      <c r="F42" s="279">
        <f>SUM('Pro Forma Adj'!H48:I48)</f>
        <v>0</v>
      </c>
      <c r="G42" s="279">
        <f>SUM('Pro Forma Adj'!J48)</f>
        <v>0</v>
      </c>
      <c r="H42" s="279">
        <f>SUM('Pro Forma Adj'!K48:N48)</f>
        <v>0</v>
      </c>
      <c r="I42" s="279">
        <f>SUM('Pro Forma Adj'!O48:Q48)</f>
        <v>0</v>
      </c>
      <c r="J42" s="279">
        <f>SUM('Pro Forma Adj'!R48:S48)</f>
        <v>0</v>
      </c>
      <c r="K42" s="279">
        <f>SUM('Pro Forma Adj'!T48:Y48)</f>
        <v>0</v>
      </c>
    </row>
    <row r="43" spans="1:11">
      <c r="A43" s="278">
        <v>39</v>
      </c>
      <c r="B43" s="278" t="s">
        <v>100</v>
      </c>
      <c r="C43" s="279">
        <f t="shared" si="14"/>
        <v>-3595.335989266634</v>
      </c>
      <c r="D43" s="279">
        <f>SUM('Pro Forma Adj'!C49:D49)</f>
        <v>0</v>
      </c>
      <c r="E43" s="279">
        <f>SUM('Pro Forma Adj'!E49:G49)</f>
        <v>0</v>
      </c>
      <c r="F43" s="279">
        <f>SUM('Pro Forma Adj'!H49:I49)</f>
        <v>0</v>
      </c>
      <c r="G43" s="279">
        <f>SUM('Pro Forma Adj'!J49)</f>
        <v>0</v>
      </c>
      <c r="H43" s="279">
        <f>SUM('Pro Forma Adj'!K49:N49)</f>
        <v>0</v>
      </c>
      <c r="I43" s="279">
        <f>SUM('Pro Forma Adj'!O49:Q49)</f>
        <v>0</v>
      </c>
      <c r="J43" s="279">
        <f>SUM('Pro Forma Adj'!R49:S49)</f>
        <v>0</v>
      </c>
      <c r="K43" s="279">
        <f>SUM('Pro Forma Adj'!T49:Y49)</f>
        <v>-3595.335989266634</v>
      </c>
    </row>
    <row r="44" spans="1:11">
      <c r="A44" s="278">
        <v>40</v>
      </c>
      <c r="B44" s="278" t="s">
        <v>101</v>
      </c>
      <c r="C44" s="279">
        <f t="shared" si="14"/>
        <v>-3545.2505568028428</v>
      </c>
      <c r="D44" s="279">
        <f>SUM('Pro Forma Adj'!C50:D50)</f>
        <v>0</v>
      </c>
      <c r="E44" s="279">
        <f>SUM('Pro Forma Adj'!E50:G50)</f>
        <v>0</v>
      </c>
      <c r="F44" s="279">
        <f>SUM('Pro Forma Adj'!H50:I50)</f>
        <v>0</v>
      </c>
      <c r="G44" s="279">
        <f>SUM('Pro Forma Adj'!J50)</f>
        <v>0</v>
      </c>
      <c r="H44" s="279">
        <f>SUM('Pro Forma Adj'!K50:N50)</f>
        <v>0</v>
      </c>
      <c r="I44" s="279">
        <f>SUM('Pro Forma Adj'!O50:Q50)</f>
        <v>0</v>
      </c>
      <c r="J44" s="279">
        <f>SUM('Pro Forma Adj'!R50:S50)</f>
        <v>0</v>
      </c>
      <c r="K44" s="279">
        <f>SUM('Pro Forma Adj'!T50:Y50)</f>
        <v>-3545.2505568028428</v>
      </c>
    </row>
    <row r="45" spans="1:11">
      <c r="A45" s="278">
        <v>41</v>
      </c>
      <c r="B45" s="278" t="s">
        <v>102</v>
      </c>
      <c r="C45" s="279">
        <f t="shared" si="14"/>
        <v>364275.90369573049</v>
      </c>
      <c r="D45" s="279">
        <f>SUM('Pro Forma Adj'!C51:D51)</f>
        <v>0</v>
      </c>
      <c r="E45" s="279">
        <f>SUM('Pro Forma Adj'!E51:G51)</f>
        <v>0</v>
      </c>
      <c r="F45" s="279">
        <f>SUM('Pro Forma Adj'!H51:I51)</f>
        <v>0</v>
      </c>
      <c r="G45" s="279">
        <f>SUM('Pro Forma Adj'!J51)</f>
        <v>0</v>
      </c>
      <c r="H45" s="279">
        <f>SUM('Pro Forma Adj'!K51:N51)</f>
        <v>0</v>
      </c>
      <c r="I45" s="279">
        <f>SUM('Pro Forma Adj'!O51:Q51)</f>
        <v>0</v>
      </c>
      <c r="J45" s="279">
        <f>SUM('Pro Forma Adj'!R51:S51)</f>
        <v>0</v>
      </c>
      <c r="K45" s="279">
        <f>SUM('Pro Forma Adj'!T51:Y51)</f>
        <v>364275.90369573049</v>
      </c>
    </row>
    <row r="46" spans="1:11">
      <c r="A46" s="278">
        <v>42</v>
      </c>
      <c r="B46" s="278" t="s">
        <v>317</v>
      </c>
      <c r="C46" s="279">
        <f t="shared" si="14"/>
        <v>0</v>
      </c>
      <c r="D46" s="279">
        <f>SUM('Pro Forma Adj'!C52:D52)</f>
        <v>0</v>
      </c>
      <c r="E46" s="279">
        <f>SUM('Pro Forma Adj'!E52:G52)</f>
        <v>0</v>
      </c>
      <c r="F46" s="279">
        <f>SUM('Pro Forma Adj'!H52:I52)</f>
        <v>0</v>
      </c>
      <c r="G46" s="279">
        <f>SUM('Pro Forma Adj'!J52)</f>
        <v>0</v>
      </c>
      <c r="H46" s="279">
        <f>SUM('Pro Forma Adj'!K52:N52)</f>
        <v>0</v>
      </c>
      <c r="I46" s="279">
        <f>SUM('Pro Forma Adj'!O52:Q52)</f>
        <v>0</v>
      </c>
      <c r="J46" s="279">
        <f>SUM('Pro Forma Adj'!R52:S52)</f>
        <v>0</v>
      </c>
      <c r="K46" s="279">
        <f>SUM('Pro Forma Adj'!T52:Y52)</f>
        <v>0</v>
      </c>
    </row>
    <row r="47" spans="1:11">
      <c r="A47" s="278">
        <v>43</v>
      </c>
      <c r="B47" s="278" t="s">
        <v>104</v>
      </c>
      <c r="C47" s="279">
        <f t="shared" si="14"/>
        <v>0</v>
      </c>
      <c r="D47" s="281">
        <f>SUM('Pro Forma Adj'!C53:D53)</f>
        <v>0</v>
      </c>
      <c r="E47" s="279">
        <f>SUM('Pro Forma Adj'!E53:G53)</f>
        <v>0</v>
      </c>
      <c r="F47" s="279">
        <f>SUM('Pro Forma Adj'!H53:I53)</f>
        <v>0</v>
      </c>
      <c r="G47" s="279">
        <f>SUM('Pro Forma Adj'!J53)</f>
        <v>0</v>
      </c>
      <c r="H47" s="279">
        <f>SUM('Pro Forma Adj'!K53:N53)</f>
        <v>0</v>
      </c>
      <c r="I47" s="279">
        <f>SUM('Pro Forma Adj'!O53:Q53)</f>
        <v>0</v>
      </c>
      <c r="J47" s="279">
        <f>SUM('Pro Forma Adj'!R53:S53)</f>
        <v>0</v>
      </c>
      <c r="K47" s="279">
        <f>SUM('Pro Forma Adj'!T53:Y53)</f>
        <v>0</v>
      </c>
    </row>
    <row r="48" spans="1:11">
      <c r="A48" s="278">
        <v>44</v>
      </c>
      <c r="B48" s="278" t="s">
        <v>105</v>
      </c>
      <c r="C48" s="284">
        <f>SUM(C37:C47)</f>
        <v>14383290.073364934</v>
      </c>
      <c r="D48" s="284">
        <f t="shared" ref="D48:J48" si="15">SUM(D37:D47)</f>
        <v>0</v>
      </c>
      <c r="E48" s="284">
        <f t="shared" si="15"/>
        <v>-637047.28166666592</v>
      </c>
      <c r="F48" s="284">
        <f t="shared" si="15"/>
        <v>0</v>
      </c>
      <c r="G48" s="284">
        <f t="shared" si="15"/>
        <v>0</v>
      </c>
      <c r="H48" s="284">
        <f t="shared" si="15"/>
        <v>0</v>
      </c>
      <c r="I48" s="284">
        <f t="shared" si="15"/>
        <v>15825958.38027703</v>
      </c>
      <c r="J48" s="284">
        <f t="shared" si="15"/>
        <v>0</v>
      </c>
      <c r="K48" s="284">
        <f>SUM(K37:K47)</f>
        <v>-805621.02524542948</v>
      </c>
    </row>
    <row r="49" spans="1:11">
      <c r="A49" s="278">
        <v>45</v>
      </c>
      <c r="B49" s="278"/>
    </row>
    <row r="50" spans="1:11">
      <c r="A50" s="278">
        <v>46</v>
      </c>
      <c r="B50" s="278" t="s">
        <v>318</v>
      </c>
    </row>
    <row r="51" spans="1:11">
      <c r="A51" s="278">
        <v>47</v>
      </c>
      <c r="B51" s="278" t="s">
        <v>107</v>
      </c>
      <c r="C51" s="279">
        <f t="shared" ref="C51:C57" si="16">SUM(D51:K51)</f>
        <v>123289.41095568537</v>
      </c>
      <c r="D51" s="279">
        <f>SUM('Pro Forma Adj'!C57:D57)</f>
        <v>0</v>
      </c>
      <c r="E51" s="279">
        <f>SUM('Pro Forma Adj'!E57:G57)</f>
        <v>0</v>
      </c>
      <c r="F51" s="279">
        <f>SUM('Pro Forma Adj'!H57:I57)</f>
        <v>0</v>
      </c>
      <c r="G51" s="279">
        <f>SUM('Pro Forma Adj'!J57)</f>
        <v>-256078.4788596172</v>
      </c>
      <c r="H51" s="279">
        <f>SUM('Pro Forma Adj'!K57:N57)</f>
        <v>0</v>
      </c>
      <c r="I51" s="279">
        <f>SUM('Pro Forma Adj'!O57:Q57)</f>
        <v>0</v>
      </c>
      <c r="J51" s="279">
        <f>SUM('Pro Forma Adj'!R57:S57)</f>
        <v>0</v>
      </c>
      <c r="K51" s="279">
        <f>SUM('Pro Forma Adj'!T57:Y57)</f>
        <v>379367.88981530257</v>
      </c>
    </row>
    <row r="52" spans="1:11">
      <c r="A52" s="278">
        <v>48</v>
      </c>
      <c r="B52" s="278" t="s">
        <v>108</v>
      </c>
      <c r="C52" s="279">
        <f t="shared" si="16"/>
        <v>0</v>
      </c>
      <c r="D52" s="279">
        <f>SUM('Pro Forma Adj'!C58:D58)</f>
        <v>0</v>
      </c>
      <c r="E52" s="279">
        <f>SUM('Pro Forma Adj'!E58:G58)</f>
        <v>0</v>
      </c>
      <c r="F52" s="279">
        <f>SUM('Pro Forma Adj'!H58:I58)</f>
        <v>0</v>
      </c>
      <c r="G52" s="279">
        <f>SUM('Pro Forma Adj'!J58)</f>
        <v>0</v>
      </c>
      <c r="H52" s="279">
        <f>SUM('Pro Forma Adj'!K58:N58)</f>
        <v>0</v>
      </c>
      <c r="I52" s="279">
        <f>SUM('Pro Forma Adj'!O58:Q58)</f>
        <v>0</v>
      </c>
      <c r="J52" s="279">
        <f>SUM('Pro Forma Adj'!R58:S58)</f>
        <v>0</v>
      </c>
      <c r="K52" s="279">
        <f>SUM('Pro Forma Adj'!T58:Y58)</f>
        <v>0</v>
      </c>
    </row>
    <row r="53" spans="1:11">
      <c r="A53" s="278">
        <v>49</v>
      </c>
      <c r="B53" s="278" t="s">
        <v>109</v>
      </c>
      <c r="C53" s="279">
        <f t="shared" si="16"/>
        <v>-5544377.6454294352</v>
      </c>
      <c r="D53" s="279">
        <f>SUM('Pro Forma Adj'!C59:D59)</f>
        <v>0</v>
      </c>
      <c r="E53" s="279">
        <f>SUM('Pro Forma Adj'!E59:G59)</f>
        <v>330671.29965366772</v>
      </c>
      <c r="F53" s="279">
        <f>SUM('Pro Forma Adj'!H59:I59)</f>
        <v>0</v>
      </c>
      <c r="G53" s="279">
        <f>SUM('Pro Forma Adj'!J59)</f>
        <v>0</v>
      </c>
      <c r="H53" s="279">
        <f>SUM('Pro Forma Adj'!K59:N59)</f>
        <v>0</v>
      </c>
      <c r="I53" s="279">
        <f>SUM('Pro Forma Adj'!O59:Q59)</f>
        <v>-5875048.9450831031</v>
      </c>
      <c r="J53" s="279">
        <f>SUM('Pro Forma Adj'!R59:S59)</f>
        <v>0</v>
      </c>
      <c r="K53" s="279">
        <f>SUM('Pro Forma Adj'!T59:Y59)</f>
        <v>0</v>
      </c>
    </row>
    <row r="54" spans="1:11">
      <c r="A54" s="278">
        <v>50</v>
      </c>
      <c r="B54" s="278" t="s">
        <v>110</v>
      </c>
      <c r="C54" s="279">
        <f t="shared" si="16"/>
        <v>0</v>
      </c>
      <c r="D54" s="279">
        <f>SUM('Pro Forma Adj'!C60:D60)</f>
        <v>0</v>
      </c>
      <c r="E54" s="279">
        <f>SUM('Pro Forma Adj'!E60:G60)</f>
        <v>0</v>
      </c>
      <c r="F54" s="279">
        <f>SUM('Pro Forma Adj'!H60:I60)</f>
        <v>0</v>
      </c>
      <c r="G54" s="279">
        <f>SUM('Pro Forma Adj'!J60)</f>
        <v>0</v>
      </c>
      <c r="H54" s="279">
        <f>SUM('Pro Forma Adj'!K60:N60)</f>
        <v>0</v>
      </c>
      <c r="I54" s="279">
        <f>SUM('Pro Forma Adj'!O60:Q60)</f>
        <v>0</v>
      </c>
      <c r="J54" s="279">
        <f>SUM('Pro Forma Adj'!R60:S60)</f>
        <v>0</v>
      </c>
      <c r="K54" s="279">
        <f>SUM('Pro Forma Adj'!T60:Y60)</f>
        <v>0</v>
      </c>
    </row>
    <row r="55" spans="1:11">
      <c r="A55" s="278">
        <v>51</v>
      </c>
      <c r="B55" s="278" t="s">
        <v>111</v>
      </c>
      <c r="C55" s="279">
        <f t="shared" si="16"/>
        <v>0</v>
      </c>
      <c r="D55" s="279">
        <f>SUM('Pro Forma Adj'!C61:D61)</f>
        <v>0</v>
      </c>
      <c r="E55" s="279">
        <f>SUM('Pro Forma Adj'!E61:G61)</f>
        <v>0</v>
      </c>
      <c r="F55" s="279">
        <f>SUM('Pro Forma Adj'!H61:I61)</f>
        <v>0</v>
      </c>
      <c r="G55" s="279">
        <f>SUM('Pro Forma Adj'!J61)</f>
        <v>0</v>
      </c>
      <c r="H55" s="279">
        <f>SUM('Pro Forma Adj'!K61:N61)</f>
        <v>0</v>
      </c>
      <c r="I55" s="279">
        <f>SUM('Pro Forma Adj'!O61:Q61)</f>
        <v>0</v>
      </c>
      <c r="J55" s="279">
        <f>SUM('Pro Forma Adj'!R61:S61)</f>
        <v>0</v>
      </c>
      <c r="K55" s="279">
        <f>SUM('Pro Forma Adj'!T61:Y61)</f>
        <v>0</v>
      </c>
    </row>
    <row r="56" spans="1:11">
      <c r="A56" s="278">
        <v>52</v>
      </c>
      <c r="B56" s="278" t="s">
        <v>112</v>
      </c>
      <c r="C56" s="279">
        <f t="shared" si="16"/>
        <v>0</v>
      </c>
      <c r="D56" s="279">
        <f>SUM('Pro Forma Adj'!C62:D62)</f>
        <v>0</v>
      </c>
      <c r="E56" s="279">
        <f>SUM('Pro Forma Adj'!E62:G62)</f>
        <v>0</v>
      </c>
      <c r="F56" s="279">
        <f>SUM('Pro Forma Adj'!H62:I62)</f>
        <v>0</v>
      </c>
      <c r="G56" s="279">
        <f>SUM('Pro Forma Adj'!J62)</f>
        <v>0</v>
      </c>
      <c r="H56" s="279">
        <f>SUM('Pro Forma Adj'!K62:N62)</f>
        <v>0</v>
      </c>
      <c r="I56" s="279">
        <f>SUM('Pro Forma Adj'!O62:Q62)</f>
        <v>0</v>
      </c>
      <c r="J56" s="279">
        <f>SUM('Pro Forma Adj'!R62:S62)</f>
        <v>0</v>
      </c>
      <c r="K56" s="279">
        <f>SUM('Pro Forma Adj'!T62:Y62)</f>
        <v>0</v>
      </c>
    </row>
    <row r="57" spans="1:11">
      <c r="A57" s="278">
        <v>53</v>
      </c>
      <c r="B57" s="278" t="s">
        <v>319</v>
      </c>
      <c r="C57" s="279">
        <f t="shared" si="16"/>
        <v>6650.0176601060666</v>
      </c>
      <c r="D57" s="279">
        <f>SUM('Pro Forma Adj'!C63:D63)</f>
        <v>0</v>
      </c>
      <c r="E57" s="279">
        <f>SUM('Pro Forma Adj'!E63:G63)</f>
        <v>0</v>
      </c>
      <c r="F57" s="279">
        <f>SUM('Pro Forma Adj'!H63:I63)</f>
        <v>0</v>
      </c>
      <c r="G57" s="279">
        <f>SUM('Pro Forma Adj'!J63)</f>
        <v>0</v>
      </c>
      <c r="H57" s="279">
        <f>SUM('Pro Forma Adj'!K63:N63)</f>
        <v>0</v>
      </c>
      <c r="I57" s="279">
        <f>SUM('Pro Forma Adj'!O63:Q63)</f>
        <v>0</v>
      </c>
      <c r="J57" s="279">
        <f>SUM('Pro Forma Adj'!R63:S63)</f>
        <v>0</v>
      </c>
      <c r="K57" s="279">
        <f>SUM('Pro Forma Adj'!T63:Y63)</f>
        <v>6650.0176601060666</v>
      </c>
    </row>
    <row r="58" spans="1:11">
      <c r="A58" s="278">
        <v>54</v>
      </c>
      <c r="B58" s="278"/>
      <c r="F58" s="279"/>
      <c r="G58" s="279"/>
    </row>
    <row r="59" spans="1:11">
      <c r="A59" s="278">
        <v>55</v>
      </c>
      <c r="B59" s="278" t="s">
        <v>320</v>
      </c>
      <c r="C59" s="284">
        <f>SUM(C51:C58)</f>
        <v>-5414438.2168136444</v>
      </c>
      <c r="D59" s="284">
        <f t="shared" ref="D59:J59" si="17">SUM(D51:D58)</f>
        <v>0</v>
      </c>
      <c r="E59" s="284">
        <f t="shared" si="17"/>
        <v>330671.29965366772</v>
      </c>
      <c r="F59" s="284">
        <f t="shared" si="17"/>
        <v>0</v>
      </c>
      <c r="G59" s="284">
        <f t="shared" si="17"/>
        <v>-256078.4788596172</v>
      </c>
      <c r="H59" s="284">
        <f t="shared" si="17"/>
        <v>0</v>
      </c>
      <c r="I59" s="284">
        <f t="shared" si="17"/>
        <v>-5875048.9450831031</v>
      </c>
      <c r="J59" s="284">
        <f t="shared" si="17"/>
        <v>0</v>
      </c>
      <c r="K59" s="284">
        <f>SUM(K51:K58)</f>
        <v>386017.90747540863</v>
      </c>
    </row>
    <row r="60" spans="1:11">
      <c r="A60" s="278">
        <v>56</v>
      </c>
      <c r="B60" s="278"/>
    </row>
    <row r="61" spans="1:11" ht="15.75" thickBot="1">
      <c r="A61" s="278">
        <v>57</v>
      </c>
      <c r="B61" s="278" t="s">
        <v>115</v>
      </c>
      <c r="C61" s="285">
        <f>C48+C59</f>
        <v>8968851.8565512896</v>
      </c>
      <c r="D61" s="285">
        <f t="shared" ref="D61:J61" si="18">D48+D59</f>
        <v>0</v>
      </c>
      <c r="E61" s="285">
        <f t="shared" si="18"/>
        <v>-306375.9820129982</v>
      </c>
      <c r="F61" s="285">
        <f t="shared" si="18"/>
        <v>0</v>
      </c>
      <c r="G61" s="285">
        <f t="shared" si="18"/>
        <v>-256078.4788596172</v>
      </c>
      <c r="H61" s="285">
        <f t="shared" si="18"/>
        <v>0</v>
      </c>
      <c r="I61" s="285">
        <f t="shared" si="18"/>
        <v>9950909.4351939261</v>
      </c>
      <c r="J61" s="285">
        <f t="shared" si="18"/>
        <v>0</v>
      </c>
      <c r="K61" s="285">
        <f>K48+K59</f>
        <v>-419603.11777002085</v>
      </c>
    </row>
    <row r="62" spans="1:11" ht="15.75" thickTop="1">
      <c r="A62" s="278">
        <v>58</v>
      </c>
      <c r="B62" s="278"/>
    </row>
    <row r="63" spans="1:11">
      <c r="A63" s="278">
        <v>59</v>
      </c>
      <c r="B63" s="286" t="s">
        <v>321</v>
      </c>
      <c r="C63" s="287">
        <f t="shared" ref="C63:K63" si="19">(((C34+Restated_Op_revenue)/(C61+Restated_rate_base))-Weighted_cost_debt-Weighted_cost_pref)/Percent_common-Restated_ROE</f>
        <v>-1.5043942310122169E-2</v>
      </c>
      <c r="D63" s="287">
        <f t="shared" si="19"/>
        <v>2.0168417908385125E-2</v>
      </c>
      <c r="E63" s="287">
        <f t="shared" si="19"/>
        <v>1.6165958048207779E-3</v>
      </c>
      <c r="F63" s="287">
        <f t="shared" si="19"/>
        <v>1.9192331134334703E-3</v>
      </c>
      <c r="G63" s="287">
        <f t="shared" si="19"/>
        <v>3.3661284637408195E-5</v>
      </c>
      <c r="H63" s="287">
        <f t="shared" si="19"/>
        <v>1.4824686826020374E-2</v>
      </c>
      <c r="I63" s="287">
        <f t="shared" si="19"/>
        <v>-5.6243457739012168E-3</v>
      </c>
      <c r="J63" s="287">
        <f t="shared" si="19"/>
        <v>0</v>
      </c>
      <c r="K63" s="287">
        <f t="shared" si="19"/>
        <v>-4.8110946382723695E-2</v>
      </c>
    </row>
    <row r="64" spans="1:11">
      <c r="A64" s="278">
        <v>60</v>
      </c>
      <c r="B64" s="288" t="s">
        <v>62</v>
      </c>
      <c r="C64" s="289">
        <f t="shared" ref="C64:K64" si="20">-(C34-(C61*Overall_ROR))/gross_up_factor</f>
        <v>10248319.530895004</v>
      </c>
      <c r="D64" s="289">
        <f t="shared" si="20"/>
        <v>-12986884.696864748</v>
      </c>
      <c r="E64" s="289">
        <f t="shared" si="20"/>
        <v>-1055841.6509538074</v>
      </c>
      <c r="F64" s="289">
        <f t="shared" si="20"/>
        <v>-1235836.1108831805</v>
      </c>
      <c r="G64" s="289">
        <f t="shared" si="20"/>
        <v>-34453.354095779949</v>
      </c>
      <c r="H64" s="289">
        <f t="shared" si="20"/>
        <v>-9545939.565076774</v>
      </c>
      <c r="I64" s="289">
        <f t="shared" si="20"/>
        <v>4165503.0038389293</v>
      </c>
      <c r="J64" s="289">
        <f t="shared" si="20"/>
        <v>0</v>
      </c>
      <c r="K64" s="289">
        <f t="shared" si="20"/>
        <v>30941771.904930368</v>
      </c>
    </row>
    <row r="65" spans="1:11">
      <c r="A65" s="278">
        <v>61</v>
      </c>
      <c r="B65" s="278"/>
    </row>
    <row r="66" spans="1:11">
      <c r="A66" s="278">
        <v>62</v>
      </c>
      <c r="B66" s="278" t="s">
        <v>117</v>
      </c>
    </row>
    <row r="67" spans="1:11">
      <c r="A67" s="278">
        <v>63</v>
      </c>
      <c r="B67" s="278" t="s">
        <v>118</v>
      </c>
      <c r="C67" s="282">
        <f>SUM(D67:K67)</f>
        <v>-17482922.000049368</v>
      </c>
      <c r="D67" s="282">
        <f t="shared" ref="D67:K67" si="21">D10-D23-D24-D25-D26-D31</f>
        <v>12385092.439834645</v>
      </c>
      <c r="E67" s="282">
        <f t="shared" si="21"/>
        <v>1039725.2574720084</v>
      </c>
      <c r="F67" s="282">
        <f t="shared" si="21"/>
        <v>1178569.3667911782</v>
      </c>
      <c r="G67" s="282">
        <f t="shared" si="21"/>
        <v>0</v>
      </c>
      <c r="H67" s="282">
        <f t="shared" si="21"/>
        <v>428616.54000000004</v>
      </c>
      <c r="I67" s="282">
        <f t="shared" si="21"/>
        <v>-2817711.0198131846</v>
      </c>
      <c r="J67" s="282">
        <f t="shared" si="21"/>
        <v>0</v>
      </c>
      <c r="K67" s="282">
        <f t="shared" si="21"/>
        <v>-29697214.584334016</v>
      </c>
    </row>
    <row r="68" spans="1:11">
      <c r="A68" s="278">
        <v>64</v>
      </c>
      <c r="B68" s="278" t="s">
        <v>119</v>
      </c>
      <c r="C68" s="282">
        <v>0</v>
      </c>
      <c r="D68" s="294">
        <v>0</v>
      </c>
      <c r="E68" s="294">
        <v>0</v>
      </c>
      <c r="F68" s="294">
        <v>0</v>
      </c>
      <c r="G68" s="294">
        <v>0</v>
      </c>
      <c r="H68" s="294">
        <v>0</v>
      </c>
      <c r="I68" s="294">
        <v>0</v>
      </c>
      <c r="J68" s="294">
        <v>0</v>
      </c>
      <c r="K68" s="294">
        <v>0</v>
      </c>
    </row>
    <row r="69" spans="1:11">
      <c r="A69" s="278">
        <v>65</v>
      </c>
      <c r="B69" s="278" t="s">
        <v>120</v>
      </c>
      <c r="C69" s="282">
        <f>SUM(D69:K69)</f>
        <v>0</v>
      </c>
      <c r="D69" s="282">
        <f>SUM('Pro Forma Adj'!C76:D76)</f>
        <v>0</v>
      </c>
      <c r="E69" s="282">
        <f>SUM('Pro Forma Adj'!E76:G76)</f>
        <v>0</v>
      </c>
      <c r="F69" s="282">
        <f>SUM('Pro Forma Adj'!H76:I76)</f>
        <v>0</v>
      </c>
      <c r="G69" s="282">
        <f>SUM('Pro Forma Adj'!J76)</f>
        <v>0</v>
      </c>
      <c r="H69" s="282">
        <f>SUM('Pro Forma Adj'!K76:N76)</f>
        <v>0</v>
      </c>
      <c r="I69" s="282">
        <f>SUM('Pro Forma Adj'!O76:Q76)</f>
        <v>0</v>
      </c>
      <c r="J69" s="282">
        <f>SUM('Pro Forma Adj'!R76:S76)</f>
        <v>0</v>
      </c>
      <c r="K69" s="282">
        <f>SUM('Pro Forma Adj'!T76:Y76)</f>
        <v>0</v>
      </c>
    </row>
    <row r="70" spans="1:11">
      <c r="A70" s="278">
        <v>66</v>
      </c>
      <c r="B70" s="278" t="s">
        <v>121</v>
      </c>
      <c r="C70" s="282">
        <f>SUM(D70:K70)</f>
        <v>251454.31819101423</v>
      </c>
      <c r="D70" s="282">
        <f>SUM('Pro Forma Adj'!C77:D77)</f>
        <v>0</v>
      </c>
      <c r="E70" s="282">
        <f>SUM('Pro Forma Adj'!E77:G77)</f>
        <v>0</v>
      </c>
      <c r="F70" s="282">
        <f>SUM('Pro Forma Adj'!H77:I77)</f>
        <v>0</v>
      </c>
      <c r="G70" s="282">
        <f>SUM('Pro Forma Adj'!J77)</f>
        <v>0</v>
      </c>
      <c r="H70" s="282">
        <f>SUM('Pro Forma Adj'!K77:N77)</f>
        <v>0</v>
      </c>
      <c r="I70" s="282">
        <f>SUM('Pro Forma Adj'!O77:Q77)</f>
        <v>0</v>
      </c>
      <c r="J70" s="282">
        <f>SUM('Pro Forma Adj'!R77:S77)</f>
        <v>0</v>
      </c>
      <c r="K70" s="282">
        <f>SUM('Pro Forma Adj'!T77:Y77)</f>
        <v>251454.31819101423</v>
      </c>
    </row>
    <row r="71" spans="1:11">
      <c r="A71" s="278">
        <v>67</v>
      </c>
      <c r="B71" s="283" t="s">
        <v>122</v>
      </c>
      <c r="C71" s="282">
        <f>SUM(D71:K71)</f>
        <v>2050306.5331223095</v>
      </c>
      <c r="D71" s="282">
        <f>SUM('Pro Forma Adj'!C78:D78)</f>
        <v>0</v>
      </c>
      <c r="E71" s="282">
        <f>SUM('Pro Forma Adj'!E78:G78)</f>
        <v>-637047</v>
      </c>
      <c r="F71" s="282">
        <f>SUM('Pro Forma Adj'!H78:I78)</f>
        <v>0</v>
      </c>
      <c r="G71" s="282">
        <f>SUM('Pro Forma Adj'!J78)</f>
        <v>0</v>
      </c>
      <c r="H71" s="282">
        <f>SUM('Pro Forma Adj'!K78:N78)</f>
        <v>0</v>
      </c>
      <c r="I71" s="282">
        <f>SUM('Pro Forma Adj'!O78:Q78)</f>
        <v>2687353.5331223095</v>
      </c>
      <c r="J71" s="282">
        <f>SUM('Pro Forma Adj'!R78:S78)</f>
        <v>0</v>
      </c>
      <c r="K71" s="282">
        <f>SUM('Pro Forma Adj'!T78:Y78)</f>
        <v>0</v>
      </c>
    </row>
    <row r="72" spans="1:11">
      <c r="A72" s="278">
        <v>68</v>
      </c>
      <c r="B72" s="283" t="s">
        <v>123</v>
      </c>
      <c r="C72" s="290">
        <f>SUM(D72:K72)</f>
        <v>951489.85858771845</v>
      </c>
      <c r="D72" s="290">
        <f>SUM('Pro Forma Adj'!C79:D79)</f>
        <v>0</v>
      </c>
      <c r="E72" s="290">
        <f>SUM('Pro Forma Adj'!E79:G79)</f>
        <v>951489.85858771845</v>
      </c>
      <c r="F72" s="290">
        <f>SUM('Pro Forma Adj'!H79:I79)</f>
        <v>0</v>
      </c>
      <c r="G72" s="290">
        <f>SUM('Pro Forma Adj'!J79)</f>
        <v>0</v>
      </c>
      <c r="H72" s="290">
        <f>SUM('Pro Forma Adj'!K79:N79)</f>
        <v>0</v>
      </c>
      <c r="I72" s="290">
        <f>SUM('Pro Forma Adj'!O79:Q79)</f>
        <v>0</v>
      </c>
      <c r="J72" s="290">
        <f>SUM('Pro Forma Adj'!R79:S79)</f>
        <v>0</v>
      </c>
      <c r="K72" s="290">
        <f>SUM('Pro Forma Adj'!T79:Y79)</f>
        <v>0</v>
      </c>
    </row>
    <row r="73" spans="1:11">
      <c r="A73" s="278">
        <v>69</v>
      </c>
      <c r="B73" s="283" t="s">
        <v>124</v>
      </c>
      <c r="C73" s="291">
        <f>SUM(D73:K73)</f>
        <v>-16635559.643705793</v>
      </c>
      <c r="D73" s="291">
        <f>D67-D69-D70+D71-D72</f>
        <v>12385092.439834645</v>
      </c>
      <c r="E73" s="291">
        <f t="shared" ref="E73:K73" si="22">E67-E69-E70+E71-E72</f>
        <v>-548811.6011157101</v>
      </c>
      <c r="F73" s="291">
        <f t="shared" si="22"/>
        <v>1178569.3667911782</v>
      </c>
      <c r="G73" s="291">
        <f t="shared" si="22"/>
        <v>0</v>
      </c>
      <c r="H73" s="291">
        <f t="shared" si="22"/>
        <v>428616.54000000004</v>
      </c>
      <c r="I73" s="291">
        <f t="shared" si="22"/>
        <v>-130357.48669087514</v>
      </c>
      <c r="J73" s="291">
        <f t="shared" si="22"/>
        <v>0</v>
      </c>
      <c r="K73" s="291">
        <f t="shared" si="22"/>
        <v>-29948668.90252503</v>
      </c>
    </row>
    <row r="74" spans="1:11">
      <c r="A74" s="278">
        <v>70</v>
      </c>
      <c r="B74" s="278"/>
      <c r="C74" s="292"/>
      <c r="D74" s="292"/>
      <c r="E74" s="292"/>
      <c r="F74" s="292"/>
      <c r="G74" s="292"/>
      <c r="H74" s="292"/>
      <c r="I74" s="292"/>
      <c r="J74" s="292"/>
      <c r="K74" s="292"/>
    </row>
    <row r="75" spans="1:11">
      <c r="A75" s="278">
        <v>71</v>
      </c>
      <c r="B75" s="278" t="s">
        <v>125</v>
      </c>
      <c r="C75" s="282">
        <f t="shared" ref="C75:C76" si="23">SUM(D75:K75)</f>
        <v>0</v>
      </c>
      <c r="D75" s="282">
        <f>C162</f>
        <v>0</v>
      </c>
      <c r="E75" s="282">
        <f>C277</f>
        <v>0</v>
      </c>
      <c r="F75" s="282">
        <f>C391</f>
        <v>0</v>
      </c>
      <c r="G75" s="282">
        <f>C505</f>
        <v>0</v>
      </c>
      <c r="H75" s="282">
        <f>C620</f>
        <v>0</v>
      </c>
      <c r="I75" s="282">
        <f>C735</f>
        <v>0</v>
      </c>
      <c r="J75" s="282">
        <f>C853</f>
        <v>0</v>
      </c>
      <c r="K75" s="282">
        <f>C1202</f>
        <v>0</v>
      </c>
    </row>
    <row r="76" spans="1:11">
      <c r="A76" s="278">
        <v>72</v>
      </c>
      <c r="B76" s="278" t="s">
        <v>126</v>
      </c>
      <c r="C76" s="282">
        <f t="shared" si="23"/>
        <v>-16635559.643705793</v>
      </c>
      <c r="D76" s="282">
        <f>D73-D75</f>
        <v>12385092.439834645</v>
      </c>
      <c r="E76" s="282">
        <f t="shared" ref="E76:K76" si="24">E73-E75</f>
        <v>-548811.6011157101</v>
      </c>
      <c r="F76" s="282">
        <f t="shared" si="24"/>
        <v>1178569.3667911782</v>
      </c>
      <c r="G76" s="282">
        <f>SUM('Restating Adj'!Q83)</f>
        <v>0</v>
      </c>
      <c r="H76" s="282">
        <f t="shared" si="24"/>
        <v>428616.54000000004</v>
      </c>
      <c r="I76" s="282">
        <f t="shared" si="24"/>
        <v>-130357.48669087514</v>
      </c>
      <c r="J76" s="282">
        <f t="shared" si="24"/>
        <v>0</v>
      </c>
      <c r="K76" s="282">
        <f t="shared" si="24"/>
        <v>-29948668.90252503</v>
      </c>
    </row>
    <row r="77" spans="1:11">
      <c r="A77" s="278">
        <v>73</v>
      </c>
      <c r="B77" s="278"/>
    </row>
    <row r="78" spans="1:11">
      <c r="A78" s="278">
        <v>74</v>
      </c>
      <c r="B78" s="278" t="s">
        <v>200</v>
      </c>
      <c r="C78" s="292">
        <f>SUM(D78:K78)</f>
        <v>-5822445.8752970276</v>
      </c>
      <c r="D78" s="292">
        <f>D76*0.35</f>
        <v>4334782.3539421251</v>
      </c>
      <c r="E78" s="292">
        <f t="shared" ref="E78:K78" si="25">E76*0.35</f>
        <v>-192084.06039049852</v>
      </c>
      <c r="F78" s="292">
        <f t="shared" si="25"/>
        <v>412499.27837691235</v>
      </c>
      <c r="G78" s="292">
        <f t="shared" si="25"/>
        <v>0</v>
      </c>
      <c r="H78" s="292">
        <f t="shared" si="25"/>
        <v>150015.78899999999</v>
      </c>
      <c r="I78" s="292">
        <f t="shared" si="25"/>
        <v>-45625.120341806294</v>
      </c>
      <c r="J78" s="292">
        <f t="shared" si="25"/>
        <v>0</v>
      </c>
      <c r="K78" s="292">
        <f t="shared" si="25"/>
        <v>-10482034.11588376</v>
      </c>
    </row>
    <row r="79" spans="1:11">
      <c r="A79" s="278">
        <v>75</v>
      </c>
      <c r="B79" s="278" t="s">
        <v>199</v>
      </c>
      <c r="C79" s="292">
        <f t="shared" ref="C79:C80" si="26">SUM(D79:K79)</f>
        <v>-5638736.2665997902</v>
      </c>
      <c r="D79" s="292">
        <f>SUM('Pro Forma Adj'!C86:D86)</f>
        <v>0</v>
      </c>
      <c r="E79" s="292">
        <f>SUM('Pro Forma Adj'!E86:G86)</f>
        <v>0</v>
      </c>
      <c r="F79" s="292">
        <f>SUM('Pro Forma Adj'!H86:I86)</f>
        <v>0</v>
      </c>
      <c r="G79" s="292">
        <f>SUM('Pro Forma Adj'!J86)</f>
        <v>0</v>
      </c>
      <c r="H79" s="292">
        <f>SUM('Pro Forma Adj'!K86:N86)</f>
        <v>-5638736.2665997902</v>
      </c>
      <c r="I79" s="292">
        <f>SUM('Pro Forma Adj'!O86:Q86)</f>
        <v>0</v>
      </c>
      <c r="J79" s="292">
        <f>SUM('Pro Forma Adj'!R86:S86)</f>
        <v>0</v>
      </c>
      <c r="K79" s="292">
        <f>SUM('Pro Forma Adj'!T86:Y86)</f>
        <v>0</v>
      </c>
    </row>
    <row r="80" spans="1:11" ht="15.75" thickBot="1">
      <c r="A80" s="278">
        <v>76</v>
      </c>
      <c r="B80" s="278" t="s">
        <v>200</v>
      </c>
      <c r="C80" s="293">
        <f t="shared" si="26"/>
        <v>-11461182.141896818</v>
      </c>
      <c r="D80" s="293">
        <f>D78+D79</f>
        <v>4334782.3539421251</v>
      </c>
      <c r="E80" s="293">
        <f t="shared" ref="E80:K80" si="27">E78+E79</f>
        <v>-192084.06039049852</v>
      </c>
      <c r="F80" s="293">
        <f t="shared" si="27"/>
        <v>412499.27837691235</v>
      </c>
      <c r="G80" s="293">
        <f t="shared" si="27"/>
        <v>0</v>
      </c>
      <c r="H80" s="293">
        <f t="shared" si="27"/>
        <v>-5488720.4775997903</v>
      </c>
      <c r="I80" s="293">
        <f t="shared" si="27"/>
        <v>-45625.120341806294</v>
      </c>
      <c r="J80" s="293">
        <f t="shared" si="27"/>
        <v>0</v>
      </c>
      <c r="K80" s="293">
        <f t="shared" si="27"/>
        <v>-10482034.11588376</v>
      </c>
    </row>
    <row r="81" ht="15.75" thickTop="1"/>
  </sheetData>
  <pageMargins left="0.5" right="0.5" top="0.4" bottom="0.25" header="0.25" footer="0.3"/>
  <pageSetup scale="63" orientation="portrait" r:id="rId1"/>
  <headerFooter>
    <oddHeader>&amp;RExhibit No.___(RBD-6) - Revised 12/10/10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I93"/>
  <sheetViews>
    <sheetView zoomScale="85" zoomScaleNormal="85" zoomScaleSheetLayoutView="85" workbookViewId="0">
      <pane xSplit="1" ySplit="9" topLeftCell="B10" activePane="bottomRight" state="frozen"/>
      <selection pane="topRight" activeCell="B1" sqref="B1"/>
      <selection pane="bottomLeft" activeCell="A7" sqref="A7"/>
      <selection pane="bottomRight" activeCell="A10" sqref="A10"/>
    </sheetView>
  </sheetViews>
  <sheetFormatPr defaultRowHeight="12.75"/>
  <cols>
    <col min="1" max="1" width="40.42578125" style="57" customWidth="1"/>
    <col min="2" max="5" width="13.7109375" style="3" customWidth="1"/>
    <col min="6" max="6" width="13.7109375" style="67" customWidth="1"/>
    <col min="7" max="23" width="13.7109375" style="3" customWidth="1"/>
    <col min="24" max="24" width="13.7109375" style="67" customWidth="1"/>
    <col min="25" max="35" width="13.7109375" style="3" customWidth="1"/>
    <col min="36" max="36" width="13.7109375" style="67" customWidth="1"/>
    <col min="37" max="48" width="13.7109375" style="3" customWidth="1"/>
    <col min="49" max="49" width="13.7109375" style="67" customWidth="1"/>
    <col min="50" max="58" width="13.7109375" style="3" customWidth="1"/>
    <col min="59" max="60" width="9.140625" style="3"/>
    <col min="61" max="61" width="9.140625" style="301"/>
    <col min="62" max="16384" width="9.140625" style="3"/>
  </cols>
  <sheetData>
    <row r="1" spans="1:61">
      <c r="A1" s="108" t="s">
        <v>60</v>
      </c>
    </row>
    <row r="2" spans="1:61" s="2" customFormat="1">
      <c r="A2" s="1" t="s">
        <v>216</v>
      </c>
      <c r="BI2" s="302"/>
    </row>
    <row r="3" spans="1:61" s="2" customFormat="1">
      <c r="A3" s="297" t="s">
        <v>336</v>
      </c>
      <c r="BI3" s="302"/>
    </row>
    <row r="4" spans="1:61" s="2" customFormat="1">
      <c r="A4" s="210"/>
      <c r="BI4" s="302"/>
    </row>
    <row r="5" spans="1:61" s="2" customFormat="1">
      <c r="A5" s="1"/>
      <c r="BI5" s="302"/>
    </row>
    <row r="6" spans="1:61" s="4" customFormat="1" ht="39" thickBot="1">
      <c r="A6" s="210"/>
      <c r="F6" s="212" t="s">
        <v>302</v>
      </c>
      <c r="G6" s="212" t="s">
        <v>303</v>
      </c>
      <c r="M6" s="212" t="s">
        <v>304</v>
      </c>
      <c r="R6" s="212" t="s">
        <v>307</v>
      </c>
      <c r="X6" s="212" t="s">
        <v>306</v>
      </c>
      <c r="AJ6" s="212" t="s">
        <v>305</v>
      </c>
      <c r="AU6" s="212" t="s">
        <v>308</v>
      </c>
      <c r="AV6" s="212" t="s">
        <v>309</v>
      </c>
      <c r="AW6" s="212" t="s">
        <v>284</v>
      </c>
      <c r="AX6" s="212"/>
      <c r="AY6" s="212" t="s">
        <v>285</v>
      </c>
      <c r="AZ6" s="211"/>
      <c r="BA6" s="212" t="s">
        <v>286</v>
      </c>
      <c r="BB6" s="212" t="s">
        <v>291</v>
      </c>
      <c r="BC6" s="212" t="s">
        <v>294</v>
      </c>
      <c r="BD6" s="212" t="s">
        <v>295</v>
      </c>
      <c r="BE6" s="212" t="s">
        <v>288</v>
      </c>
      <c r="BF6" s="212" t="s">
        <v>287</v>
      </c>
      <c r="BI6" s="303"/>
    </row>
    <row r="7" spans="1:61" s="5" customFormat="1" ht="13.5" thickBot="1">
      <c r="A7" s="108"/>
      <c r="B7" s="148"/>
      <c r="C7" s="6" t="s">
        <v>44</v>
      </c>
      <c r="D7" s="7"/>
      <c r="E7" s="7"/>
      <c r="F7" s="8"/>
      <c r="G7" s="7"/>
      <c r="H7" s="9"/>
      <c r="I7" s="6" t="s">
        <v>45</v>
      </c>
      <c r="J7" s="7"/>
      <c r="K7" s="7"/>
      <c r="L7" s="7"/>
      <c r="M7" s="7"/>
      <c r="N7" s="7"/>
      <c r="O7" s="9"/>
      <c r="P7" s="9"/>
      <c r="Q7" s="6" t="s">
        <v>46</v>
      </c>
      <c r="R7" s="7"/>
      <c r="S7" s="7"/>
      <c r="T7" s="7"/>
      <c r="U7" s="7"/>
      <c r="V7" s="9"/>
      <c r="W7" s="8" t="s">
        <v>57</v>
      </c>
      <c r="X7" s="310" t="s">
        <v>47</v>
      </c>
      <c r="Y7" s="308"/>
      <c r="Z7" s="308"/>
      <c r="AA7" s="308"/>
      <c r="AB7" s="308"/>
      <c r="AC7" s="308"/>
      <c r="AD7" s="308"/>
      <c r="AE7" s="311" t="s">
        <v>338</v>
      </c>
      <c r="AF7" s="308"/>
      <c r="AG7" s="308"/>
      <c r="AH7" s="308"/>
      <c r="AI7" s="309"/>
      <c r="AJ7" s="310" t="s">
        <v>48</v>
      </c>
      <c r="AK7" s="308"/>
      <c r="AL7" s="308"/>
      <c r="AM7" s="308"/>
      <c r="AN7" s="308"/>
      <c r="AO7" s="308"/>
      <c r="AP7" s="308"/>
      <c r="AQ7" s="311" t="s">
        <v>339</v>
      </c>
      <c r="AR7" s="308"/>
      <c r="AS7" s="308"/>
      <c r="AT7" s="309"/>
      <c r="AU7" s="89" t="s">
        <v>63</v>
      </c>
      <c r="AV7" s="92"/>
      <c r="AW7" s="310" t="s">
        <v>274</v>
      </c>
      <c r="AX7" s="312"/>
      <c r="AY7" s="312"/>
      <c r="AZ7" s="312"/>
      <c r="BA7" s="312"/>
      <c r="BB7" s="312"/>
      <c r="BC7" s="307" t="s">
        <v>340</v>
      </c>
      <c r="BD7" s="308"/>
      <c r="BE7" s="308"/>
      <c r="BF7" s="309"/>
      <c r="BI7" s="304" t="s">
        <v>337</v>
      </c>
    </row>
    <row r="8" spans="1:61">
      <c r="B8" s="74"/>
      <c r="C8" s="11" t="s">
        <v>0</v>
      </c>
      <c r="D8" s="10" t="s">
        <v>2</v>
      </c>
      <c r="E8" s="128" t="s">
        <v>3</v>
      </c>
      <c r="F8" s="214" t="s">
        <v>4</v>
      </c>
      <c r="G8" s="214" t="s">
        <v>5</v>
      </c>
      <c r="H8" s="12" t="s">
        <v>6</v>
      </c>
      <c r="I8" s="127" t="s">
        <v>1</v>
      </c>
      <c r="J8" s="128" t="s">
        <v>7</v>
      </c>
      <c r="K8" s="128" t="s">
        <v>8</v>
      </c>
      <c r="L8" s="10" t="s">
        <v>9</v>
      </c>
      <c r="M8" s="232" t="s">
        <v>10</v>
      </c>
      <c r="N8" s="128" t="s">
        <v>11</v>
      </c>
      <c r="O8" s="128" t="s">
        <v>12</v>
      </c>
      <c r="P8" s="129" t="s">
        <v>51</v>
      </c>
      <c r="Q8" s="127" t="s">
        <v>13</v>
      </c>
      <c r="R8" s="232" t="s">
        <v>58</v>
      </c>
      <c r="S8" s="128" t="s">
        <v>53</v>
      </c>
      <c r="T8" s="128" t="s">
        <v>49</v>
      </c>
      <c r="U8" s="10" t="s">
        <v>50</v>
      </c>
      <c r="V8" s="129" t="s">
        <v>52</v>
      </c>
      <c r="W8" s="74" t="s">
        <v>14</v>
      </c>
      <c r="X8" s="233" t="s">
        <v>15</v>
      </c>
      <c r="Y8" s="10" t="s">
        <v>16</v>
      </c>
      <c r="Z8" s="10" t="s">
        <v>17</v>
      </c>
      <c r="AA8" s="10" t="s">
        <v>18</v>
      </c>
      <c r="AB8" s="10" t="s">
        <v>54</v>
      </c>
      <c r="AC8" s="10" t="s">
        <v>55</v>
      </c>
      <c r="AD8" s="10" t="s">
        <v>19</v>
      </c>
      <c r="AE8" s="10" t="s">
        <v>20</v>
      </c>
      <c r="AF8" s="10" t="s">
        <v>21</v>
      </c>
      <c r="AG8" s="10" t="s">
        <v>22</v>
      </c>
      <c r="AH8" s="10" t="s">
        <v>23</v>
      </c>
      <c r="AI8" s="129" t="s">
        <v>24</v>
      </c>
      <c r="AJ8" s="251" t="s">
        <v>25</v>
      </c>
      <c r="AK8" s="128" t="s">
        <v>26</v>
      </c>
      <c r="AL8" s="128" t="s">
        <v>27</v>
      </c>
      <c r="AM8" s="128" t="s">
        <v>28</v>
      </c>
      <c r="AN8" s="128" t="s">
        <v>29</v>
      </c>
      <c r="AO8" s="128" t="s">
        <v>56</v>
      </c>
      <c r="AP8" s="128" t="s">
        <v>30</v>
      </c>
      <c r="AQ8" s="10" t="s">
        <v>31</v>
      </c>
      <c r="AR8" s="128" t="s">
        <v>32</v>
      </c>
      <c r="AS8" s="128" t="s">
        <v>33</v>
      </c>
      <c r="AT8" s="12" t="s">
        <v>34</v>
      </c>
      <c r="AU8" s="233" t="s">
        <v>35</v>
      </c>
      <c r="AV8" s="258" t="s">
        <v>59</v>
      </c>
      <c r="AW8" s="134" t="s">
        <v>272</v>
      </c>
      <c r="AX8" s="128" t="s">
        <v>275</v>
      </c>
      <c r="AY8" s="128" t="s">
        <v>277</v>
      </c>
      <c r="AZ8" s="128" t="s">
        <v>278</v>
      </c>
      <c r="BA8" s="128" t="s">
        <v>273</v>
      </c>
      <c r="BB8" s="128" t="s">
        <v>289</v>
      </c>
      <c r="BC8" s="128" t="s">
        <v>292</v>
      </c>
      <c r="BD8" s="213" t="s">
        <v>293</v>
      </c>
      <c r="BE8" s="128" t="s">
        <v>281</v>
      </c>
      <c r="BF8" s="129" t="s">
        <v>282</v>
      </c>
    </row>
    <row r="9" spans="1:61" s="24" customFormat="1" ht="63" customHeight="1">
      <c r="A9" s="61"/>
      <c r="B9" s="75" t="s">
        <v>312</v>
      </c>
      <c r="C9" s="14" t="s">
        <v>127</v>
      </c>
      <c r="D9" s="13" t="s">
        <v>128</v>
      </c>
      <c r="E9" s="13" t="s">
        <v>159</v>
      </c>
      <c r="F9" s="215" t="s">
        <v>129</v>
      </c>
      <c r="G9" s="215" t="s">
        <v>130</v>
      </c>
      <c r="H9" s="15" t="s">
        <v>131</v>
      </c>
      <c r="I9" s="14" t="s">
        <v>132</v>
      </c>
      <c r="J9" s="13" t="s">
        <v>133</v>
      </c>
      <c r="K9" s="13" t="s">
        <v>162</v>
      </c>
      <c r="L9" s="13" t="s">
        <v>163</v>
      </c>
      <c r="M9" s="215" t="s">
        <v>134</v>
      </c>
      <c r="N9" s="68" t="s">
        <v>135</v>
      </c>
      <c r="O9" s="13" t="s">
        <v>136</v>
      </c>
      <c r="P9" s="15" t="s">
        <v>164</v>
      </c>
      <c r="Q9" s="14" t="s">
        <v>137</v>
      </c>
      <c r="R9" s="215" t="s">
        <v>160</v>
      </c>
      <c r="S9" s="68" t="s">
        <v>138</v>
      </c>
      <c r="T9" s="68" t="s">
        <v>139</v>
      </c>
      <c r="U9" s="13" t="s">
        <v>161</v>
      </c>
      <c r="V9" s="15" t="s">
        <v>140</v>
      </c>
      <c r="W9" s="75" t="s">
        <v>141</v>
      </c>
      <c r="X9" s="234" t="s">
        <v>142</v>
      </c>
      <c r="Y9" s="13" t="s">
        <v>143</v>
      </c>
      <c r="Z9" s="16" t="s">
        <v>167</v>
      </c>
      <c r="AA9" s="13" t="s">
        <v>144</v>
      </c>
      <c r="AB9" s="13" t="s">
        <v>145</v>
      </c>
      <c r="AC9" s="13" t="s">
        <v>146</v>
      </c>
      <c r="AD9" s="13" t="s">
        <v>168</v>
      </c>
      <c r="AE9" s="13" t="s">
        <v>147</v>
      </c>
      <c r="AF9" s="13" t="s">
        <v>148</v>
      </c>
      <c r="AG9" s="13" t="s">
        <v>149</v>
      </c>
      <c r="AH9" s="13" t="s">
        <v>150</v>
      </c>
      <c r="AI9" s="15" t="s">
        <v>169</v>
      </c>
      <c r="AJ9" s="252" t="s">
        <v>151</v>
      </c>
      <c r="AK9" s="16" t="s">
        <v>152</v>
      </c>
      <c r="AL9" s="16" t="s">
        <v>153</v>
      </c>
      <c r="AM9" s="13" t="s">
        <v>154</v>
      </c>
      <c r="AN9" s="16" t="s">
        <v>155</v>
      </c>
      <c r="AO9" s="13" t="s">
        <v>156</v>
      </c>
      <c r="AP9" s="16" t="s">
        <v>157</v>
      </c>
      <c r="AQ9" s="13" t="s">
        <v>165</v>
      </c>
      <c r="AR9" s="13" t="s">
        <v>158</v>
      </c>
      <c r="AS9" s="13" t="s">
        <v>112</v>
      </c>
      <c r="AT9" s="15" t="s">
        <v>166</v>
      </c>
      <c r="AU9" s="252" t="s">
        <v>170</v>
      </c>
      <c r="AV9" s="300" t="s">
        <v>171</v>
      </c>
      <c r="AW9" s="135" t="s">
        <v>129</v>
      </c>
      <c r="AX9" s="13" t="s">
        <v>276</v>
      </c>
      <c r="AY9" s="13" t="s">
        <v>134</v>
      </c>
      <c r="AZ9" s="13" t="s">
        <v>279</v>
      </c>
      <c r="BA9" s="13" t="s">
        <v>280</v>
      </c>
      <c r="BB9" s="13" t="s">
        <v>290</v>
      </c>
      <c r="BC9" s="13" t="s">
        <v>170</v>
      </c>
      <c r="BD9" s="13" t="s">
        <v>171</v>
      </c>
      <c r="BE9" s="13" t="s">
        <v>151</v>
      </c>
      <c r="BF9" s="15" t="s">
        <v>335</v>
      </c>
      <c r="BI9" s="305"/>
    </row>
    <row r="10" spans="1:61">
      <c r="B10" s="149"/>
      <c r="C10" s="18"/>
      <c r="D10" s="17"/>
      <c r="E10" s="17"/>
      <c r="F10" s="216"/>
      <c r="G10" s="217"/>
      <c r="H10" s="22"/>
      <c r="I10" s="20"/>
      <c r="J10" s="17"/>
      <c r="K10" s="19"/>
      <c r="L10" s="17"/>
      <c r="M10" s="217"/>
      <c r="N10" s="17"/>
      <c r="O10" s="19"/>
      <c r="P10" s="23"/>
      <c r="Q10" s="20"/>
      <c r="R10" s="217"/>
      <c r="S10" s="17"/>
      <c r="T10" s="17"/>
      <c r="U10" s="17"/>
      <c r="V10" s="23"/>
      <c r="W10" s="76"/>
      <c r="X10" s="235"/>
      <c r="Y10" s="19"/>
      <c r="Z10" s="19"/>
      <c r="AA10" s="19"/>
      <c r="AB10" s="17"/>
      <c r="AC10" s="19"/>
      <c r="AD10" s="17"/>
      <c r="AE10" s="17"/>
      <c r="AF10" s="17"/>
      <c r="AG10" s="17"/>
      <c r="AH10" s="19"/>
      <c r="AI10" s="22"/>
      <c r="AJ10" s="236"/>
      <c r="AK10" s="19"/>
      <c r="AL10" s="19"/>
      <c r="AM10" s="17"/>
      <c r="AN10" s="19"/>
      <c r="AO10" s="17"/>
      <c r="AP10" s="19"/>
      <c r="AQ10" s="17"/>
      <c r="AR10" s="19"/>
      <c r="AS10" s="17"/>
      <c r="AT10" s="23"/>
      <c r="AU10" s="236"/>
      <c r="AV10" s="260"/>
      <c r="AW10" s="136"/>
      <c r="AX10" s="19"/>
      <c r="AY10" s="19"/>
      <c r="AZ10" s="17"/>
      <c r="BA10" s="19"/>
      <c r="BB10" s="19"/>
      <c r="BC10" s="19"/>
      <c r="BD10" s="19"/>
      <c r="BE10" s="17"/>
      <c r="BF10" s="23"/>
    </row>
    <row r="11" spans="1:61">
      <c r="A11" s="61" t="s">
        <v>65</v>
      </c>
      <c r="B11" s="76"/>
      <c r="C11" s="20"/>
      <c r="D11" s="17"/>
      <c r="E11" s="17"/>
      <c r="F11" s="216"/>
      <c r="G11" s="216"/>
      <c r="H11" s="22"/>
      <c r="I11" s="20"/>
      <c r="J11" s="17"/>
      <c r="K11" s="17"/>
      <c r="L11" s="17"/>
      <c r="M11" s="216"/>
      <c r="N11" s="17"/>
      <c r="O11" s="17"/>
      <c r="P11" s="22"/>
      <c r="Q11" s="20"/>
      <c r="R11" s="216"/>
      <c r="S11" s="17"/>
      <c r="T11" s="17"/>
      <c r="U11" s="17"/>
      <c r="V11" s="22"/>
      <c r="W11" s="76"/>
      <c r="X11" s="236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22"/>
      <c r="AJ11" s="236"/>
      <c r="AK11" s="17"/>
      <c r="AL11" s="17"/>
      <c r="AM11" s="17"/>
      <c r="AN11" s="17"/>
      <c r="AO11" s="17"/>
      <c r="AP11" s="17"/>
      <c r="AQ11" s="17"/>
      <c r="AR11" s="17"/>
      <c r="AS11" s="17"/>
      <c r="AT11" s="22"/>
      <c r="AU11" s="236"/>
      <c r="AV11" s="261"/>
      <c r="AW11" s="136"/>
      <c r="AX11" s="17"/>
      <c r="AY11" s="17"/>
      <c r="AZ11" s="17"/>
      <c r="BA11" s="17"/>
      <c r="BB11" s="17"/>
      <c r="BC11" s="17"/>
      <c r="BD11" s="17"/>
      <c r="BE11" s="17"/>
      <c r="BF11" s="22"/>
    </row>
    <row r="12" spans="1:61">
      <c r="A12" s="61" t="s">
        <v>66</v>
      </c>
      <c r="B12" s="80">
        <f>SUM(C12:BF12)</f>
        <v>5664589.5200000107</v>
      </c>
      <c r="C12" s="26">
        <f>'Restating Adj'!C12</f>
        <v>-6704444.6599999983</v>
      </c>
      <c r="D12" s="25">
        <f>'Restating Adj'!D12</f>
        <v>-33120.929999989981</v>
      </c>
      <c r="E12" s="25">
        <f>'Pro Forma Adj'!C12</f>
        <v>12402155.109999999</v>
      </c>
      <c r="F12" s="218">
        <f>'Restating Adj'!E12</f>
        <v>0</v>
      </c>
      <c r="G12" s="218">
        <f>'Restating Adj'!F12</f>
        <v>0</v>
      </c>
      <c r="H12" s="30">
        <f>'Restating Adj'!G12+'Pro Forma Adj'!D12</f>
        <v>0</v>
      </c>
      <c r="I12" s="27">
        <f>'Restating Adj'!H12</f>
        <v>0</v>
      </c>
      <c r="J12" s="25">
        <f>'Restating Adj'!I12</f>
        <v>0</v>
      </c>
      <c r="K12" s="28">
        <f>'Pro Forma Adj'!E12</f>
        <v>0</v>
      </c>
      <c r="L12" s="25">
        <f>'Pro Forma Adj'!F12</f>
        <v>0</v>
      </c>
      <c r="M12" s="219">
        <f>'Restating Adj'!J12</f>
        <v>0</v>
      </c>
      <c r="N12" s="25">
        <f>'Restating Adj'!K12</f>
        <v>0</v>
      </c>
      <c r="O12" s="25">
        <f>'Restating Adj'!L12</f>
        <v>0</v>
      </c>
      <c r="P12" s="30">
        <f>'Pro Forma Adj'!G12</f>
        <v>0</v>
      </c>
      <c r="Q12" s="27">
        <f>'Restating Adj'!M12</f>
        <v>0</v>
      </c>
      <c r="R12" s="219">
        <f>'Pro Forma Adj'!H12</f>
        <v>0</v>
      </c>
      <c r="S12" s="25">
        <f>'Restating Adj'!N12</f>
        <v>0</v>
      </c>
      <c r="T12" s="25">
        <f>'Restating Adj'!O12</f>
        <v>0</v>
      </c>
      <c r="U12" s="28">
        <f>'Pro Forma Adj'!I12</f>
        <v>0</v>
      </c>
      <c r="V12" s="30">
        <f>'Restating Adj'!P12</f>
        <v>0</v>
      </c>
      <c r="W12" s="77">
        <f>'Restating Adj'!Q12+'Pro Forma Adj'!J12</f>
        <v>0</v>
      </c>
      <c r="X12" s="237">
        <f>'Restating Adj'!R12+'Pro Forma Adj'!K12</f>
        <v>0</v>
      </c>
      <c r="Y12" s="28">
        <f>'Restating Adj'!S12</f>
        <v>0</v>
      </c>
      <c r="Z12" s="28">
        <f>'Pro Forma Adj'!L12</f>
        <v>0</v>
      </c>
      <c r="AA12" s="28">
        <f>'Restating Adj'!T12</f>
        <v>0</v>
      </c>
      <c r="AB12" s="28">
        <f>'Restating Adj'!U12</f>
        <v>0</v>
      </c>
      <c r="AC12" s="28">
        <f>'Restating Adj'!V12</f>
        <v>0</v>
      </c>
      <c r="AD12" s="28">
        <f>'Pro Forma Adj'!M12</f>
        <v>0</v>
      </c>
      <c r="AE12" s="28">
        <f>'Restating Adj'!W12</f>
        <v>0</v>
      </c>
      <c r="AF12" s="28">
        <f>'Restating Adj'!X12</f>
        <v>0</v>
      </c>
      <c r="AG12" s="28">
        <f>'Restating Adj'!Y12</f>
        <v>0</v>
      </c>
      <c r="AH12" s="28">
        <f>'Restating Adj'!Z12</f>
        <v>0</v>
      </c>
      <c r="AI12" s="29">
        <f>'Pro Forma Adj'!N12</f>
        <v>0</v>
      </c>
      <c r="AJ12" s="239">
        <f>'Restating Adj'!AA12+'Pro Forma Adj'!O12</f>
        <v>0</v>
      </c>
      <c r="AK12" s="25">
        <f>'Restating Adj'!AB12</f>
        <v>0</v>
      </c>
      <c r="AL12" s="25">
        <f>'Restating Adj'!AC12</f>
        <v>0</v>
      </c>
      <c r="AM12" s="25">
        <f>'Restating Adj'!AD12</f>
        <v>0</v>
      </c>
      <c r="AN12" s="25">
        <f>'Restating Adj'!AE12</f>
        <v>0</v>
      </c>
      <c r="AO12" s="25">
        <f>'Restating Adj'!AF12</f>
        <v>0</v>
      </c>
      <c r="AP12" s="25">
        <f>'Restating Adj'!AG12</f>
        <v>0</v>
      </c>
      <c r="AQ12" s="25">
        <f>'Pro Forma Adj'!P12</f>
        <v>0</v>
      </c>
      <c r="AR12" s="28">
        <f>'Restating Adj'!AH12</f>
        <v>0</v>
      </c>
      <c r="AS12" s="25">
        <f>'Restating Adj'!AI12</f>
        <v>0</v>
      </c>
      <c r="AT12" s="30">
        <f>'Pro Forma Adj'!Q12</f>
        <v>0</v>
      </c>
      <c r="AU12" s="239">
        <f>'Pro Forma Adj'!R12</f>
        <v>0</v>
      </c>
      <c r="AV12" s="262">
        <f>'Pro Forma Adj'!S12</f>
        <v>0</v>
      </c>
      <c r="AW12" s="137">
        <f>'Restating Adj'!AJ12</f>
        <v>0</v>
      </c>
      <c r="AX12" s="25">
        <f>'Restating Adj'!AK12</f>
        <v>0</v>
      </c>
      <c r="AY12" s="25">
        <f>'Restating Adj'!AL12</f>
        <v>0</v>
      </c>
      <c r="AZ12" s="25">
        <f>'Restating Adj'!AM12</f>
        <v>0</v>
      </c>
      <c r="BA12" s="25">
        <f>'Restating Adj'!AN12+'Pro Forma Adj'!T12</f>
        <v>0</v>
      </c>
      <c r="BB12" s="25">
        <f>'Pro Forma Adj'!U12</f>
        <v>0</v>
      </c>
      <c r="BC12" s="25">
        <f>'Pro Forma Adj'!V12</f>
        <v>0</v>
      </c>
      <c r="BD12" s="25">
        <f>'Pro Forma Adj'!W12</f>
        <v>0</v>
      </c>
      <c r="BE12" s="17">
        <f>'Restating Adj'!AO12+'Pro Forma Adj'!X12</f>
        <v>0</v>
      </c>
      <c r="BF12" s="30">
        <f>'Restating Adj'!AP12+'Pro Forma Adj'!Y12</f>
        <v>0</v>
      </c>
      <c r="BI12" s="301">
        <f>B12-(Summary!D9+Summary!H9)</f>
        <v>0</v>
      </c>
    </row>
    <row r="13" spans="1:61">
      <c r="A13" s="61" t="s">
        <v>67</v>
      </c>
      <c r="B13" s="80">
        <f>SUM(C13:BF13)</f>
        <v>0</v>
      </c>
      <c r="C13" s="26">
        <f>'Restating Adj'!C13</f>
        <v>0</v>
      </c>
      <c r="D13" s="28">
        <f>'Restating Adj'!D13</f>
        <v>0</v>
      </c>
      <c r="E13" s="28">
        <f>'Pro Forma Adj'!C13</f>
        <v>0</v>
      </c>
      <c r="F13" s="219">
        <f>'Restating Adj'!E13</f>
        <v>0</v>
      </c>
      <c r="G13" s="218">
        <f>'Restating Adj'!F13</f>
        <v>0</v>
      </c>
      <c r="H13" s="29">
        <f>'Restating Adj'!G13+'Pro Forma Adj'!D13</f>
        <v>0</v>
      </c>
      <c r="I13" s="26">
        <f>'Restating Adj'!H13</f>
        <v>0</v>
      </c>
      <c r="J13" s="28">
        <f>'Restating Adj'!I13</f>
        <v>0</v>
      </c>
      <c r="K13" s="28">
        <f>'Pro Forma Adj'!E13</f>
        <v>0</v>
      </c>
      <c r="L13" s="28">
        <f>'Pro Forma Adj'!F13</f>
        <v>0</v>
      </c>
      <c r="M13" s="219">
        <f>'Restating Adj'!J13</f>
        <v>0</v>
      </c>
      <c r="N13" s="28">
        <f>'Restating Adj'!K13</f>
        <v>0</v>
      </c>
      <c r="O13" s="25">
        <f>'Restating Adj'!L13</f>
        <v>0</v>
      </c>
      <c r="P13" s="29">
        <f>'Pro Forma Adj'!G13</f>
        <v>0</v>
      </c>
      <c r="Q13" s="26">
        <f>'Restating Adj'!M13</f>
        <v>0</v>
      </c>
      <c r="R13" s="219">
        <f>'Pro Forma Adj'!H13</f>
        <v>0</v>
      </c>
      <c r="S13" s="28">
        <f>'Restating Adj'!N13</f>
        <v>0</v>
      </c>
      <c r="T13" s="28">
        <f>'Restating Adj'!O13</f>
        <v>0</v>
      </c>
      <c r="U13" s="28">
        <f>'Pro Forma Adj'!I13</f>
        <v>0</v>
      </c>
      <c r="V13" s="30">
        <f>'Restating Adj'!P13</f>
        <v>0</v>
      </c>
      <c r="W13" s="77">
        <f>'Restating Adj'!Q13+'Pro Forma Adj'!J13</f>
        <v>0</v>
      </c>
      <c r="X13" s="237">
        <f>'Restating Adj'!R13+'Pro Forma Adj'!K13</f>
        <v>0</v>
      </c>
      <c r="Y13" s="28">
        <f>'Restating Adj'!S13</f>
        <v>0</v>
      </c>
      <c r="Z13" s="28">
        <f>'Pro Forma Adj'!L13</f>
        <v>0</v>
      </c>
      <c r="AA13" s="28">
        <f>'Restating Adj'!T13</f>
        <v>0</v>
      </c>
      <c r="AB13" s="28">
        <f>'Restating Adj'!U13</f>
        <v>0</v>
      </c>
      <c r="AC13" s="28">
        <f>'Restating Adj'!V13</f>
        <v>0</v>
      </c>
      <c r="AD13" s="28">
        <f>'Pro Forma Adj'!M13</f>
        <v>0</v>
      </c>
      <c r="AE13" s="28">
        <f>'Restating Adj'!W13</f>
        <v>0</v>
      </c>
      <c r="AF13" s="28">
        <f>'Restating Adj'!X13</f>
        <v>0</v>
      </c>
      <c r="AG13" s="28">
        <f>'Restating Adj'!Y13</f>
        <v>0</v>
      </c>
      <c r="AH13" s="28">
        <f>'Restating Adj'!Z13</f>
        <v>0</v>
      </c>
      <c r="AI13" s="29">
        <f>'Pro Forma Adj'!N13</f>
        <v>0</v>
      </c>
      <c r="AJ13" s="239">
        <f>'Restating Adj'!AA13+'Pro Forma Adj'!O13</f>
        <v>0</v>
      </c>
      <c r="AK13" s="25">
        <f>'Restating Adj'!AB13</f>
        <v>0</v>
      </c>
      <c r="AL13" s="25">
        <f>'Restating Adj'!AC13</f>
        <v>0</v>
      </c>
      <c r="AM13" s="25">
        <f>'Restating Adj'!AD13</f>
        <v>0</v>
      </c>
      <c r="AN13" s="25">
        <f>'Restating Adj'!AE13</f>
        <v>0</v>
      </c>
      <c r="AO13" s="25">
        <f>'Restating Adj'!AF13</f>
        <v>0</v>
      </c>
      <c r="AP13" s="25">
        <f>'Restating Adj'!AG13</f>
        <v>0</v>
      </c>
      <c r="AQ13" s="25">
        <f>'Pro Forma Adj'!P13</f>
        <v>0</v>
      </c>
      <c r="AR13" s="28">
        <f>'Restating Adj'!AH13</f>
        <v>0</v>
      </c>
      <c r="AS13" s="25">
        <f>'Restating Adj'!AI13</f>
        <v>0</v>
      </c>
      <c r="AT13" s="30">
        <f>'Pro Forma Adj'!Q13</f>
        <v>0</v>
      </c>
      <c r="AU13" s="237">
        <f>'Pro Forma Adj'!R13</f>
        <v>0</v>
      </c>
      <c r="AV13" s="262">
        <f>'Pro Forma Adj'!S13</f>
        <v>0</v>
      </c>
      <c r="AW13" s="138">
        <f>'Restating Adj'!AJ13</f>
        <v>0</v>
      </c>
      <c r="AX13" s="25">
        <f>'Restating Adj'!AK13</f>
        <v>0</v>
      </c>
      <c r="AY13" s="25">
        <f>'Restating Adj'!AL13</f>
        <v>0</v>
      </c>
      <c r="AZ13" s="28">
        <f>'Restating Adj'!AM13</f>
        <v>0</v>
      </c>
      <c r="BA13" s="25">
        <f>'Restating Adj'!AN13+'Pro Forma Adj'!T13</f>
        <v>0</v>
      </c>
      <c r="BB13" s="25">
        <f>'Pro Forma Adj'!U13</f>
        <v>0</v>
      </c>
      <c r="BC13" s="25">
        <f>'Pro Forma Adj'!V13</f>
        <v>0</v>
      </c>
      <c r="BD13" s="25">
        <f>'Pro Forma Adj'!W13</f>
        <v>0</v>
      </c>
      <c r="BE13" s="17">
        <f>'Restating Adj'!AO13+'Pro Forma Adj'!X13</f>
        <v>0</v>
      </c>
      <c r="BF13" s="30">
        <f>'Restating Adj'!AP13+'Pro Forma Adj'!Y13</f>
        <v>0</v>
      </c>
      <c r="BI13" s="301">
        <f>B13-(Summary!D10+Summary!H10)</f>
        <v>0</v>
      </c>
    </row>
    <row r="14" spans="1:61">
      <c r="A14" s="61" t="s">
        <v>68</v>
      </c>
      <c r="B14" s="80">
        <f>SUM(C14:BF14)</f>
        <v>-42412289.183073334</v>
      </c>
      <c r="C14" s="26">
        <f>'Restating Adj'!C14</f>
        <v>0</v>
      </c>
      <c r="D14" s="28">
        <f>'Restating Adj'!D14</f>
        <v>0</v>
      </c>
      <c r="E14" s="28">
        <f>'Pro Forma Adj'!C14</f>
        <v>0</v>
      </c>
      <c r="F14" s="219">
        <f>'Restating Adj'!E14</f>
        <v>0</v>
      </c>
      <c r="G14" s="218">
        <f>'Restating Adj'!F14</f>
        <v>0</v>
      </c>
      <c r="H14" s="29">
        <f>'Restating Adj'!G14+'Pro Forma Adj'!D14</f>
        <v>0</v>
      </c>
      <c r="I14" s="26">
        <f>'Restating Adj'!H14</f>
        <v>0</v>
      </c>
      <c r="J14" s="28">
        <f>'Restating Adj'!I14</f>
        <v>0</v>
      </c>
      <c r="K14" s="28">
        <f>'Pro Forma Adj'!E14</f>
        <v>0</v>
      </c>
      <c r="L14" s="28">
        <f>'Pro Forma Adj'!F14</f>
        <v>0</v>
      </c>
      <c r="M14" s="219">
        <f>'Restating Adj'!J14</f>
        <v>0</v>
      </c>
      <c r="N14" s="28">
        <f>'Restating Adj'!K14</f>
        <v>0</v>
      </c>
      <c r="O14" s="25">
        <f>'Restating Adj'!L14</f>
        <v>0</v>
      </c>
      <c r="P14" s="29">
        <f>'Pro Forma Adj'!G14</f>
        <v>0</v>
      </c>
      <c r="Q14" s="26">
        <f>'Restating Adj'!M14</f>
        <v>3803644.2032988709</v>
      </c>
      <c r="R14" s="219">
        <f>'Pro Forma Adj'!H14</f>
        <v>0</v>
      </c>
      <c r="S14" s="28">
        <f>'Restating Adj'!N14</f>
        <v>0</v>
      </c>
      <c r="T14" s="28">
        <f>'Restating Adj'!O14</f>
        <v>0</v>
      </c>
      <c r="U14" s="28">
        <f>'Pro Forma Adj'!I14</f>
        <v>0</v>
      </c>
      <c r="V14" s="30">
        <f>'Restating Adj'!P14</f>
        <v>0</v>
      </c>
      <c r="W14" s="77">
        <f>'Restating Adj'!Q14+'Pro Forma Adj'!J14</f>
        <v>0</v>
      </c>
      <c r="X14" s="237">
        <f>'Restating Adj'!R14+'Pro Forma Adj'!K14</f>
        <v>0</v>
      </c>
      <c r="Y14" s="28">
        <f>'Restating Adj'!S14</f>
        <v>0</v>
      </c>
      <c r="Z14" s="28">
        <f>'Pro Forma Adj'!L14</f>
        <v>0</v>
      </c>
      <c r="AA14" s="28">
        <f>'Restating Adj'!T14</f>
        <v>0</v>
      </c>
      <c r="AB14" s="28">
        <f>'Restating Adj'!U14</f>
        <v>0</v>
      </c>
      <c r="AC14" s="28">
        <f>'Restating Adj'!V14</f>
        <v>0</v>
      </c>
      <c r="AD14" s="28">
        <f>'Pro Forma Adj'!M14</f>
        <v>0</v>
      </c>
      <c r="AE14" s="28">
        <f>'Restating Adj'!W14</f>
        <v>0</v>
      </c>
      <c r="AF14" s="28">
        <f>'Restating Adj'!X14</f>
        <v>0</v>
      </c>
      <c r="AG14" s="28">
        <f>'Restating Adj'!Y14</f>
        <v>0</v>
      </c>
      <c r="AH14" s="28">
        <f>'Restating Adj'!Z14</f>
        <v>0</v>
      </c>
      <c r="AI14" s="29">
        <f>'Pro Forma Adj'!N14</f>
        <v>0</v>
      </c>
      <c r="AJ14" s="237">
        <f>'Restating Adj'!AA14+'Pro Forma Adj'!O14</f>
        <v>0</v>
      </c>
      <c r="AK14" s="25">
        <f>'Restating Adj'!AB14</f>
        <v>0</v>
      </c>
      <c r="AL14" s="25">
        <f>'Restating Adj'!AC14</f>
        <v>0</v>
      </c>
      <c r="AM14" s="28">
        <f>'Restating Adj'!AD14</f>
        <v>0</v>
      </c>
      <c r="AN14" s="25">
        <f>'Restating Adj'!AE14</f>
        <v>0</v>
      </c>
      <c r="AO14" s="17">
        <f>'Restating Adj'!AF14</f>
        <v>0</v>
      </c>
      <c r="AP14" s="25">
        <f>'Restating Adj'!AG14</f>
        <v>0</v>
      </c>
      <c r="AQ14" s="28">
        <f>'Pro Forma Adj'!P14</f>
        <v>0</v>
      </c>
      <c r="AR14" s="28">
        <f>'Restating Adj'!AH14</f>
        <v>0</v>
      </c>
      <c r="AS14" s="28">
        <f>'Restating Adj'!AI14</f>
        <v>0</v>
      </c>
      <c r="AT14" s="30">
        <f>'Pro Forma Adj'!Q14</f>
        <v>0</v>
      </c>
      <c r="AU14" s="237">
        <f>'Pro Forma Adj'!R14</f>
        <v>0</v>
      </c>
      <c r="AV14" s="262">
        <f>'Pro Forma Adj'!S14</f>
        <v>0</v>
      </c>
      <c r="AW14" s="138">
        <f>'Restating Adj'!AJ14</f>
        <v>0</v>
      </c>
      <c r="AX14" s="25">
        <f>'Restating Adj'!AK14</f>
        <v>0</v>
      </c>
      <c r="AY14" s="25">
        <f>'Restating Adj'!AL14</f>
        <v>0</v>
      </c>
      <c r="AZ14" s="28">
        <f>'Restating Adj'!AM14</f>
        <v>0</v>
      </c>
      <c r="BA14" s="25">
        <f>'Restating Adj'!AN14+'Pro Forma Adj'!T14</f>
        <v>0</v>
      </c>
      <c r="BB14" s="25">
        <f>'Pro Forma Adj'!U14</f>
        <v>-46151633.162128016</v>
      </c>
      <c r="BC14" s="25">
        <f>'Pro Forma Adj'!V14</f>
        <v>0</v>
      </c>
      <c r="BD14" s="25">
        <f>'Pro Forma Adj'!W14</f>
        <v>-64300.224244192243</v>
      </c>
      <c r="BE14" s="17">
        <f>'Restating Adj'!AO14+'Pro Forma Adj'!X14</f>
        <v>0</v>
      </c>
      <c r="BF14" s="30">
        <f>'Restating Adj'!AP14+'Pro Forma Adj'!Y14</f>
        <v>0</v>
      </c>
      <c r="BI14" s="301">
        <f>B14-(Summary!D11+Summary!H11)</f>
        <v>0</v>
      </c>
    </row>
    <row r="15" spans="1:61">
      <c r="A15" s="61" t="s">
        <v>69</v>
      </c>
      <c r="B15" s="80">
        <f>SUM(C15:BF15)</f>
        <v>-1173927.4576984197</v>
      </c>
      <c r="C15" s="26">
        <f>'Restating Adj'!C15</f>
        <v>0</v>
      </c>
      <c r="D15" s="28">
        <f>'Restating Adj'!D15</f>
        <v>0</v>
      </c>
      <c r="E15" s="28">
        <f>'Pro Forma Adj'!C15</f>
        <v>0</v>
      </c>
      <c r="F15" s="219">
        <f>'Restating Adj'!E15</f>
        <v>0</v>
      </c>
      <c r="G15" s="218">
        <f>'Restating Adj'!F15</f>
        <v>0</v>
      </c>
      <c r="H15" s="29">
        <f>'Restating Adj'!G15+'Pro Forma Adj'!D15</f>
        <v>85586.80122413623</v>
      </c>
      <c r="I15" s="26">
        <f>'Restating Adj'!H15</f>
        <v>0</v>
      </c>
      <c r="J15" s="28">
        <f>'Restating Adj'!I15</f>
        <v>0</v>
      </c>
      <c r="K15" s="28">
        <f>'Pro Forma Adj'!E15</f>
        <v>0</v>
      </c>
      <c r="L15" s="28">
        <f>'Pro Forma Adj'!F15</f>
        <v>0</v>
      </c>
      <c r="M15" s="219">
        <f>'Restating Adj'!J15</f>
        <v>0</v>
      </c>
      <c r="N15" s="28">
        <f>'Restating Adj'!K15</f>
        <v>0</v>
      </c>
      <c r="O15" s="25">
        <f>'Restating Adj'!L15</f>
        <v>0</v>
      </c>
      <c r="P15" s="29">
        <f>'Pro Forma Adj'!G15</f>
        <v>0</v>
      </c>
      <c r="Q15" s="26">
        <f>'Restating Adj'!M15</f>
        <v>0</v>
      </c>
      <c r="R15" s="219">
        <f>'Pro Forma Adj'!H15</f>
        <v>0</v>
      </c>
      <c r="S15" s="28">
        <f>'Restating Adj'!N15</f>
        <v>0</v>
      </c>
      <c r="T15" s="28">
        <f>'Restating Adj'!O15</f>
        <v>0</v>
      </c>
      <c r="U15" s="28">
        <f>'Pro Forma Adj'!I15</f>
        <v>1178569.3667911782</v>
      </c>
      <c r="V15" s="30">
        <f>'Restating Adj'!P15</f>
        <v>0</v>
      </c>
      <c r="W15" s="77">
        <f>'Restating Adj'!Q15+'Pro Forma Adj'!J15</f>
        <v>0</v>
      </c>
      <c r="X15" s="237">
        <f>'Restating Adj'!R15+'Pro Forma Adj'!K15</f>
        <v>0</v>
      </c>
      <c r="Y15" s="28">
        <f>'Restating Adj'!S15</f>
        <v>0</v>
      </c>
      <c r="Z15" s="28">
        <f>'Pro Forma Adj'!L15</f>
        <v>0</v>
      </c>
      <c r="AA15" s="28">
        <f>'Restating Adj'!T15</f>
        <v>0</v>
      </c>
      <c r="AB15" s="28">
        <f>'Restating Adj'!U15</f>
        <v>0</v>
      </c>
      <c r="AC15" s="28">
        <f>'Restating Adj'!V15</f>
        <v>0</v>
      </c>
      <c r="AD15" s="28">
        <f>'Pro Forma Adj'!M15</f>
        <v>0</v>
      </c>
      <c r="AE15" s="28">
        <f>'Restating Adj'!W15</f>
        <v>0</v>
      </c>
      <c r="AF15" s="28">
        <f>'Restating Adj'!X15</f>
        <v>0</v>
      </c>
      <c r="AG15" s="28">
        <f>'Restating Adj'!Y15</f>
        <v>0</v>
      </c>
      <c r="AH15" s="28">
        <f>'Restating Adj'!Z15</f>
        <v>0</v>
      </c>
      <c r="AI15" s="29">
        <f>'Pro Forma Adj'!N15</f>
        <v>0</v>
      </c>
      <c r="AJ15" s="237">
        <f>'Restating Adj'!AA15+'Pro Forma Adj'!O15</f>
        <v>0</v>
      </c>
      <c r="AK15" s="25">
        <f>'Restating Adj'!AB15</f>
        <v>0</v>
      </c>
      <c r="AL15" s="25">
        <f>'Restating Adj'!AC15</f>
        <v>0</v>
      </c>
      <c r="AM15" s="28">
        <f>'Restating Adj'!AD15</f>
        <v>0</v>
      </c>
      <c r="AN15" s="25">
        <f>'Restating Adj'!AE15</f>
        <v>0</v>
      </c>
      <c r="AO15" s="17">
        <f>'Restating Adj'!AF15</f>
        <v>0</v>
      </c>
      <c r="AP15" s="25">
        <f>'Restating Adj'!AG15</f>
        <v>0</v>
      </c>
      <c r="AQ15" s="28">
        <f>'Pro Forma Adj'!P15</f>
        <v>0</v>
      </c>
      <c r="AR15" s="28">
        <f>'Restating Adj'!AH15</f>
        <v>0</v>
      </c>
      <c r="AS15" s="28">
        <f>'Restating Adj'!AI15</f>
        <v>0</v>
      </c>
      <c r="AT15" s="30">
        <f>'Pro Forma Adj'!Q15</f>
        <v>-3000000</v>
      </c>
      <c r="AU15" s="237">
        <f>'Pro Forma Adj'!R15</f>
        <v>0</v>
      </c>
      <c r="AV15" s="262">
        <f>'Pro Forma Adj'!S15</f>
        <v>0</v>
      </c>
      <c r="AW15" s="138">
        <f>'Restating Adj'!AJ15</f>
        <v>0</v>
      </c>
      <c r="AX15" s="25">
        <f>'Restating Adj'!AK15</f>
        <v>0</v>
      </c>
      <c r="AY15" s="25">
        <f>'Restating Adj'!AL15</f>
        <v>0</v>
      </c>
      <c r="AZ15" s="28">
        <f>'Restating Adj'!AM15</f>
        <v>0</v>
      </c>
      <c r="BA15" s="25">
        <f>'Restating Adj'!AN15+'Pro Forma Adj'!T15</f>
        <v>572456.33713157289</v>
      </c>
      <c r="BB15" s="25">
        <f>'Pro Forma Adj'!U15</f>
        <v>0</v>
      </c>
      <c r="BC15" s="25">
        <f>'Pro Forma Adj'!V15</f>
        <v>0</v>
      </c>
      <c r="BD15" s="25">
        <f>'Pro Forma Adj'!W15</f>
        <v>-10539.962845307076</v>
      </c>
      <c r="BE15" s="17">
        <f>'Restating Adj'!AO15+'Pro Forma Adj'!X15</f>
        <v>0</v>
      </c>
      <c r="BF15" s="30">
        <f>'Restating Adj'!AP15+'Pro Forma Adj'!Y15</f>
        <v>0</v>
      </c>
      <c r="BI15" s="301">
        <f>B15-(Summary!D12+Summary!H12)</f>
        <v>0</v>
      </c>
    </row>
    <row r="16" spans="1:61">
      <c r="A16" s="61" t="s">
        <v>70</v>
      </c>
      <c r="B16" s="78">
        <f>SUM(C16:BF16)</f>
        <v>-37921627.120771751</v>
      </c>
      <c r="C16" s="33">
        <f>SUM(C12:C15)</f>
        <v>-6704444.6599999983</v>
      </c>
      <c r="D16" s="31">
        <f t="shared" ref="D16:BF16" si="0">SUM(D12:D15)</f>
        <v>-33120.929999989981</v>
      </c>
      <c r="E16" s="31">
        <f t="shared" ref="E16" si="1">SUM(E12:E15)</f>
        <v>12402155.109999999</v>
      </c>
      <c r="F16" s="220">
        <f t="shared" si="0"/>
        <v>0</v>
      </c>
      <c r="G16" s="220">
        <f t="shared" si="0"/>
        <v>0</v>
      </c>
      <c r="H16" s="34">
        <f t="shared" si="0"/>
        <v>85586.80122413623</v>
      </c>
      <c r="I16" s="33">
        <f t="shared" si="0"/>
        <v>0</v>
      </c>
      <c r="J16" s="31">
        <f t="shared" si="0"/>
        <v>0</v>
      </c>
      <c r="K16" s="31">
        <f t="shared" ref="K16:L16" si="2">SUM(K12:K15)</f>
        <v>0</v>
      </c>
      <c r="L16" s="31">
        <f t="shared" si="2"/>
        <v>0</v>
      </c>
      <c r="M16" s="220">
        <f t="shared" si="0"/>
        <v>0</v>
      </c>
      <c r="N16" s="31">
        <f t="shared" si="0"/>
        <v>0</v>
      </c>
      <c r="O16" s="31">
        <f t="shared" si="0"/>
        <v>0</v>
      </c>
      <c r="P16" s="34">
        <f t="shared" ref="P16" si="3">SUM(P12:P15)</f>
        <v>0</v>
      </c>
      <c r="Q16" s="33">
        <f t="shared" si="0"/>
        <v>3803644.2032988709</v>
      </c>
      <c r="R16" s="220">
        <f t="shared" ref="R16" si="4">SUM(R12:R15)</f>
        <v>0</v>
      </c>
      <c r="S16" s="31">
        <f t="shared" si="0"/>
        <v>0</v>
      </c>
      <c r="T16" s="31">
        <f t="shared" si="0"/>
        <v>0</v>
      </c>
      <c r="U16" s="31">
        <f t="shared" ref="U16" si="5">SUM(U12:U15)</f>
        <v>1178569.3667911782</v>
      </c>
      <c r="V16" s="34">
        <f t="shared" si="0"/>
        <v>0</v>
      </c>
      <c r="W16" s="78">
        <f t="shared" si="0"/>
        <v>0</v>
      </c>
      <c r="X16" s="238">
        <f t="shared" si="0"/>
        <v>0</v>
      </c>
      <c r="Y16" s="31">
        <f t="shared" si="0"/>
        <v>0</v>
      </c>
      <c r="Z16" s="31">
        <f t="shared" ref="Z16" si="6">SUM(Z12:Z15)</f>
        <v>0</v>
      </c>
      <c r="AA16" s="31">
        <f t="shared" si="0"/>
        <v>0</v>
      </c>
      <c r="AB16" s="31">
        <f t="shared" si="0"/>
        <v>0</v>
      </c>
      <c r="AC16" s="31">
        <f t="shared" si="0"/>
        <v>0</v>
      </c>
      <c r="AD16" s="31">
        <f t="shared" ref="AD16" si="7">SUM(AD12:AD15)</f>
        <v>0</v>
      </c>
      <c r="AE16" s="31">
        <f t="shared" si="0"/>
        <v>0</v>
      </c>
      <c r="AF16" s="31">
        <f t="shared" si="0"/>
        <v>0</v>
      </c>
      <c r="AG16" s="31">
        <f t="shared" si="0"/>
        <v>0</v>
      </c>
      <c r="AH16" s="31">
        <f t="shared" si="0"/>
        <v>0</v>
      </c>
      <c r="AI16" s="34">
        <f t="shared" ref="AI16" si="8">SUM(AI12:AI15)</f>
        <v>0</v>
      </c>
      <c r="AJ16" s="238">
        <f t="shared" si="0"/>
        <v>0</v>
      </c>
      <c r="AK16" s="31">
        <f t="shared" si="0"/>
        <v>0</v>
      </c>
      <c r="AL16" s="31">
        <f t="shared" si="0"/>
        <v>0</v>
      </c>
      <c r="AM16" s="31">
        <f t="shared" si="0"/>
        <v>0</v>
      </c>
      <c r="AN16" s="31">
        <f t="shared" si="0"/>
        <v>0</v>
      </c>
      <c r="AO16" s="31">
        <f t="shared" si="0"/>
        <v>0</v>
      </c>
      <c r="AP16" s="31">
        <f t="shared" si="0"/>
        <v>0</v>
      </c>
      <c r="AQ16" s="31">
        <f t="shared" ref="AQ16" si="9">SUM(AQ12:AQ15)</f>
        <v>0</v>
      </c>
      <c r="AR16" s="31">
        <f t="shared" si="0"/>
        <v>0</v>
      </c>
      <c r="AS16" s="31">
        <f t="shared" si="0"/>
        <v>0</v>
      </c>
      <c r="AT16" s="34">
        <f t="shared" ref="AT16" si="10">SUM(AT12:AT15)</f>
        <v>-3000000</v>
      </c>
      <c r="AU16" s="238">
        <f t="shared" ref="AU16" si="11">SUM(AU12:AU15)</f>
        <v>0</v>
      </c>
      <c r="AV16" s="263">
        <f>SUM(AV12:AV15)</f>
        <v>0</v>
      </c>
      <c r="AW16" s="139">
        <f t="shared" si="0"/>
        <v>0</v>
      </c>
      <c r="AX16" s="31">
        <f t="shared" si="0"/>
        <v>0</v>
      </c>
      <c r="AY16" s="31">
        <f t="shared" si="0"/>
        <v>0</v>
      </c>
      <c r="AZ16" s="31">
        <f t="shared" si="0"/>
        <v>0</v>
      </c>
      <c r="BA16" s="31">
        <f t="shared" si="0"/>
        <v>572456.33713157289</v>
      </c>
      <c r="BB16" s="31">
        <f t="shared" ref="BB16:BD16" si="12">SUM(BB12:BB15)</f>
        <v>-46151633.162128016</v>
      </c>
      <c r="BC16" s="31">
        <f t="shared" si="12"/>
        <v>0</v>
      </c>
      <c r="BD16" s="31">
        <f t="shared" si="12"/>
        <v>-74840.187089499319</v>
      </c>
      <c r="BE16" s="31">
        <f t="shared" si="0"/>
        <v>0</v>
      </c>
      <c r="BF16" s="34">
        <f t="shared" si="0"/>
        <v>0</v>
      </c>
      <c r="BI16" s="301">
        <f>B16-(Summary!D13+Summary!H13)</f>
        <v>0</v>
      </c>
    </row>
    <row r="17" spans="1:61">
      <c r="A17" s="61"/>
      <c r="B17" s="76"/>
      <c r="C17" s="20"/>
      <c r="D17" s="17"/>
      <c r="E17" s="17"/>
      <c r="F17" s="216"/>
      <c r="G17" s="216"/>
      <c r="H17" s="22"/>
      <c r="I17" s="20"/>
      <c r="J17" s="17"/>
      <c r="K17" s="17"/>
      <c r="L17" s="17"/>
      <c r="M17" s="216"/>
      <c r="N17" s="17"/>
      <c r="O17" s="17"/>
      <c r="P17" s="22"/>
      <c r="Q17" s="20"/>
      <c r="R17" s="216"/>
      <c r="S17" s="17"/>
      <c r="T17" s="17"/>
      <c r="U17" s="17"/>
      <c r="V17" s="22"/>
      <c r="W17" s="76"/>
      <c r="X17" s="236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22"/>
      <c r="AJ17" s="236"/>
      <c r="AK17" s="17"/>
      <c r="AL17" s="17"/>
      <c r="AM17" s="17"/>
      <c r="AN17" s="17"/>
      <c r="AO17" s="17"/>
      <c r="AP17" s="17"/>
      <c r="AQ17" s="17"/>
      <c r="AR17" s="17"/>
      <c r="AS17" s="17"/>
      <c r="AT17" s="22"/>
      <c r="AU17" s="236"/>
      <c r="AV17" s="261"/>
      <c r="AW17" s="136"/>
      <c r="AX17" s="17"/>
      <c r="AY17" s="17"/>
      <c r="AZ17" s="17"/>
      <c r="BA17" s="17"/>
      <c r="BB17" s="17"/>
      <c r="BC17" s="17"/>
      <c r="BD17" s="17"/>
      <c r="BE17" s="17"/>
      <c r="BF17" s="22"/>
      <c r="BI17" s="301">
        <f>B17-(Summary!D14+Summary!H14)</f>
        <v>0</v>
      </c>
    </row>
    <row r="18" spans="1:61">
      <c r="A18" s="61" t="s">
        <v>71</v>
      </c>
      <c r="B18" s="76"/>
      <c r="C18" s="20"/>
      <c r="D18" s="17"/>
      <c r="E18" s="17"/>
      <c r="F18" s="216"/>
      <c r="G18" s="216"/>
      <c r="H18" s="22"/>
      <c r="I18" s="20"/>
      <c r="J18" s="17"/>
      <c r="K18" s="17"/>
      <c r="L18" s="17"/>
      <c r="M18" s="216"/>
      <c r="N18" s="17"/>
      <c r="O18" s="17"/>
      <c r="P18" s="22"/>
      <c r="Q18" s="20"/>
      <c r="R18" s="216"/>
      <c r="S18" s="17"/>
      <c r="T18" s="17"/>
      <c r="U18" s="17"/>
      <c r="V18" s="22"/>
      <c r="W18" s="76"/>
      <c r="X18" s="239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22"/>
      <c r="AJ18" s="236"/>
      <c r="AK18" s="17"/>
      <c r="AL18" s="17"/>
      <c r="AM18" s="17"/>
      <c r="AN18" s="17"/>
      <c r="AO18" s="17"/>
      <c r="AP18" s="17"/>
      <c r="AQ18" s="17"/>
      <c r="AR18" s="17"/>
      <c r="AS18" s="17"/>
      <c r="AT18" s="22"/>
      <c r="AU18" s="236"/>
      <c r="AV18" s="261"/>
      <c r="AW18" s="136"/>
      <c r="AX18" s="17"/>
      <c r="AY18" s="17"/>
      <c r="AZ18" s="17"/>
      <c r="BA18" s="17"/>
      <c r="BB18" s="17"/>
      <c r="BC18" s="17"/>
      <c r="BD18" s="17"/>
      <c r="BE18" s="17"/>
      <c r="BF18" s="22"/>
      <c r="BI18" s="301">
        <f>B18-(Summary!D15+Summary!H15)</f>
        <v>0</v>
      </c>
    </row>
    <row r="19" spans="1:61">
      <c r="A19" s="61" t="s">
        <v>72</v>
      </c>
      <c r="B19" s="80">
        <f t="shared" ref="B19:B40" si="13">SUM(C19:BF19)</f>
        <v>2564871.6501336107</v>
      </c>
      <c r="C19" s="26">
        <f>'Restating Adj'!C19</f>
        <v>0</v>
      </c>
      <c r="D19" s="28">
        <f>'Restating Adj'!D19</f>
        <v>0</v>
      </c>
      <c r="E19" s="28">
        <f>'Pro Forma Adj'!C19</f>
        <v>0</v>
      </c>
      <c r="F19" s="219">
        <f>'Restating Adj'!E19</f>
        <v>0</v>
      </c>
      <c r="G19" s="218">
        <f>'Restating Adj'!F19</f>
        <v>0</v>
      </c>
      <c r="H19" s="29">
        <f>'Restating Adj'!G19+'Pro Forma Adj'!D19</f>
        <v>0</v>
      </c>
      <c r="I19" s="26">
        <f>'Restating Adj'!H19</f>
        <v>0</v>
      </c>
      <c r="J19" s="28">
        <f>'Restating Adj'!I19</f>
        <v>4568.3264503989094</v>
      </c>
      <c r="K19" s="28">
        <f>'Pro Forma Adj'!E19</f>
        <v>59054.702015338407</v>
      </c>
      <c r="L19" s="28">
        <f>'Pro Forma Adj'!F19</f>
        <v>0</v>
      </c>
      <c r="M19" s="219">
        <f>'Restating Adj'!J19</f>
        <v>0</v>
      </c>
      <c r="N19" s="28">
        <f>'Restating Adj'!K19</f>
        <v>0</v>
      </c>
      <c r="O19" s="25">
        <f>'Restating Adj'!L19</f>
        <v>-91.506246302488393</v>
      </c>
      <c r="P19" s="29">
        <f>'Pro Forma Adj'!G19</f>
        <v>0</v>
      </c>
      <c r="Q19" s="26">
        <f>'Restating Adj'!M19</f>
        <v>-1306516.3102050694</v>
      </c>
      <c r="R19" s="219">
        <f>'Pro Forma Adj'!H19</f>
        <v>0</v>
      </c>
      <c r="S19" s="28">
        <f>'Restating Adj'!N19</f>
        <v>0</v>
      </c>
      <c r="T19" s="28">
        <f>'Restating Adj'!O19</f>
        <v>0</v>
      </c>
      <c r="U19" s="28">
        <f>'Pro Forma Adj'!I19</f>
        <v>0</v>
      </c>
      <c r="V19" s="29">
        <f>'Restating Adj'!P19</f>
        <v>0</v>
      </c>
      <c r="W19" s="77">
        <f>'Restating Adj'!Q19+'Pro Forma Adj'!J19</f>
        <v>0</v>
      </c>
      <c r="X19" s="237">
        <f>'Restating Adj'!R19+'Pro Forma Adj'!K19</f>
        <v>0</v>
      </c>
      <c r="Y19" s="28">
        <f>'Restating Adj'!S19</f>
        <v>0</v>
      </c>
      <c r="Z19" s="28">
        <f>'Pro Forma Adj'!L19</f>
        <v>0</v>
      </c>
      <c r="AA19" s="28">
        <f>'Restating Adj'!T19</f>
        <v>0</v>
      </c>
      <c r="AB19" s="28">
        <f>'Restating Adj'!U19</f>
        <v>0</v>
      </c>
      <c r="AC19" s="28">
        <f>'Restating Adj'!V19</f>
        <v>0</v>
      </c>
      <c r="AD19" s="28">
        <f>'Pro Forma Adj'!M19</f>
        <v>0</v>
      </c>
      <c r="AE19" s="28">
        <f>'Restating Adj'!W19</f>
        <v>0</v>
      </c>
      <c r="AF19" s="28">
        <f>'Restating Adj'!X19</f>
        <v>0</v>
      </c>
      <c r="AG19" s="28">
        <f>'Restating Adj'!Y19</f>
        <v>0</v>
      </c>
      <c r="AH19" s="28">
        <f>'Restating Adj'!Z19</f>
        <v>0</v>
      </c>
      <c r="AI19" s="29">
        <f>'Pro Forma Adj'!N19</f>
        <v>0</v>
      </c>
      <c r="AJ19" s="237">
        <f>'Restating Adj'!AA19+'Pro Forma Adj'!O19</f>
        <v>0</v>
      </c>
      <c r="AK19" s="25">
        <f>'Restating Adj'!AB19</f>
        <v>0</v>
      </c>
      <c r="AL19" s="25">
        <f>'Restating Adj'!AC19</f>
        <v>0</v>
      </c>
      <c r="AM19" s="28">
        <f>'Restating Adj'!AD19</f>
        <v>0</v>
      </c>
      <c r="AN19" s="25">
        <f>'Restating Adj'!AE19</f>
        <v>0</v>
      </c>
      <c r="AO19" s="17">
        <f>'Restating Adj'!AF19</f>
        <v>0</v>
      </c>
      <c r="AP19" s="25">
        <f>'Restating Adj'!AG19</f>
        <v>0</v>
      </c>
      <c r="AQ19" s="28">
        <f>'Pro Forma Adj'!P19</f>
        <v>0</v>
      </c>
      <c r="AR19" s="28">
        <f>'Restating Adj'!AH19</f>
        <v>0</v>
      </c>
      <c r="AS19" s="28">
        <f>'Restating Adj'!AI19</f>
        <v>0</v>
      </c>
      <c r="AT19" s="30">
        <f>'Pro Forma Adj'!Q19</f>
        <v>0</v>
      </c>
      <c r="AU19" s="237">
        <f>'Pro Forma Adj'!R19</f>
        <v>0</v>
      </c>
      <c r="AV19" s="262">
        <f>'Pro Forma Adj'!S19</f>
        <v>0</v>
      </c>
      <c r="AW19" s="138">
        <f>'Restating Adj'!AJ19</f>
        <v>0</v>
      </c>
      <c r="AX19" s="25">
        <f>'Restating Adj'!AK19</f>
        <v>0</v>
      </c>
      <c r="AY19" s="25">
        <f>'Restating Adj'!AL19</f>
        <v>0</v>
      </c>
      <c r="AZ19" s="28">
        <f>'Restating Adj'!AM19</f>
        <v>0</v>
      </c>
      <c r="BA19" s="25">
        <f>'Restating Adj'!AN19+'Pro Forma Adj'!T19</f>
        <v>0</v>
      </c>
      <c r="BB19" s="25">
        <f>'Pro Forma Adj'!U19</f>
        <v>3898053.4118813579</v>
      </c>
      <c r="BC19" s="25">
        <f>'Pro Forma Adj'!V19</f>
        <v>-22243.143699253771</v>
      </c>
      <c r="BD19" s="25">
        <f>'Pro Forma Adj'!W19</f>
        <v>-67953.83006285876</v>
      </c>
      <c r="BE19" s="17">
        <f>'Restating Adj'!AO19+'Pro Forma Adj'!X19</f>
        <v>0</v>
      </c>
      <c r="BF19" s="30">
        <f>'Restating Adj'!AP19+'Pro Forma Adj'!Y19</f>
        <v>0</v>
      </c>
      <c r="BI19" s="301">
        <f>B19-(Summary!D16+Summary!H16)</f>
        <v>0</v>
      </c>
    </row>
    <row r="20" spans="1:61">
      <c r="A20" s="61" t="s">
        <v>73</v>
      </c>
      <c r="B20" s="80">
        <f t="shared" si="13"/>
        <v>0</v>
      </c>
      <c r="C20" s="26">
        <f>'Restating Adj'!C20</f>
        <v>0</v>
      </c>
      <c r="D20" s="28">
        <f>'Restating Adj'!D20</f>
        <v>0</v>
      </c>
      <c r="E20" s="28">
        <f>'Pro Forma Adj'!C20</f>
        <v>0</v>
      </c>
      <c r="F20" s="219">
        <f>'Restating Adj'!E20</f>
        <v>0</v>
      </c>
      <c r="G20" s="218">
        <f>'Restating Adj'!F20</f>
        <v>0</v>
      </c>
      <c r="H20" s="29">
        <f>'Restating Adj'!G20+'Pro Forma Adj'!D20</f>
        <v>0</v>
      </c>
      <c r="I20" s="26">
        <f>'Restating Adj'!H20</f>
        <v>0</v>
      </c>
      <c r="J20" s="28">
        <f>'Restating Adj'!I20</f>
        <v>0</v>
      </c>
      <c r="K20" s="28">
        <f>'Pro Forma Adj'!E20</f>
        <v>0</v>
      </c>
      <c r="L20" s="28">
        <f>'Pro Forma Adj'!F20</f>
        <v>0</v>
      </c>
      <c r="M20" s="219">
        <f>'Restating Adj'!J20</f>
        <v>0</v>
      </c>
      <c r="N20" s="28">
        <f>'Restating Adj'!K20</f>
        <v>0</v>
      </c>
      <c r="O20" s="25">
        <f>'Restating Adj'!L20</f>
        <v>0</v>
      </c>
      <c r="P20" s="29">
        <f>'Pro Forma Adj'!G20</f>
        <v>0</v>
      </c>
      <c r="Q20" s="26">
        <f>'Restating Adj'!M20</f>
        <v>0</v>
      </c>
      <c r="R20" s="219">
        <f>'Pro Forma Adj'!H20</f>
        <v>0</v>
      </c>
      <c r="S20" s="28">
        <f>'Restating Adj'!N20</f>
        <v>0</v>
      </c>
      <c r="T20" s="28">
        <f>'Restating Adj'!O20</f>
        <v>0</v>
      </c>
      <c r="U20" s="28">
        <f>'Pro Forma Adj'!I20</f>
        <v>0</v>
      </c>
      <c r="V20" s="29">
        <f>'Restating Adj'!P20</f>
        <v>0</v>
      </c>
      <c r="W20" s="77">
        <f>'Restating Adj'!Q20+'Pro Forma Adj'!J20</f>
        <v>0</v>
      </c>
      <c r="X20" s="237">
        <f>'Restating Adj'!R20+'Pro Forma Adj'!K20</f>
        <v>0</v>
      </c>
      <c r="Y20" s="28">
        <f>'Restating Adj'!S20</f>
        <v>0</v>
      </c>
      <c r="Z20" s="28">
        <f>'Pro Forma Adj'!L20</f>
        <v>0</v>
      </c>
      <c r="AA20" s="28">
        <f>'Restating Adj'!T20</f>
        <v>0</v>
      </c>
      <c r="AB20" s="28">
        <f>'Restating Adj'!U20</f>
        <v>0</v>
      </c>
      <c r="AC20" s="28">
        <f>'Restating Adj'!V20</f>
        <v>0</v>
      </c>
      <c r="AD20" s="28">
        <f>'Pro Forma Adj'!M20</f>
        <v>0</v>
      </c>
      <c r="AE20" s="28">
        <f>'Restating Adj'!W20</f>
        <v>0</v>
      </c>
      <c r="AF20" s="28">
        <f>'Restating Adj'!X20</f>
        <v>0</v>
      </c>
      <c r="AG20" s="28">
        <f>'Restating Adj'!Y20</f>
        <v>0</v>
      </c>
      <c r="AH20" s="28">
        <f>'Restating Adj'!Z20</f>
        <v>0</v>
      </c>
      <c r="AI20" s="29">
        <f>'Pro Forma Adj'!N20</f>
        <v>0</v>
      </c>
      <c r="AJ20" s="237">
        <f>'Restating Adj'!AA20+'Pro Forma Adj'!O20</f>
        <v>0</v>
      </c>
      <c r="AK20" s="25">
        <f>'Restating Adj'!AB20</f>
        <v>0</v>
      </c>
      <c r="AL20" s="25">
        <f>'Restating Adj'!AC20</f>
        <v>0</v>
      </c>
      <c r="AM20" s="28">
        <f>'Restating Adj'!AD20</f>
        <v>0</v>
      </c>
      <c r="AN20" s="25">
        <f>'Restating Adj'!AE20</f>
        <v>0</v>
      </c>
      <c r="AO20" s="17">
        <f>'Restating Adj'!AF20</f>
        <v>0</v>
      </c>
      <c r="AP20" s="25">
        <f>'Restating Adj'!AG20</f>
        <v>0</v>
      </c>
      <c r="AQ20" s="28">
        <f>'Pro Forma Adj'!P20</f>
        <v>0</v>
      </c>
      <c r="AR20" s="28">
        <f>'Restating Adj'!AH20</f>
        <v>0</v>
      </c>
      <c r="AS20" s="28">
        <f>'Restating Adj'!AI20</f>
        <v>0</v>
      </c>
      <c r="AT20" s="30">
        <f>'Pro Forma Adj'!Q20</f>
        <v>0</v>
      </c>
      <c r="AU20" s="249">
        <f>'Pro Forma Adj'!R20</f>
        <v>0</v>
      </c>
      <c r="AV20" s="262">
        <f>'Pro Forma Adj'!S20</f>
        <v>0</v>
      </c>
      <c r="AW20" s="138">
        <f>'Restating Adj'!AJ20</f>
        <v>0</v>
      </c>
      <c r="AX20" s="25">
        <f>'Restating Adj'!AK20</f>
        <v>0</v>
      </c>
      <c r="AY20" s="25">
        <f>'Restating Adj'!AL20</f>
        <v>0</v>
      </c>
      <c r="AZ20" s="28">
        <f>'Restating Adj'!AM20</f>
        <v>0</v>
      </c>
      <c r="BA20" s="25">
        <f>'Restating Adj'!AN20+'Pro Forma Adj'!T20</f>
        <v>0</v>
      </c>
      <c r="BB20" s="25">
        <f>'Pro Forma Adj'!U20</f>
        <v>0</v>
      </c>
      <c r="BC20" s="25">
        <f>'Pro Forma Adj'!V20</f>
        <v>0</v>
      </c>
      <c r="BD20" s="25">
        <f>'Pro Forma Adj'!W20</f>
        <v>0</v>
      </c>
      <c r="BE20" s="17">
        <f>'Restating Adj'!AO20+'Pro Forma Adj'!X20</f>
        <v>0</v>
      </c>
      <c r="BF20" s="30">
        <f>'Restating Adj'!AP20+'Pro Forma Adj'!Y20</f>
        <v>0</v>
      </c>
      <c r="BI20" s="301">
        <f>B20-(Summary!D17+Summary!H17)</f>
        <v>0</v>
      </c>
    </row>
    <row r="21" spans="1:61">
      <c r="A21" s="61" t="s">
        <v>74</v>
      </c>
      <c r="B21" s="80">
        <f t="shared" si="13"/>
        <v>16092.922938672422</v>
      </c>
      <c r="C21" s="26">
        <f>'Restating Adj'!C21</f>
        <v>0</v>
      </c>
      <c r="D21" s="28">
        <f>'Restating Adj'!D21</f>
        <v>0</v>
      </c>
      <c r="E21" s="28">
        <f>'Pro Forma Adj'!C21</f>
        <v>0</v>
      </c>
      <c r="F21" s="219">
        <f>'Restating Adj'!E21</f>
        <v>0</v>
      </c>
      <c r="G21" s="218">
        <f>'Restating Adj'!F21</f>
        <v>0</v>
      </c>
      <c r="H21" s="29">
        <f>'Restating Adj'!G21+'Pro Forma Adj'!D21</f>
        <v>0</v>
      </c>
      <c r="I21" s="26">
        <f>'Restating Adj'!H21</f>
        <v>0</v>
      </c>
      <c r="J21" s="28">
        <f>'Restating Adj'!I21</f>
        <v>1964.8349516471831</v>
      </c>
      <c r="K21" s="28">
        <f>'Pro Forma Adj'!E21</f>
        <v>25399.398190712527</v>
      </c>
      <c r="L21" s="28">
        <f>'Pro Forma Adj'!F21</f>
        <v>0</v>
      </c>
      <c r="M21" s="219">
        <f>'Restating Adj'!J21</f>
        <v>0</v>
      </c>
      <c r="N21" s="28">
        <f>'Restating Adj'!K21</f>
        <v>0</v>
      </c>
      <c r="O21" s="57">
        <f>'Restating Adj'!L21</f>
        <v>0</v>
      </c>
      <c r="P21" s="29">
        <f>'Pro Forma Adj'!G21</f>
        <v>0</v>
      </c>
      <c r="Q21" s="26">
        <f>'Restating Adj'!M21</f>
        <v>0</v>
      </c>
      <c r="R21" s="219">
        <f>'Pro Forma Adj'!H21</f>
        <v>0</v>
      </c>
      <c r="S21" s="28">
        <f>'Restating Adj'!N21</f>
        <v>0</v>
      </c>
      <c r="T21" s="28">
        <f>'Restating Adj'!O21</f>
        <v>0</v>
      </c>
      <c r="U21" s="28">
        <f>'Pro Forma Adj'!I21</f>
        <v>0</v>
      </c>
      <c r="V21" s="29">
        <f>'Restating Adj'!P21</f>
        <v>0</v>
      </c>
      <c r="W21" s="77">
        <f>'Restating Adj'!Q21+'Pro Forma Adj'!J21</f>
        <v>0</v>
      </c>
      <c r="X21" s="237">
        <f>'Restating Adj'!R21+'Pro Forma Adj'!K21</f>
        <v>0</v>
      </c>
      <c r="Y21" s="28">
        <f>'Restating Adj'!S21</f>
        <v>0</v>
      </c>
      <c r="Z21" s="28">
        <f>'Pro Forma Adj'!L21</f>
        <v>0</v>
      </c>
      <c r="AA21" s="28">
        <f>'Restating Adj'!T21</f>
        <v>0</v>
      </c>
      <c r="AB21" s="28">
        <f>'Restating Adj'!U21</f>
        <v>0</v>
      </c>
      <c r="AC21" s="28">
        <f>'Restating Adj'!V21</f>
        <v>0</v>
      </c>
      <c r="AD21" s="28">
        <f>'Pro Forma Adj'!M21</f>
        <v>0</v>
      </c>
      <c r="AE21" s="28">
        <f>'Restating Adj'!W21</f>
        <v>0</v>
      </c>
      <c r="AF21" s="28">
        <f>'Restating Adj'!X21</f>
        <v>0</v>
      </c>
      <c r="AG21" s="28">
        <f>'Restating Adj'!Y21</f>
        <v>0</v>
      </c>
      <c r="AH21" s="28">
        <f>'Restating Adj'!Z21</f>
        <v>0</v>
      </c>
      <c r="AI21" s="29">
        <f>'Pro Forma Adj'!N21</f>
        <v>0</v>
      </c>
      <c r="AJ21" s="237">
        <f>'Restating Adj'!AA21+'Pro Forma Adj'!O21</f>
        <v>0</v>
      </c>
      <c r="AK21" s="25">
        <f>'Restating Adj'!AB21</f>
        <v>0</v>
      </c>
      <c r="AL21" s="25">
        <f>'Restating Adj'!AC21</f>
        <v>0</v>
      </c>
      <c r="AM21" s="28">
        <f>'Restating Adj'!AD21</f>
        <v>0</v>
      </c>
      <c r="AN21" s="25">
        <f>'Restating Adj'!AE21</f>
        <v>0</v>
      </c>
      <c r="AO21" s="17">
        <f>'Restating Adj'!AF21</f>
        <v>0</v>
      </c>
      <c r="AP21" s="25">
        <f>'Restating Adj'!AG21</f>
        <v>0</v>
      </c>
      <c r="AQ21" s="28">
        <f>'Pro Forma Adj'!P21</f>
        <v>0</v>
      </c>
      <c r="AR21" s="28">
        <f>'Restating Adj'!AH21</f>
        <v>0</v>
      </c>
      <c r="AS21" s="28">
        <f>'Restating Adj'!AI21</f>
        <v>0</v>
      </c>
      <c r="AT21" s="30">
        <f>'Pro Forma Adj'!Q21</f>
        <v>0</v>
      </c>
      <c r="AU21" s="237">
        <f>'Pro Forma Adj'!R21</f>
        <v>0</v>
      </c>
      <c r="AV21" s="262">
        <f>'Pro Forma Adj'!S21</f>
        <v>0</v>
      </c>
      <c r="AW21" s="138">
        <f>'Restating Adj'!AJ21</f>
        <v>0</v>
      </c>
      <c r="AX21" s="25">
        <f>'Restating Adj'!AK21</f>
        <v>0</v>
      </c>
      <c r="AY21" s="25">
        <f>'Restating Adj'!AL21</f>
        <v>0</v>
      </c>
      <c r="AZ21" s="28">
        <f>'Restating Adj'!AM21</f>
        <v>0</v>
      </c>
      <c r="BA21" s="25">
        <f>'Restating Adj'!AN21+'Pro Forma Adj'!T21</f>
        <v>0</v>
      </c>
      <c r="BB21" s="25">
        <f>'Pro Forma Adj'!U21</f>
        <v>0</v>
      </c>
      <c r="BC21" s="25">
        <f>'Pro Forma Adj'!V21</f>
        <v>-11271.310203687288</v>
      </c>
      <c r="BD21" s="25">
        <f>'Pro Forma Adj'!W21</f>
        <v>0</v>
      </c>
      <c r="BE21" s="17">
        <f>'Restating Adj'!AO21+'Pro Forma Adj'!X21</f>
        <v>0</v>
      </c>
      <c r="BF21" s="30">
        <f>'Restating Adj'!AP21+'Pro Forma Adj'!Y21</f>
        <v>0</v>
      </c>
      <c r="BI21" s="301">
        <f>B21-(Summary!D18+Summary!H18)</f>
        <v>0</v>
      </c>
    </row>
    <row r="22" spans="1:61">
      <c r="A22" s="61" t="s">
        <v>75</v>
      </c>
      <c r="B22" s="80">
        <f t="shared" si="13"/>
        <v>-17274844.174361296</v>
      </c>
      <c r="C22" s="26">
        <f>'Restating Adj'!C22</f>
        <v>0</v>
      </c>
      <c r="D22" s="28">
        <f>'Restating Adj'!D22</f>
        <v>0</v>
      </c>
      <c r="E22" s="28">
        <f>'Pro Forma Adj'!C22</f>
        <v>0</v>
      </c>
      <c r="F22" s="219">
        <f>'Restating Adj'!E22</f>
        <v>0</v>
      </c>
      <c r="G22" s="218">
        <f>'Restating Adj'!F22</f>
        <v>0</v>
      </c>
      <c r="H22" s="29">
        <f>'Restating Adj'!G22+'Pro Forma Adj'!D22</f>
        <v>0</v>
      </c>
      <c r="I22" s="26">
        <f>'Restating Adj'!H22</f>
        <v>-398.79035040746351</v>
      </c>
      <c r="J22" s="28">
        <f>'Restating Adj'!I22</f>
        <v>2394.1585700828332</v>
      </c>
      <c r="K22" s="28">
        <f>'Pro Forma Adj'!E22</f>
        <v>30949.259530558389</v>
      </c>
      <c r="L22" s="28">
        <f>'Pro Forma Adj'!F22</f>
        <v>0</v>
      </c>
      <c r="M22" s="219">
        <f>'Restating Adj'!J22</f>
        <v>0</v>
      </c>
      <c r="N22" s="28">
        <f>'Restating Adj'!K22</f>
        <v>0</v>
      </c>
      <c r="O22" s="25">
        <f>'Restating Adj'!L22</f>
        <v>-82916.446129532909</v>
      </c>
      <c r="P22" s="29">
        <f>'Pro Forma Adj'!G22</f>
        <v>0</v>
      </c>
      <c r="Q22" s="26">
        <f>'Restating Adj'!M22</f>
        <v>-5889920.3078454062</v>
      </c>
      <c r="R22" s="219">
        <f>'Pro Forma Adj'!H22</f>
        <v>0</v>
      </c>
      <c r="S22" s="28">
        <f>'Restating Adj'!N22</f>
        <v>152282.21898382137</v>
      </c>
      <c r="T22" s="28">
        <f>'Restating Adj'!O22</f>
        <v>8025121</v>
      </c>
      <c r="U22" s="28">
        <f>'Pro Forma Adj'!I22</f>
        <v>0</v>
      </c>
      <c r="V22" s="29">
        <f>'Restating Adj'!P22</f>
        <v>0</v>
      </c>
      <c r="W22" s="77">
        <f>'Restating Adj'!Q22+'Pro Forma Adj'!J22</f>
        <v>0</v>
      </c>
      <c r="X22" s="237">
        <f>'Restating Adj'!R22+'Pro Forma Adj'!K22</f>
        <v>0</v>
      </c>
      <c r="Y22" s="28">
        <f>'Restating Adj'!S22</f>
        <v>0</v>
      </c>
      <c r="Z22" s="28">
        <f>'Pro Forma Adj'!L22</f>
        <v>0</v>
      </c>
      <c r="AA22" s="28">
        <f>'Restating Adj'!T22</f>
        <v>0</v>
      </c>
      <c r="AB22" s="28">
        <f>'Restating Adj'!U22</f>
        <v>0</v>
      </c>
      <c r="AC22" s="28">
        <f>'Restating Adj'!V22</f>
        <v>0</v>
      </c>
      <c r="AD22" s="28">
        <f>'Pro Forma Adj'!M22</f>
        <v>0</v>
      </c>
      <c r="AE22" s="28">
        <f>'Restating Adj'!W22</f>
        <v>0</v>
      </c>
      <c r="AF22" s="28">
        <f>'Restating Adj'!X22</f>
        <v>0</v>
      </c>
      <c r="AG22" s="28">
        <f>'Restating Adj'!Y22</f>
        <v>0</v>
      </c>
      <c r="AH22" s="28">
        <f>'Restating Adj'!Z22</f>
        <v>0</v>
      </c>
      <c r="AI22" s="29">
        <f>'Pro Forma Adj'!N22</f>
        <v>0</v>
      </c>
      <c r="AJ22" s="237">
        <f>'Restating Adj'!AA22+'Pro Forma Adj'!O22</f>
        <v>0</v>
      </c>
      <c r="AK22" s="25">
        <f>'Restating Adj'!AB22</f>
        <v>0</v>
      </c>
      <c r="AL22" s="25">
        <f>'Restating Adj'!AC22</f>
        <v>0</v>
      </c>
      <c r="AM22" s="28">
        <f>'Restating Adj'!AD22</f>
        <v>0</v>
      </c>
      <c r="AN22" s="25">
        <f>'Restating Adj'!AE22</f>
        <v>0</v>
      </c>
      <c r="AO22" s="17">
        <f>'Restating Adj'!AF22</f>
        <v>0</v>
      </c>
      <c r="AP22" s="25">
        <f>'Restating Adj'!AG22</f>
        <v>0</v>
      </c>
      <c r="AQ22" s="28">
        <f>'Pro Forma Adj'!P22</f>
        <v>0</v>
      </c>
      <c r="AR22" s="28">
        <f>'Restating Adj'!AH22</f>
        <v>0</v>
      </c>
      <c r="AS22" s="28">
        <f>'Restating Adj'!AI22</f>
        <v>0</v>
      </c>
      <c r="AT22" s="30">
        <f>'Pro Forma Adj'!Q22</f>
        <v>0</v>
      </c>
      <c r="AU22" s="237">
        <f>'Pro Forma Adj'!R22</f>
        <v>0</v>
      </c>
      <c r="AV22" s="262">
        <f>'Pro Forma Adj'!S22</f>
        <v>0</v>
      </c>
      <c r="AW22" s="138">
        <f>'Restating Adj'!AJ22</f>
        <v>0</v>
      </c>
      <c r="AX22" s="25">
        <f>'Restating Adj'!AK22</f>
        <v>0</v>
      </c>
      <c r="AY22" s="25">
        <f>'Restating Adj'!AL22</f>
        <v>0</v>
      </c>
      <c r="AZ22" s="28">
        <f>'Restating Adj'!AM22</f>
        <v>0</v>
      </c>
      <c r="BA22" s="25">
        <f>'Restating Adj'!AN22+'Pro Forma Adj'!T22</f>
        <v>0</v>
      </c>
      <c r="BB22" s="25">
        <f>'Pro Forma Adj'!U22</f>
        <v>-19321054.966561835</v>
      </c>
      <c r="BC22" s="25">
        <f>'Pro Forma Adj'!V22</f>
        <v>-15101.892281994558</v>
      </c>
      <c r="BD22" s="25">
        <f>'Pro Forma Adj'!W22</f>
        <v>-176198.4082765826</v>
      </c>
      <c r="BE22" s="17">
        <f>'Restating Adj'!AO22+'Pro Forma Adj'!X22</f>
        <v>0</v>
      </c>
      <c r="BF22" s="30">
        <f>'Restating Adj'!AP22+'Pro Forma Adj'!Y22</f>
        <v>0</v>
      </c>
      <c r="BI22" s="301">
        <f>B22-(Summary!D19+Summary!H19)</f>
        <v>0</v>
      </c>
    </row>
    <row r="23" spans="1:61">
      <c r="A23" s="61" t="s">
        <v>76</v>
      </c>
      <c r="B23" s="80">
        <f t="shared" si="13"/>
        <v>3901103.1892654365</v>
      </c>
      <c r="C23" s="26">
        <f>'Restating Adj'!C23</f>
        <v>0</v>
      </c>
      <c r="D23" s="28">
        <f>'Restating Adj'!D23</f>
        <v>0</v>
      </c>
      <c r="E23" s="28">
        <f>'Pro Forma Adj'!C23</f>
        <v>0</v>
      </c>
      <c r="F23" s="219">
        <f>'Restating Adj'!E23</f>
        <v>0</v>
      </c>
      <c r="G23" s="218">
        <f>'Restating Adj'!F23</f>
        <v>0</v>
      </c>
      <c r="H23" s="29">
        <f>'Restating Adj'!G23+'Pro Forma Adj'!D23</f>
        <v>-7394.9629479036066</v>
      </c>
      <c r="I23" s="26">
        <f>'Restating Adj'!H23</f>
        <v>0</v>
      </c>
      <c r="J23" s="28">
        <f>'Restating Adj'!I23</f>
        <v>1698.9163989500187</v>
      </c>
      <c r="K23" s="28">
        <f>'Pro Forma Adj'!E23</f>
        <v>21961.872203814237</v>
      </c>
      <c r="L23" s="28">
        <f>'Pro Forma Adj'!F23</f>
        <v>0</v>
      </c>
      <c r="M23" s="219">
        <f>'Restating Adj'!J23</f>
        <v>0</v>
      </c>
      <c r="N23" s="28">
        <f>'Restating Adj'!K23</f>
        <v>0</v>
      </c>
      <c r="O23" s="25">
        <f>'Restating Adj'!L23</f>
        <v>-113509.94069594286</v>
      </c>
      <c r="P23" s="29">
        <f>'Pro Forma Adj'!G23</f>
        <v>0</v>
      </c>
      <c r="Q23" s="26">
        <f>'Restating Adj'!M23</f>
        <v>0</v>
      </c>
      <c r="R23" s="219">
        <f>'Pro Forma Adj'!H23</f>
        <v>0</v>
      </c>
      <c r="S23" s="28">
        <f>'Restating Adj'!N23</f>
        <v>0</v>
      </c>
      <c r="T23" s="28">
        <f>'Restating Adj'!O23</f>
        <v>0</v>
      </c>
      <c r="U23" s="28">
        <f>'Pro Forma Adj'!I23</f>
        <v>0</v>
      </c>
      <c r="V23" s="29">
        <f>'Restating Adj'!P23</f>
        <v>0</v>
      </c>
      <c r="W23" s="77">
        <f>'Restating Adj'!Q23+'Pro Forma Adj'!J23</f>
        <v>0</v>
      </c>
      <c r="X23" s="237">
        <f>'Restating Adj'!R23+'Pro Forma Adj'!K23</f>
        <v>0</v>
      </c>
      <c r="Y23" s="28">
        <f>'Restating Adj'!S23</f>
        <v>0</v>
      </c>
      <c r="Z23" s="28">
        <f>'Pro Forma Adj'!L23</f>
        <v>0</v>
      </c>
      <c r="AA23" s="28">
        <f>'Restating Adj'!T23</f>
        <v>0</v>
      </c>
      <c r="AB23" s="28">
        <f>'Restating Adj'!U23</f>
        <v>0</v>
      </c>
      <c r="AC23" s="28">
        <f>'Restating Adj'!V23</f>
        <v>0</v>
      </c>
      <c r="AD23" s="28">
        <f>'Pro Forma Adj'!M23</f>
        <v>0</v>
      </c>
      <c r="AE23" s="28">
        <f>'Restating Adj'!W23</f>
        <v>0</v>
      </c>
      <c r="AF23" s="28">
        <f>'Restating Adj'!X23</f>
        <v>0</v>
      </c>
      <c r="AG23" s="28">
        <f>'Restating Adj'!Y23</f>
        <v>0</v>
      </c>
      <c r="AH23" s="28">
        <f>'Restating Adj'!Z23</f>
        <v>0</v>
      </c>
      <c r="AI23" s="29">
        <f>'Pro Forma Adj'!N23</f>
        <v>0</v>
      </c>
      <c r="AJ23" s="237">
        <f>'Restating Adj'!AA23+'Pro Forma Adj'!O23</f>
        <v>0</v>
      </c>
      <c r="AK23" s="25">
        <f>'Restating Adj'!AB23</f>
        <v>0</v>
      </c>
      <c r="AL23" s="25">
        <f>'Restating Adj'!AC23</f>
        <v>0</v>
      </c>
      <c r="AM23" s="28">
        <f>'Restating Adj'!AD23</f>
        <v>0</v>
      </c>
      <c r="AN23" s="25">
        <f>'Restating Adj'!AE23</f>
        <v>0</v>
      </c>
      <c r="AO23" s="17">
        <f>'Restating Adj'!AF23</f>
        <v>0</v>
      </c>
      <c r="AP23" s="25">
        <f>'Restating Adj'!AG23</f>
        <v>0</v>
      </c>
      <c r="AQ23" s="28">
        <f>'Pro Forma Adj'!P23</f>
        <v>0</v>
      </c>
      <c r="AR23" s="28">
        <f>'Restating Adj'!AH23</f>
        <v>0</v>
      </c>
      <c r="AS23" s="28">
        <f>'Restating Adj'!AI23</f>
        <v>0</v>
      </c>
      <c r="AT23" s="30">
        <f>'Pro Forma Adj'!Q23</f>
        <v>0</v>
      </c>
      <c r="AU23" s="237">
        <f>'Pro Forma Adj'!R23</f>
        <v>0</v>
      </c>
      <c r="AV23" s="262">
        <f>'Pro Forma Adj'!S23</f>
        <v>0</v>
      </c>
      <c r="AW23" s="138">
        <f>'Restating Adj'!AJ23</f>
        <v>0</v>
      </c>
      <c r="AX23" s="25">
        <f>'Restating Adj'!AK23</f>
        <v>0</v>
      </c>
      <c r="AY23" s="25">
        <f>'Restating Adj'!AL23</f>
        <v>0</v>
      </c>
      <c r="AZ23" s="28">
        <f>'Restating Adj'!AM23</f>
        <v>0</v>
      </c>
      <c r="BA23" s="25">
        <f>'Restating Adj'!AN23+'Pro Forma Adj'!T23</f>
        <v>0</v>
      </c>
      <c r="BB23" s="25">
        <f>'Pro Forma Adj'!U23</f>
        <v>4041591.9433055972</v>
      </c>
      <c r="BC23" s="25">
        <f>'Pro Forma Adj'!V23</f>
        <v>0</v>
      </c>
      <c r="BD23" s="25">
        <f>'Pro Forma Adj'!W23</f>
        <v>-43244.638999078306</v>
      </c>
      <c r="BE23" s="17">
        <f>'Restating Adj'!AO23+'Pro Forma Adj'!X23</f>
        <v>0</v>
      </c>
      <c r="BF23" s="30">
        <f>'Restating Adj'!AP23+'Pro Forma Adj'!Y23</f>
        <v>0</v>
      </c>
      <c r="BI23" s="301">
        <f>B23-(Summary!D20+Summary!H20)</f>
        <v>0</v>
      </c>
    </row>
    <row r="24" spans="1:61">
      <c r="A24" s="61" t="s">
        <v>77</v>
      </c>
      <c r="B24" s="80">
        <f t="shared" si="13"/>
        <v>98474.934809274215</v>
      </c>
      <c r="C24" s="26">
        <f>'Restating Adj'!C24</f>
        <v>0</v>
      </c>
      <c r="D24" s="28">
        <f>'Restating Adj'!D24</f>
        <v>0</v>
      </c>
      <c r="E24" s="28">
        <f>'Pro Forma Adj'!C24</f>
        <v>0</v>
      </c>
      <c r="F24" s="219">
        <f>'Restating Adj'!E24</f>
        <v>0</v>
      </c>
      <c r="G24" s="218">
        <f>'Restating Adj'!F24</f>
        <v>0</v>
      </c>
      <c r="H24" s="29">
        <f>'Restating Adj'!G24+'Pro Forma Adj'!D24</f>
        <v>0</v>
      </c>
      <c r="I24" s="26">
        <f>'Restating Adj'!H24</f>
        <v>0</v>
      </c>
      <c r="J24" s="28">
        <f>'Restating Adj'!I24</f>
        <v>7078.6366564097307</v>
      </c>
      <c r="K24" s="28">
        <f>'Pro Forma Adj'!E24</f>
        <v>91505.452370337007</v>
      </c>
      <c r="L24" s="28">
        <f>'Pro Forma Adj'!F24</f>
        <v>0</v>
      </c>
      <c r="M24" s="219">
        <f>'Restating Adj'!J24</f>
        <v>0</v>
      </c>
      <c r="N24" s="28">
        <f>'Restating Adj'!K24</f>
        <v>0</v>
      </c>
      <c r="O24" s="25">
        <f>'Restating Adj'!L24</f>
        <v>-109.15421747251918</v>
      </c>
      <c r="P24" s="29">
        <f>'Pro Forma Adj'!G24</f>
        <v>0</v>
      </c>
      <c r="Q24" s="26">
        <f>'Restating Adj'!M24</f>
        <v>0</v>
      </c>
      <c r="R24" s="219">
        <f>'Pro Forma Adj'!H24</f>
        <v>0</v>
      </c>
      <c r="S24" s="28">
        <f>'Restating Adj'!N24</f>
        <v>0</v>
      </c>
      <c r="T24" s="28">
        <f>'Restating Adj'!O24</f>
        <v>0</v>
      </c>
      <c r="U24" s="28">
        <f>'Pro Forma Adj'!I24</f>
        <v>0</v>
      </c>
      <c r="V24" s="29">
        <f>'Restating Adj'!P24</f>
        <v>0</v>
      </c>
      <c r="W24" s="77">
        <f>'Restating Adj'!Q24+'Pro Forma Adj'!J24</f>
        <v>0</v>
      </c>
      <c r="X24" s="237">
        <f>'Restating Adj'!R24+'Pro Forma Adj'!K24</f>
        <v>0</v>
      </c>
      <c r="Y24" s="28">
        <f>'Restating Adj'!S24</f>
        <v>0</v>
      </c>
      <c r="Z24" s="28">
        <f>'Pro Forma Adj'!L24</f>
        <v>0</v>
      </c>
      <c r="AA24" s="28">
        <f>'Restating Adj'!T24</f>
        <v>0</v>
      </c>
      <c r="AB24" s="28">
        <f>'Restating Adj'!U24</f>
        <v>0</v>
      </c>
      <c r="AC24" s="28">
        <f>'Restating Adj'!V24</f>
        <v>0</v>
      </c>
      <c r="AD24" s="28">
        <f>'Pro Forma Adj'!M24</f>
        <v>0</v>
      </c>
      <c r="AE24" s="28">
        <f>'Restating Adj'!W24</f>
        <v>0</v>
      </c>
      <c r="AF24" s="28">
        <f>'Restating Adj'!X24</f>
        <v>0</v>
      </c>
      <c r="AG24" s="28">
        <f>'Restating Adj'!Y24</f>
        <v>0</v>
      </c>
      <c r="AH24" s="28">
        <f>'Restating Adj'!Z24</f>
        <v>0</v>
      </c>
      <c r="AI24" s="29">
        <f>'Pro Forma Adj'!N24</f>
        <v>0</v>
      </c>
      <c r="AJ24" s="237">
        <f>'Restating Adj'!AA24+'Pro Forma Adj'!O24</f>
        <v>0</v>
      </c>
      <c r="AK24" s="25">
        <f>'Restating Adj'!AB24</f>
        <v>0</v>
      </c>
      <c r="AL24" s="25">
        <f>'Restating Adj'!AC24</f>
        <v>0</v>
      </c>
      <c r="AM24" s="28">
        <f>'Restating Adj'!AD24</f>
        <v>0</v>
      </c>
      <c r="AN24" s="25">
        <f>'Restating Adj'!AE24</f>
        <v>0</v>
      </c>
      <c r="AO24" s="17">
        <f>'Restating Adj'!AF24</f>
        <v>0</v>
      </c>
      <c r="AP24" s="25">
        <f>'Restating Adj'!AG24</f>
        <v>0</v>
      </c>
      <c r="AQ24" s="28">
        <f>'Pro Forma Adj'!P24</f>
        <v>0</v>
      </c>
      <c r="AR24" s="28">
        <f>'Restating Adj'!AH24</f>
        <v>0</v>
      </c>
      <c r="AS24" s="28">
        <f>'Restating Adj'!AI24</f>
        <v>0</v>
      </c>
      <c r="AT24" s="30">
        <f>'Pro Forma Adj'!Q24</f>
        <v>0</v>
      </c>
      <c r="AU24" s="237">
        <f>'Pro Forma Adj'!R24</f>
        <v>0</v>
      </c>
      <c r="AV24" s="262">
        <f>'Pro Forma Adj'!S24</f>
        <v>0</v>
      </c>
      <c r="AW24" s="138">
        <f>'Restating Adj'!AJ24</f>
        <v>0</v>
      </c>
      <c r="AX24" s="25">
        <f>'Restating Adj'!AK24</f>
        <v>0</v>
      </c>
      <c r="AY24" s="25">
        <f>'Restating Adj'!AL24</f>
        <v>0</v>
      </c>
      <c r="AZ24" s="28">
        <f>'Restating Adj'!AM24</f>
        <v>0</v>
      </c>
      <c r="BA24" s="25">
        <f>'Restating Adj'!AN24+'Pro Forma Adj'!T24</f>
        <v>0</v>
      </c>
      <c r="BB24" s="25">
        <f>'Pro Forma Adj'!U24</f>
        <v>0</v>
      </c>
      <c r="BC24" s="25">
        <f>'Pro Forma Adj'!V24</f>
        <v>0</v>
      </c>
      <c r="BD24" s="25">
        <f>'Pro Forma Adj'!W24</f>
        <v>0</v>
      </c>
      <c r="BE24" s="17">
        <f>'Restating Adj'!AO24+'Pro Forma Adj'!X24</f>
        <v>0</v>
      </c>
      <c r="BF24" s="30">
        <f>'Restating Adj'!AP24+'Pro Forma Adj'!Y24</f>
        <v>0</v>
      </c>
      <c r="BI24" s="301">
        <f>B24-(Summary!D21+Summary!H21)</f>
        <v>0</v>
      </c>
    </row>
    <row r="25" spans="1:61">
      <c r="A25" s="61" t="s">
        <v>78</v>
      </c>
      <c r="B25" s="80">
        <f t="shared" si="13"/>
        <v>62199.501023949764</v>
      </c>
      <c r="C25" s="26">
        <f>'Restating Adj'!C25</f>
        <v>0</v>
      </c>
      <c r="D25" s="28">
        <f>'Restating Adj'!D25</f>
        <v>0</v>
      </c>
      <c r="E25" s="28">
        <f>'Pro Forma Adj'!C25</f>
        <v>0</v>
      </c>
      <c r="F25" s="219">
        <f>'Restating Adj'!E25</f>
        <v>0</v>
      </c>
      <c r="G25" s="218">
        <f>'Restating Adj'!F25</f>
        <v>0</v>
      </c>
      <c r="H25" s="29">
        <f>'Restating Adj'!G25+'Pro Forma Adj'!D25</f>
        <v>0</v>
      </c>
      <c r="I25" s="26">
        <f>'Restating Adj'!H25</f>
        <v>0</v>
      </c>
      <c r="J25" s="28">
        <f>'Restating Adj'!I25</f>
        <v>4466.1128616715359</v>
      </c>
      <c r="K25" s="28">
        <f>'Pro Forma Adj'!E25</f>
        <v>57733.388162278228</v>
      </c>
      <c r="L25" s="28">
        <f>'Pro Forma Adj'!F25</f>
        <v>0</v>
      </c>
      <c r="M25" s="219">
        <f>'Restating Adj'!J25</f>
        <v>0</v>
      </c>
      <c r="N25" s="28">
        <f>'Restating Adj'!K25</f>
        <v>0</v>
      </c>
      <c r="O25" s="25">
        <f>'Restating Adj'!L25</f>
        <v>0</v>
      </c>
      <c r="P25" s="29">
        <f>'Pro Forma Adj'!G25</f>
        <v>0</v>
      </c>
      <c r="Q25" s="26">
        <f>'Restating Adj'!M25</f>
        <v>0</v>
      </c>
      <c r="R25" s="219">
        <f>'Pro Forma Adj'!H25</f>
        <v>0</v>
      </c>
      <c r="S25" s="28">
        <f>'Restating Adj'!N25</f>
        <v>0</v>
      </c>
      <c r="T25" s="28">
        <f>'Restating Adj'!O25</f>
        <v>0</v>
      </c>
      <c r="U25" s="28">
        <f>'Pro Forma Adj'!I25</f>
        <v>0</v>
      </c>
      <c r="V25" s="29">
        <f>'Restating Adj'!P25</f>
        <v>0</v>
      </c>
      <c r="W25" s="77">
        <f>'Restating Adj'!Q25+'Pro Forma Adj'!J25</f>
        <v>0</v>
      </c>
      <c r="X25" s="237">
        <f>'Restating Adj'!R25+'Pro Forma Adj'!K25</f>
        <v>0</v>
      </c>
      <c r="Y25" s="28">
        <f>'Restating Adj'!S25</f>
        <v>0</v>
      </c>
      <c r="Z25" s="28">
        <f>'Pro Forma Adj'!L25</f>
        <v>0</v>
      </c>
      <c r="AA25" s="28">
        <f>'Restating Adj'!T25</f>
        <v>0</v>
      </c>
      <c r="AB25" s="28">
        <f>'Restating Adj'!U25</f>
        <v>0</v>
      </c>
      <c r="AC25" s="28">
        <f>'Restating Adj'!V25</f>
        <v>0</v>
      </c>
      <c r="AD25" s="28">
        <f>'Pro Forma Adj'!M25</f>
        <v>0</v>
      </c>
      <c r="AE25" s="28">
        <f>'Restating Adj'!W25</f>
        <v>0</v>
      </c>
      <c r="AF25" s="28">
        <f>'Restating Adj'!X25</f>
        <v>0</v>
      </c>
      <c r="AG25" s="28">
        <f>'Restating Adj'!Y25</f>
        <v>0</v>
      </c>
      <c r="AH25" s="28">
        <f>'Restating Adj'!Z25</f>
        <v>0</v>
      </c>
      <c r="AI25" s="29">
        <f>'Pro Forma Adj'!N25</f>
        <v>0</v>
      </c>
      <c r="AJ25" s="237">
        <f>'Restating Adj'!AA25+'Pro Forma Adj'!O25</f>
        <v>0</v>
      </c>
      <c r="AK25" s="25">
        <f>'Restating Adj'!AB25</f>
        <v>0</v>
      </c>
      <c r="AL25" s="25">
        <f>'Restating Adj'!AC25</f>
        <v>0</v>
      </c>
      <c r="AM25" s="28">
        <f>'Restating Adj'!AD25</f>
        <v>0</v>
      </c>
      <c r="AN25" s="25">
        <f>'Restating Adj'!AE25</f>
        <v>0</v>
      </c>
      <c r="AO25" s="17">
        <f>'Restating Adj'!AF25</f>
        <v>0</v>
      </c>
      <c r="AP25" s="25">
        <f>'Restating Adj'!AG25</f>
        <v>0</v>
      </c>
      <c r="AQ25" s="28">
        <f>'Pro Forma Adj'!P25</f>
        <v>0</v>
      </c>
      <c r="AR25" s="28">
        <f>'Restating Adj'!AH25</f>
        <v>0</v>
      </c>
      <c r="AS25" s="28">
        <f>'Restating Adj'!AI25</f>
        <v>0</v>
      </c>
      <c r="AT25" s="30">
        <f>'Pro Forma Adj'!Q25</f>
        <v>0</v>
      </c>
      <c r="AU25" s="237">
        <f>'Pro Forma Adj'!R25</f>
        <v>0</v>
      </c>
      <c r="AV25" s="262">
        <f>'Pro Forma Adj'!S25</f>
        <v>0</v>
      </c>
      <c r="AW25" s="138">
        <f>'Restating Adj'!AJ25</f>
        <v>0</v>
      </c>
      <c r="AX25" s="25">
        <f>'Restating Adj'!AK25</f>
        <v>0</v>
      </c>
      <c r="AY25" s="25">
        <f>'Restating Adj'!AL25</f>
        <v>0</v>
      </c>
      <c r="AZ25" s="28">
        <f>'Restating Adj'!AM25</f>
        <v>0</v>
      </c>
      <c r="BA25" s="25">
        <f>'Restating Adj'!AN25+'Pro Forma Adj'!T25</f>
        <v>0</v>
      </c>
      <c r="BB25" s="25">
        <f>'Pro Forma Adj'!U25</f>
        <v>0</v>
      </c>
      <c r="BC25" s="25">
        <f>'Pro Forma Adj'!V25</f>
        <v>0</v>
      </c>
      <c r="BD25" s="25">
        <f>'Pro Forma Adj'!W25</f>
        <v>0</v>
      </c>
      <c r="BE25" s="17">
        <f>'Restating Adj'!AO25+'Pro Forma Adj'!X25</f>
        <v>0</v>
      </c>
      <c r="BF25" s="30">
        <f>'Restating Adj'!AP25+'Pro Forma Adj'!Y25</f>
        <v>0</v>
      </c>
      <c r="BI25" s="301">
        <f>B25-(Summary!D22+Summary!H22)</f>
        <v>0</v>
      </c>
    </row>
    <row r="26" spans="1:61">
      <c r="A26" s="61" t="s">
        <v>79</v>
      </c>
      <c r="B26" s="80">
        <f t="shared" si="13"/>
        <v>-4857969.1649402101</v>
      </c>
      <c r="C26" s="26">
        <f>'Restating Adj'!C26</f>
        <v>0</v>
      </c>
      <c r="D26" s="28">
        <f>'Restating Adj'!D26</f>
        <v>0</v>
      </c>
      <c r="E26" s="28">
        <f>'Pro Forma Adj'!C26</f>
        <v>0</v>
      </c>
      <c r="F26" s="219">
        <f>'Restating Adj'!E26</f>
        <v>0</v>
      </c>
      <c r="G26" s="218">
        <f>'Restating Adj'!F26</f>
        <v>0</v>
      </c>
      <c r="H26" s="29">
        <f>'Restating Adj'!G26+'Pro Forma Adj'!D26</f>
        <v>0</v>
      </c>
      <c r="I26" s="26">
        <f>'Restating Adj'!H26</f>
        <v>-605.43309650578158</v>
      </c>
      <c r="J26" s="28">
        <f>'Restating Adj'!I26</f>
        <v>207.26347054315181</v>
      </c>
      <c r="K26" s="28">
        <f>'Pro Forma Adj'!E26</f>
        <v>2679.2924333421715</v>
      </c>
      <c r="L26" s="28">
        <f>'Pro Forma Adj'!F26</f>
        <v>0</v>
      </c>
      <c r="M26" s="219">
        <f>'Restating Adj'!J26</f>
        <v>0</v>
      </c>
      <c r="N26" s="28">
        <f>'Restating Adj'!K26</f>
        <v>-4858459</v>
      </c>
      <c r="O26" s="25">
        <f>'Restating Adj'!L26</f>
        <v>0</v>
      </c>
      <c r="P26" s="29">
        <f>'Pro Forma Adj'!G26</f>
        <v>0</v>
      </c>
      <c r="Q26" s="26">
        <f>'Restating Adj'!M26</f>
        <v>0</v>
      </c>
      <c r="R26" s="219">
        <f>'Pro Forma Adj'!H26</f>
        <v>0</v>
      </c>
      <c r="S26" s="28">
        <f>'Restating Adj'!N26</f>
        <v>0</v>
      </c>
      <c r="T26" s="28">
        <f>'Restating Adj'!O26</f>
        <v>0</v>
      </c>
      <c r="U26" s="28">
        <f>'Pro Forma Adj'!I26</f>
        <v>0</v>
      </c>
      <c r="V26" s="29">
        <f>'Restating Adj'!P26</f>
        <v>0</v>
      </c>
      <c r="W26" s="77">
        <f>'Restating Adj'!Q26+'Pro Forma Adj'!J26</f>
        <v>0</v>
      </c>
      <c r="X26" s="237">
        <f>'Restating Adj'!R26+'Pro Forma Adj'!K26</f>
        <v>0</v>
      </c>
      <c r="Y26" s="28">
        <f>'Restating Adj'!S26</f>
        <v>0</v>
      </c>
      <c r="Z26" s="28">
        <f>'Pro Forma Adj'!L26</f>
        <v>0</v>
      </c>
      <c r="AA26" s="28">
        <f>'Restating Adj'!T26</f>
        <v>0</v>
      </c>
      <c r="AB26" s="28">
        <f>'Restating Adj'!U26</f>
        <v>0</v>
      </c>
      <c r="AC26" s="28">
        <f>'Restating Adj'!V26</f>
        <v>0</v>
      </c>
      <c r="AD26" s="28">
        <f>'Pro Forma Adj'!M26</f>
        <v>0</v>
      </c>
      <c r="AE26" s="28">
        <f>'Restating Adj'!W26</f>
        <v>0</v>
      </c>
      <c r="AF26" s="28">
        <f>'Restating Adj'!X26</f>
        <v>0</v>
      </c>
      <c r="AG26" s="28">
        <f>'Restating Adj'!Y26</f>
        <v>0</v>
      </c>
      <c r="AH26" s="28">
        <f>'Restating Adj'!Z26</f>
        <v>0</v>
      </c>
      <c r="AI26" s="29">
        <f>'Pro Forma Adj'!N26</f>
        <v>0</v>
      </c>
      <c r="AJ26" s="237">
        <f>'Restating Adj'!AA26+'Pro Forma Adj'!O26</f>
        <v>0</v>
      </c>
      <c r="AK26" s="25">
        <f>'Restating Adj'!AB26</f>
        <v>0</v>
      </c>
      <c r="AL26" s="25">
        <f>'Restating Adj'!AC26</f>
        <v>0</v>
      </c>
      <c r="AM26" s="28">
        <f>'Restating Adj'!AD26</f>
        <v>0</v>
      </c>
      <c r="AN26" s="25">
        <f>'Restating Adj'!AE26</f>
        <v>0</v>
      </c>
      <c r="AO26" s="17">
        <f>'Restating Adj'!AF26</f>
        <v>0</v>
      </c>
      <c r="AP26" s="25">
        <f>'Restating Adj'!AG26</f>
        <v>0</v>
      </c>
      <c r="AQ26" s="28">
        <f>'Pro Forma Adj'!P26</f>
        <v>0</v>
      </c>
      <c r="AR26" s="28">
        <f>'Restating Adj'!AH26</f>
        <v>0</v>
      </c>
      <c r="AS26" s="28">
        <f>'Restating Adj'!AI26</f>
        <v>0</v>
      </c>
      <c r="AT26" s="30">
        <f>'Pro Forma Adj'!Q26</f>
        <v>0</v>
      </c>
      <c r="AU26" s="237">
        <f>'Pro Forma Adj'!R26</f>
        <v>0</v>
      </c>
      <c r="AV26" s="262">
        <f>'Pro Forma Adj'!S26</f>
        <v>0</v>
      </c>
      <c r="AW26" s="138">
        <f>'Restating Adj'!AJ26</f>
        <v>0</v>
      </c>
      <c r="AX26" s="25">
        <f>'Restating Adj'!AK26</f>
        <v>0</v>
      </c>
      <c r="AY26" s="25">
        <f>'Restating Adj'!AL26</f>
        <v>0</v>
      </c>
      <c r="AZ26" s="28">
        <f>'Restating Adj'!AM26</f>
        <v>-1791.2877475899786</v>
      </c>
      <c r="BA26" s="25">
        <f>'Restating Adj'!AN26+'Pro Forma Adj'!T26</f>
        <v>0</v>
      </c>
      <c r="BB26" s="25">
        <f>'Pro Forma Adj'!U26</f>
        <v>0</v>
      </c>
      <c r="BC26" s="25">
        <f>'Pro Forma Adj'!V26</f>
        <v>0</v>
      </c>
      <c r="BD26" s="25">
        <f>'Pro Forma Adj'!W26</f>
        <v>0</v>
      </c>
      <c r="BE26" s="17">
        <f>'Restating Adj'!AO26+'Pro Forma Adj'!X26</f>
        <v>0</v>
      </c>
      <c r="BF26" s="30">
        <f>'Restating Adj'!AP26+'Pro Forma Adj'!Y26</f>
        <v>0</v>
      </c>
      <c r="BI26" s="301">
        <f>B26-(Summary!D23+Summary!H23)</f>
        <v>0</v>
      </c>
    </row>
    <row r="27" spans="1:61">
      <c r="A27" s="61" t="s">
        <v>80</v>
      </c>
      <c r="B27" s="80">
        <f t="shared" si="13"/>
        <v>0</v>
      </c>
      <c r="C27" s="26">
        <f>'Restating Adj'!C27</f>
        <v>0</v>
      </c>
      <c r="D27" s="28">
        <f>'Restating Adj'!D27</f>
        <v>0</v>
      </c>
      <c r="E27" s="28">
        <f>'Pro Forma Adj'!C27</f>
        <v>0</v>
      </c>
      <c r="F27" s="219">
        <f>'Restating Adj'!E27</f>
        <v>0</v>
      </c>
      <c r="G27" s="218">
        <f>'Restating Adj'!F27</f>
        <v>0</v>
      </c>
      <c r="H27" s="29">
        <f>'Restating Adj'!G27+'Pro Forma Adj'!D27</f>
        <v>0</v>
      </c>
      <c r="I27" s="26">
        <f>'Restating Adj'!H27</f>
        <v>0</v>
      </c>
      <c r="J27" s="28">
        <f>'Restating Adj'!I27</f>
        <v>0</v>
      </c>
      <c r="K27" s="28">
        <f>'Pro Forma Adj'!E27</f>
        <v>0</v>
      </c>
      <c r="L27" s="28">
        <f>'Pro Forma Adj'!F27</f>
        <v>0</v>
      </c>
      <c r="M27" s="219">
        <f>'Restating Adj'!J27</f>
        <v>0</v>
      </c>
      <c r="N27" s="28">
        <f>'Restating Adj'!K27</f>
        <v>0</v>
      </c>
      <c r="O27" s="25">
        <f>'Restating Adj'!L27</f>
        <v>0</v>
      </c>
      <c r="P27" s="29">
        <f>'Pro Forma Adj'!G27</f>
        <v>0</v>
      </c>
      <c r="Q27" s="26">
        <f>'Restating Adj'!M27</f>
        <v>0</v>
      </c>
      <c r="R27" s="219">
        <f>'Pro Forma Adj'!H27</f>
        <v>0</v>
      </c>
      <c r="S27" s="28">
        <f>'Restating Adj'!N27</f>
        <v>0</v>
      </c>
      <c r="T27" s="28">
        <f>'Restating Adj'!O27</f>
        <v>0</v>
      </c>
      <c r="U27" s="28">
        <f>'Pro Forma Adj'!I27</f>
        <v>0</v>
      </c>
      <c r="V27" s="29">
        <f>'Restating Adj'!P27</f>
        <v>0</v>
      </c>
      <c r="W27" s="77">
        <f>'Restating Adj'!Q27+'Pro Forma Adj'!J27</f>
        <v>0</v>
      </c>
      <c r="X27" s="237">
        <f>'Restating Adj'!R27+'Pro Forma Adj'!K27</f>
        <v>0</v>
      </c>
      <c r="Y27" s="28">
        <f>'Restating Adj'!S27</f>
        <v>0</v>
      </c>
      <c r="Z27" s="28">
        <f>'Pro Forma Adj'!L27</f>
        <v>0</v>
      </c>
      <c r="AA27" s="28">
        <f>'Restating Adj'!T27</f>
        <v>0</v>
      </c>
      <c r="AB27" s="28">
        <f>'Restating Adj'!U27</f>
        <v>0</v>
      </c>
      <c r="AC27" s="28">
        <f>'Restating Adj'!V27</f>
        <v>0</v>
      </c>
      <c r="AD27" s="28">
        <f>'Pro Forma Adj'!M27</f>
        <v>0</v>
      </c>
      <c r="AE27" s="28">
        <f>'Restating Adj'!W27</f>
        <v>0</v>
      </c>
      <c r="AF27" s="28">
        <f>'Restating Adj'!X27</f>
        <v>0</v>
      </c>
      <c r="AG27" s="28">
        <f>'Restating Adj'!Y27</f>
        <v>0</v>
      </c>
      <c r="AH27" s="28">
        <f>'Restating Adj'!Z27</f>
        <v>0</v>
      </c>
      <c r="AI27" s="29">
        <f>'Pro Forma Adj'!N27</f>
        <v>0</v>
      </c>
      <c r="AJ27" s="237">
        <f>'Restating Adj'!AA27+'Pro Forma Adj'!O27</f>
        <v>0</v>
      </c>
      <c r="AK27" s="25">
        <f>'Restating Adj'!AB27</f>
        <v>0</v>
      </c>
      <c r="AL27" s="25">
        <f>'Restating Adj'!AC27</f>
        <v>0</v>
      </c>
      <c r="AM27" s="28">
        <f>'Restating Adj'!AD27</f>
        <v>0</v>
      </c>
      <c r="AN27" s="25">
        <f>'Restating Adj'!AE27</f>
        <v>0</v>
      </c>
      <c r="AO27" s="17">
        <f>'Restating Adj'!AF27</f>
        <v>0</v>
      </c>
      <c r="AP27" s="25">
        <f>'Restating Adj'!AG27</f>
        <v>0</v>
      </c>
      <c r="AQ27" s="28">
        <f>'Pro Forma Adj'!P27</f>
        <v>0</v>
      </c>
      <c r="AR27" s="28">
        <f>'Restating Adj'!AH27</f>
        <v>0</v>
      </c>
      <c r="AS27" s="28">
        <f>'Restating Adj'!AI27</f>
        <v>0</v>
      </c>
      <c r="AT27" s="30">
        <f>'Pro Forma Adj'!Q27</f>
        <v>0</v>
      </c>
      <c r="AU27" s="237">
        <f>'Pro Forma Adj'!R27</f>
        <v>0</v>
      </c>
      <c r="AV27" s="262">
        <f>'Pro Forma Adj'!S27</f>
        <v>0</v>
      </c>
      <c r="AW27" s="138">
        <f>'Restating Adj'!AJ27</f>
        <v>0</v>
      </c>
      <c r="AX27" s="25">
        <f>'Restating Adj'!AK27</f>
        <v>0</v>
      </c>
      <c r="AY27" s="25">
        <f>'Restating Adj'!AL27</f>
        <v>0</v>
      </c>
      <c r="AZ27" s="28">
        <f>'Restating Adj'!AM27</f>
        <v>0</v>
      </c>
      <c r="BA27" s="25">
        <f>'Restating Adj'!AN27+'Pro Forma Adj'!T27</f>
        <v>0</v>
      </c>
      <c r="BB27" s="25">
        <f>'Pro Forma Adj'!U27</f>
        <v>0</v>
      </c>
      <c r="BC27" s="25">
        <f>'Pro Forma Adj'!V27</f>
        <v>0</v>
      </c>
      <c r="BD27" s="25">
        <f>'Pro Forma Adj'!W27</f>
        <v>0</v>
      </c>
      <c r="BE27" s="17">
        <f>'Restating Adj'!AO27+'Pro Forma Adj'!X27</f>
        <v>0</v>
      </c>
      <c r="BF27" s="30">
        <f>'Restating Adj'!AP27+'Pro Forma Adj'!Y27</f>
        <v>0</v>
      </c>
      <c r="BI27" s="301">
        <f>B27-(Summary!D24+Summary!H24)</f>
        <v>0</v>
      </c>
    </row>
    <row r="28" spans="1:61">
      <c r="A28" s="61" t="s">
        <v>81</v>
      </c>
      <c r="B28" s="150">
        <f t="shared" si="13"/>
        <v>-1573143.0729479669</v>
      </c>
      <c r="C28" s="37">
        <f>'Restating Adj'!C28</f>
        <v>0</v>
      </c>
      <c r="D28" s="35">
        <f>'Restating Adj'!D28</f>
        <v>0</v>
      </c>
      <c r="E28" s="35">
        <f>'Pro Forma Adj'!C28</f>
        <v>0</v>
      </c>
      <c r="F28" s="221">
        <f>'Restating Adj'!E28</f>
        <v>0</v>
      </c>
      <c r="G28" s="222">
        <f>'Restating Adj'!F28</f>
        <v>0</v>
      </c>
      <c r="H28" s="39">
        <f>'Restating Adj'!G28+'Pro Forma Adj'!D28</f>
        <v>0</v>
      </c>
      <c r="I28" s="37">
        <f>'Restating Adj'!H28</f>
        <v>-43271.966433968082</v>
      </c>
      <c r="J28" s="35">
        <f>'Restating Adj'!I28</f>
        <v>6545.3271131295669</v>
      </c>
      <c r="K28" s="35">
        <f>'Pro Forma Adj'!E28</f>
        <v>84611.366209398097</v>
      </c>
      <c r="L28" s="35">
        <f>'Pro Forma Adj'!F28</f>
        <v>-776572.64858778729</v>
      </c>
      <c r="M28" s="221">
        <f>'Restating Adj'!J28</f>
        <v>0</v>
      </c>
      <c r="N28" s="35">
        <f>'Restating Adj'!K28</f>
        <v>0</v>
      </c>
      <c r="O28" s="35">
        <f>'Restating Adj'!L28</f>
        <v>0</v>
      </c>
      <c r="P28" s="39">
        <f>'Pro Forma Adj'!G28</f>
        <v>-637047.3400000002</v>
      </c>
      <c r="Q28" s="37">
        <f>'Restating Adj'!M28</f>
        <v>0</v>
      </c>
      <c r="R28" s="221">
        <f>'Pro Forma Adj'!H28</f>
        <v>0</v>
      </c>
      <c r="S28" s="35">
        <f>'Restating Adj'!N28</f>
        <v>0</v>
      </c>
      <c r="T28" s="35">
        <f>'Restating Adj'!O28</f>
        <v>0</v>
      </c>
      <c r="U28" s="35">
        <f>'Pro Forma Adj'!I28</f>
        <v>0</v>
      </c>
      <c r="V28" s="39">
        <f>'Restating Adj'!P28</f>
        <v>0</v>
      </c>
      <c r="W28" s="79">
        <f>'Restating Adj'!Q28+'Pro Forma Adj'!J28</f>
        <v>0</v>
      </c>
      <c r="X28" s="240">
        <f>'Restating Adj'!R28+'Pro Forma Adj'!K28</f>
        <v>0</v>
      </c>
      <c r="Y28" s="35">
        <f>'Restating Adj'!S28</f>
        <v>0</v>
      </c>
      <c r="Z28" s="35">
        <f>'Pro Forma Adj'!L28</f>
        <v>0</v>
      </c>
      <c r="AA28" s="35">
        <f>'Restating Adj'!T28</f>
        <v>0</v>
      </c>
      <c r="AB28" s="35">
        <f>'Restating Adj'!U28</f>
        <v>0</v>
      </c>
      <c r="AC28" s="35">
        <f>'Restating Adj'!V28</f>
        <v>0</v>
      </c>
      <c r="AD28" s="35">
        <f>'Pro Forma Adj'!M28</f>
        <v>0</v>
      </c>
      <c r="AE28" s="35">
        <f>'Restating Adj'!W28</f>
        <v>0</v>
      </c>
      <c r="AF28" s="35">
        <f>'Restating Adj'!X28</f>
        <v>0</v>
      </c>
      <c r="AG28" s="35">
        <f>'Restating Adj'!Y28</f>
        <v>0</v>
      </c>
      <c r="AH28" s="35">
        <f>'Restating Adj'!Z28</f>
        <v>0</v>
      </c>
      <c r="AI28" s="39">
        <f>'Pro Forma Adj'!N28</f>
        <v>0</v>
      </c>
      <c r="AJ28" s="240">
        <f>'Restating Adj'!AA28+'Pro Forma Adj'!O28</f>
        <v>0</v>
      </c>
      <c r="AK28" s="38">
        <f>'Restating Adj'!AB28</f>
        <v>0</v>
      </c>
      <c r="AL28" s="38">
        <f>'Restating Adj'!AC28</f>
        <v>54303.537524919564</v>
      </c>
      <c r="AM28" s="35">
        <f>'Restating Adj'!AD28</f>
        <v>0</v>
      </c>
      <c r="AN28" s="35">
        <f>'Restating Adj'!AE28</f>
        <v>0</v>
      </c>
      <c r="AO28" s="40">
        <f>'Restating Adj'!AF28</f>
        <v>0</v>
      </c>
      <c r="AP28" s="38">
        <f>'Restating Adj'!AG28</f>
        <v>0</v>
      </c>
      <c r="AQ28" s="35">
        <f>'Pro Forma Adj'!P28</f>
        <v>0</v>
      </c>
      <c r="AR28" s="35">
        <f>'Restating Adj'!AH28</f>
        <v>0</v>
      </c>
      <c r="AS28" s="35">
        <f>'Restating Adj'!AI28</f>
        <v>0</v>
      </c>
      <c r="AT28" s="73">
        <f>'Pro Forma Adj'!Q28</f>
        <v>0</v>
      </c>
      <c r="AU28" s="240">
        <f>'Pro Forma Adj'!R28</f>
        <v>0</v>
      </c>
      <c r="AV28" s="264">
        <f>'Pro Forma Adj'!S28</f>
        <v>0</v>
      </c>
      <c r="AW28" s="140">
        <f>'Restating Adj'!AJ28</f>
        <v>0</v>
      </c>
      <c r="AX28" s="38">
        <f>'Restating Adj'!AK28</f>
        <v>-169674.9921225</v>
      </c>
      <c r="AY28" s="38">
        <f>'Restating Adj'!AL28</f>
        <v>-92014.913865822877</v>
      </c>
      <c r="AZ28" s="35">
        <f>'Restating Adj'!AM28</f>
        <v>-21.442785335560455</v>
      </c>
      <c r="BA28" s="35">
        <f>'Restating Adj'!AN28+'Pro Forma Adj'!T28</f>
        <v>0</v>
      </c>
      <c r="BB28" s="35">
        <f>'Pro Forma Adj'!U28</f>
        <v>0</v>
      </c>
      <c r="BC28" s="35">
        <f>'Pro Forma Adj'!V28</f>
        <v>0</v>
      </c>
      <c r="BD28" s="35">
        <f>'Pro Forma Adj'!W28</f>
        <v>0</v>
      </c>
      <c r="BE28" s="40">
        <f>'Restating Adj'!AO28+'Pro Forma Adj'!X28</f>
        <v>0</v>
      </c>
      <c r="BF28" s="73">
        <f>'Restating Adj'!AP28+'Pro Forma Adj'!Y28</f>
        <v>0</v>
      </c>
      <c r="BI28" s="301">
        <f>B28-(Summary!D25+Summary!H25)</f>
        <v>0</v>
      </c>
    </row>
    <row r="29" spans="1:61">
      <c r="A29" s="61" t="s">
        <v>82</v>
      </c>
      <c r="B29" s="76">
        <f t="shared" si="13"/>
        <v>-17063214.214078531</v>
      </c>
      <c r="C29" s="20">
        <f>SUM(C19:C28)</f>
        <v>0</v>
      </c>
      <c r="D29" s="17">
        <f t="shared" ref="D29:BF29" si="14">SUM(D19:D28)</f>
        <v>0</v>
      </c>
      <c r="E29" s="17">
        <f t="shared" ref="E29" si="15">SUM(E19:E28)</f>
        <v>0</v>
      </c>
      <c r="F29" s="216">
        <f t="shared" si="14"/>
        <v>0</v>
      </c>
      <c r="G29" s="216">
        <f t="shared" si="14"/>
        <v>0</v>
      </c>
      <c r="H29" s="22">
        <f t="shared" si="14"/>
        <v>-7394.9629479036066</v>
      </c>
      <c r="I29" s="20">
        <f>SUM(I19:I28)</f>
        <v>-44276.189880881328</v>
      </c>
      <c r="J29" s="17">
        <f t="shared" si="14"/>
        <v>28923.57647283293</v>
      </c>
      <c r="K29" s="17">
        <f t="shared" ref="K29:L29" si="16">SUM(K19:K28)</f>
        <v>373894.73111577908</v>
      </c>
      <c r="L29" s="17">
        <f t="shared" si="16"/>
        <v>-776572.64858778729</v>
      </c>
      <c r="M29" s="216">
        <f t="shared" si="14"/>
        <v>0</v>
      </c>
      <c r="N29" s="17">
        <f t="shared" si="14"/>
        <v>-4858459</v>
      </c>
      <c r="O29" s="17">
        <f t="shared" si="14"/>
        <v>-196627.0472892508</v>
      </c>
      <c r="P29" s="22">
        <f t="shared" ref="P29" si="17">SUM(P19:P28)</f>
        <v>-637047.3400000002</v>
      </c>
      <c r="Q29" s="20">
        <v>-7196436.6180504756</v>
      </c>
      <c r="R29" s="216">
        <f t="shared" ref="R29" si="18">SUM(R19:R28)</f>
        <v>0</v>
      </c>
      <c r="S29" s="17">
        <f t="shared" ref="S29:T29" si="19">SUM(S19:S28)</f>
        <v>152282.21898382137</v>
      </c>
      <c r="T29" s="17">
        <f t="shared" si="19"/>
        <v>8025121</v>
      </c>
      <c r="U29" s="17">
        <f t="shared" ref="U29" si="20">SUM(U19:U28)</f>
        <v>0</v>
      </c>
      <c r="V29" s="22">
        <f t="shared" si="14"/>
        <v>0</v>
      </c>
      <c r="W29" s="76">
        <f t="shared" si="14"/>
        <v>0</v>
      </c>
      <c r="X29" s="236">
        <f t="shared" si="14"/>
        <v>0</v>
      </c>
      <c r="Y29" s="17">
        <f t="shared" si="14"/>
        <v>0</v>
      </c>
      <c r="Z29" s="17">
        <f t="shared" ref="Z29" si="21">SUM(Z19:Z28)</f>
        <v>0</v>
      </c>
      <c r="AA29" s="17">
        <f t="shared" si="14"/>
        <v>0</v>
      </c>
      <c r="AB29" s="17">
        <f t="shared" si="14"/>
        <v>0</v>
      </c>
      <c r="AC29" s="17">
        <f t="shared" si="14"/>
        <v>0</v>
      </c>
      <c r="AD29" s="17">
        <f t="shared" ref="AD29" si="22">SUM(AD19:AD28)</f>
        <v>0</v>
      </c>
      <c r="AE29" s="17">
        <f t="shared" si="14"/>
        <v>0</v>
      </c>
      <c r="AF29" s="17">
        <f t="shared" si="14"/>
        <v>0</v>
      </c>
      <c r="AG29" s="17">
        <f t="shared" si="14"/>
        <v>0</v>
      </c>
      <c r="AH29" s="17">
        <f t="shared" si="14"/>
        <v>0</v>
      </c>
      <c r="AI29" s="22">
        <f t="shared" ref="AI29" si="23">SUM(AI19:AI28)</f>
        <v>0</v>
      </c>
      <c r="AJ29" s="236">
        <f t="shared" si="14"/>
        <v>0</v>
      </c>
      <c r="AK29" s="17">
        <f t="shared" si="14"/>
        <v>0</v>
      </c>
      <c r="AL29" s="17">
        <f t="shared" si="14"/>
        <v>54303.537524919564</v>
      </c>
      <c r="AM29" s="17">
        <f t="shared" si="14"/>
        <v>0</v>
      </c>
      <c r="AN29" s="17">
        <f t="shared" si="14"/>
        <v>0</v>
      </c>
      <c r="AO29" s="17">
        <f t="shared" si="14"/>
        <v>0</v>
      </c>
      <c r="AP29" s="17">
        <f t="shared" si="14"/>
        <v>0</v>
      </c>
      <c r="AQ29" s="17">
        <f t="shared" ref="AQ29" si="24">SUM(AQ19:AQ28)</f>
        <v>0</v>
      </c>
      <c r="AR29" s="17">
        <f t="shared" si="14"/>
        <v>0</v>
      </c>
      <c r="AS29" s="17">
        <f t="shared" si="14"/>
        <v>0</v>
      </c>
      <c r="AT29" s="22">
        <f t="shared" ref="AT29" si="25">SUM(AT19:AT28)</f>
        <v>0</v>
      </c>
      <c r="AU29" s="236">
        <f t="shared" ref="AU29" si="26">SUM(AU19:AU28)</f>
        <v>0</v>
      </c>
      <c r="AV29" s="261">
        <f t="shared" ref="AV29" si="27">SUM(AV19:AV28)</f>
        <v>0</v>
      </c>
      <c r="AW29" s="136">
        <f t="shared" si="14"/>
        <v>0</v>
      </c>
      <c r="AX29" s="17">
        <f t="shared" si="14"/>
        <v>-169674.9921225</v>
      </c>
      <c r="AY29" s="17">
        <f t="shared" si="14"/>
        <v>-92014.913865822877</v>
      </c>
      <c r="AZ29" s="17">
        <f t="shared" si="14"/>
        <v>-1812.7305329255391</v>
      </c>
      <c r="BA29" s="17">
        <f t="shared" si="14"/>
        <v>0</v>
      </c>
      <c r="BB29" s="17">
        <f t="shared" ref="BB29:BD29" si="28">SUM(BB19:BB28)</f>
        <v>-11381409.611374881</v>
      </c>
      <c r="BC29" s="17">
        <f t="shared" si="28"/>
        <v>-48616.346184935617</v>
      </c>
      <c r="BD29" s="17">
        <f t="shared" si="28"/>
        <v>-287396.87733851967</v>
      </c>
      <c r="BE29" s="17">
        <f t="shared" si="14"/>
        <v>0</v>
      </c>
      <c r="BF29" s="22">
        <f t="shared" si="14"/>
        <v>0</v>
      </c>
      <c r="BI29" s="301">
        <f>B29-(Summary!D26+Summary!H26)</f>
        <v>0</v>
      </c>
    </row>
    <row r="30" spans="1:61">
      <c r="A30" s="61" t="s">
        <v>83</v>
      </c>
      <c r="B30" s="80">
        <f t="shared" si="13"/>
        <v>-444460.91005526017</v>
      </c>
      <c r="C30" s="26">
        <f>'Restating Adj'!C30</f>
        <v>0</v>
      </c>
      <c r="D30" s="28">
        <f>'Restating Adj'!D30</f>
        <v>0</v>
      </c>
      <c r="E30" s="28">
        <f>'Pro Forma Adj'!C30</f>
        <v>0</v>
      </c>
      <c r="F30" s="219">
        <f>'Restating Adj'!E30</f>
        <v>0</v>
      </c>
      <c r="G30" s="218">
        <f>'Restating Adj'!F30</f>
        <v>0</v>
      </c>
      <c r="H30" s="29">
        <f>'Restating Adj'!G30+'Pro Forma Adj'!D30</f>
        <v>0</v>
      </c>
      <c r="I30" s="26">
        <f>'Restating Adj'!H30</f>
        <v>0</v>
      </c>
      <c r="J30" s="28">
        <f>'Restating Adj'!I30</f>
        <v>0</v>
      </c>
      <c r="K30" s="28">
        <f>'Pro Forma Adj'!E30</f>
        <v>0</v>
      </c>
      <c r="L30" s="28">
        <f>'Pro Forma Adj'!F30</f>
        <v>0</v>
      </c>
      <c r="M30" s="219">
        <f>'Restating Adj'!J30</f>
        <v>0</v>
      </c>
      <c r="N30" s="28">
        <f>'Restating Adj'!K30</f>
        <v>0</v>
      </c>
      <c r="O30" s="25">
        <f>'Restating Adj'!L30</f>
        <v>0</v>
      </c>
      <c r="P30" s="29">
        <f>'Pro Forma Adj'!G30</f>
        <v>0</v>
      </c>
      <c r="Q30" s="26">
        <f>'Restating Adj'!M30</f>
        <v>0</v>
      </c>
      <c r="R30" s="219">
        <f>'Pro Forma Adj'!H30</f>
        <v>0</v>
      </c>
      <c r="S30" s="28">
        <f>'Restating Adj'!N30</f>
        <v>0</v>
      </c>
      <c r="T30" s="28">
        <f>'Restating Adj'!O30</f>
        <v>0</v>
      </c>
      <c r="U30" s="28">
        <f>'Pro Forma Adj'!I30</f>
        <v>0</v>
      </c>
      <c r="V30" s="30">
        <f>'Restating Adj'!P30</f>
        <v>-397232.00153080252</v>
      </c>
      <c r="W30" s="76">
        <f>'Restating Adj'!Q30+'Pro Forma Adj'!J30</f>
        <v>0</v>
      </c>
      <c r="X30" s="237">
        <f>'Restating Adj'!R30+'Pro Forma Adj'!K30</f>
        <v>0</v>
      </c>
      <c r="Y30" s="28">
        <f>'Restating Adj'!S30</f>
        <v>0</v>
      </c>
      <c r="Z30" s="28">
        <f>'Pro Forma Adj'!L30</f>
        <v>0</v>
      </c>
      <c r="AA30" s="28">
        <f>'Restating Adj'!T30</f>
        <v>0</v>
      </c>
      <c r="AB30" s="28">
        <f>'Restating Adj'!U30</f>
        <v>0</v>
      </c>
      <c r="AC30" s="28">
        <f>'Restating Adj'!V30</f>
        <v>0</v>
      </c>
      <c r="AD30" s="28">
        <f>'Pro Forma Adj'!M30</f>
        <v>0</v>
      </c>
      <c r="AE30" s="28">
        <f>'Restating Adj'!W30</f>
        <v>0</v>
      </c>
      <c r="AF30" s="28">
        <f>'Restating Adj'!X30</f>
        <v>0</v>
      </c>
      <c r="AG30" s="28">
        <f>'Restating Adj'!Y30</f>
        <v>0</v>
      </c>
      <c r="AH30" s="28">
        <f>'Restating Adj'!Z30</f>
        <v>0</v>
      </c>
      <c r="AI30" s="29">
        <f>'Pro Forma Adj'!N30</f>
        <v>0</v>
      </c>
      <c r="AJ30" s="237">
        <f>'Restating Adj'!AA30+'Pro Forma Adj'!O30</f>
        <v>0</v>
      </c>
      <c r="AK30" s="25">
        <f>'Restating Adj'!AB30</f>
        <v>0</v>
      </c>
      <c r="AL30" s="25">
        <f>'Restating Adj'!AC30</f>
        <v>0</v>
      </c>
      <c r="AM30" s="28">
        <f>'Restating Adj'!AD30</f>
        <v>0</v>
      </c>
      <c r="AN30" s="25">
        <f>'Restating Adj'!AE30</f>
        <v>0</v>
      </c>
      <c r="AO30" s="17">
        <f>'Restating Adj'!AF30</f>
        <v>0</v>
      </c>
      <c r="AP30" s="25">
        <f>'Restating Adj'!AG30</f>
        <v>-17990.552800000001</v>
      </c>
      <c r="AQ30" s="28">
        <f>'Pro Forma Adj'!P30</f>
        <v>0</v>
      </c>
      <c r="AR30" s="28">
        <f>'Restating Adj'!AH30</f>
        <v>0</v>
      </c>
      <c r="AS30" s="28">
        <f>'Restating Adj'!AI30</f>
        <v>0</v>
      </c>
      <c r="AT30" s="30">
        <f>'Pro Forma Adj'!Q30</f>
        <v>0</v>
      </c>
      <c r="AU30" s="237">
        <f>'Pro Forma Adj'!R30</f>
        <v>0</v>
      </c>
      <c r="AV30" s="262">
        <f>'Pro Forma Adj'!S30</f>
        <v>0</v>
      </c>
      <c r="AW30" s="138">
        <f>'Restating Adj'!AJ30</f>
        <v>0</v>
      </c>
      <c r="AX30" s="25">
        <f>'Restating Adj'!AK30</f>
        <v>0</v>
      </c>
      <c r="AY30" s="25">
        <f>'Restating Adj'!AL30</f>
        <v>0</v>
      </c>
      <c r="AZ30" s="28">
        <f>'Restating Adj'!AM30</f>
        <v>0</v>
      </c>
      <c r="BA30" s="25">
        <f>'Restating Adj'!AN30+'Pro Forma Adj'!T30</f>
        <v>0</v>
      </c>
      <c r="BB30" s="25">
        <f>'Pro Forma Adj'!U30</f>
        <v>0</v>
      </c>
      <c r="BC30" s="25">
        <f>'Pro Forma Adj'!V30</f>
        <v>-29238.355724457651</v>
      </c>
      <c r="BD30" s="25">
        <f>'Pro Forma Adj'!W30</f>
        <v>0</v>
      </c>
      <c r="BE30" s="17">
        <f>'Restating Adj'!AO30+'Pro Forma Adj'!X30</f>
        <v>0</v>
      </c>
      <c r="BF30" s="30">
        <f>'Restating Adj'!AP30+'Pro Forma Adj'!Y30</f>
        <v>0</v>
      </c>
      <c r="BI30" s="301">
        <f>B30-(Summary!D27+Summary!H27)</f>
        <v>0</v>
      </c>
    </row>
    <row r="31" spans="1:61">
      <c r="A31" s="61" t="s">
        <v>84</v>
      </c>
      <c r="B31" s="80">
        <f t="shared" si="13"/>
        <v>-351857.95314850612</v>
      </c>
      <c r="C31" s="26">
        <f>'Restating Adj'!C31</f>
        <v>0</v>
      </c>
      <c r="D31" s="28">
        <f>'Restating Adj'!D31</f>
        <v>0</v>
      </c>
      <c r="E31" s="28">
        <f>'Pro Forma Adj'!C31</f>
        <v>0</v>
      </c>
      <c r="F31" s="219">
        <f>'Restating Adj'!E31</f>
        <v>0</v>
      </c>
      <c r="G31" s="218">
        <f>'Restating Adj'!F31</f>
        <v>0</v>
      </c>
      <c r="H31" s="29">
        <f>'Restating Adj'!G31+'Pro Forma Adj'!D31</f>
        <v>0</v>
      </c>
      <c r="I31" s="26">
        <f>'Restating Adj'!H31</f>
        <v>0</v>
      </c>
      <c r="J31" s="28">
        <f>'Restating Adj'!I31</f>
        <v>0</v>
      </c>
      <c r="K31" s="28">
        <f>'Pro Forma Adj'!E31</f>
        <v>0</v>
      </c>
      <c r="L31" s="28">
        <f>'Pro Forma Adj'!F31</f>
        <v>0</v>
      </c>
      <c r="M31" s="219">
        <f>'Restating Adj'!J31</f>
        <v>0</v>
      </c>
      <c r="N31" s="28">
        <f>'Restating Adj'!K31</f>
        <v>0</v>
      </c>
      <c r="O31" s="25">
        <f>'Restating Adj'!L31</f>
        <v>0</v>
      </c>
      <c r="P31" s="29">
        <f>'Pro Forma Adj'!G31</f>
        <v>0</v>
      </c>
      <c r="Q31" s="26">
        <f>'Restating Adj'!M31</f>
        <v>0</v>
      </c>
      <c r="R31" s="219">
        <f>'Pro Forma Adj'!H31</f>
        <v>0</v>
      </c>
      <c r="S31" s="28">
        <f>'Restating Adj'!N31</f>
        <v>0</v>
      </c>
      <c r="T31" s="28">
        <f>'Restating Adj'!O31</f>
        <v>0</v>
      </c>
      <c r="U31" s="28">
        <f>'Pro Forma Adj'!I31</f>
        <v>0</v>
      </c>
      <c r="V31" s="30">
        <f>'Restating Adj'!P31</f>
        <v>0</v>
      </c>
      <c r="W31" s="76">
        <f>'Restating Adj'!Q31+'Pro Forma Adj'!J31</f>
        <v>0</v>
      </c>
      <c r="X31" s="237">
        <f>'Restating Adj'!R31+'Pro Forma Adj'!K31</f>
        <v>0</v>
      </c>
      <c r="Y31" s="28">
        <f>'Restating Adj'!S31</f>
        <v>0</v>
      </c>
      <c r="Z31" s="28">
        <f>'Pro Forma Adj'!L31</f>
        <v>0</v>
      </c>
      <c r="AA31" s="28">
        <f>'Restating Adj'!T31</f>
        <v>0</v>
      </c>
      <c r="AB31" s="28">
        <f>'Restating Adj'!U31</f>
        <v>0</v>
      </c>
      <c r="AC31" s="28">
        <f>'Restating Adj'!V31</f>
        <v>0</v>
      </c>
      <c r="AD31" s="28">
        <f>'Pro Forma Adj'!M31</f>
        <v>0</v>
      </c>
      <c r="AE31" s="28">
        <f>'Restating Adj'!W31</f>
        <v>0</v>
      </c>
      <c r="AF31" s="28">
        <f>'Restating Adj'!X31</f>
        <v>0</v>
      </c>
      <c r="AG31" s="28">
        <f>'Restating Adj'!Y31</f>
        <v>0</v>
      </c>
      <c r="AH31" s="28">
        <f>'Restating Adj'!Z31</f>
        <v>0</v>
      </c>
      <c r="AI31" s="29">
        <f>'Pro Forma Adj'!N31</f>
        <v>0</v>
      </c>
      <c r="AJ31" s="237">
        <f>'Restating Adj'!AA31+'Pro Forma Adj'!O31</f>
        <v>0</v>
      </c>
      <c r="AK31" s="25">
        <f>'Restating Adj'!AB31</f>
        <v>0</v>
      </c>
      <c r="AL31" s="25">
        <f>'Restating Adj'!AC31</f>
        <v>0</v>
      </c>
      <c r="AM31" s="28">
        <f>'Restating Adj'!AD31</f>
        <v>0</v>
      </c>
      <c r="AN31" s="25">
        <f>'Restating Adj'!AE31</f>
        <v>0</v>
      </c>
      <c r="AO31" s="17">
        <f>'Restating Adj'!AF31</f>
        <v>0</v>
      </c>
      <c r="AP31" s="25">
        <f>'Restating Adj'!AG31</f>
        <v>0</v>
      </c>
      <c r="AQ31" s="28">
        <f>'Pro Forma Adj'!P31</f>
        <v>-182288.98018681514</v>
      </c>
      <c r="AR31" s="28">
        <f>'Restating Adj'!AH31</f>
        <v>-169568.97296169098</v>
      </c>
      <c r="AS31" s="28">
        <f>'Restating Adj'!AI31</f>
        <v>0</v>
      </c>
      <c r="AT31" s="30">
        <f>'Pro Forma Adj'!Q31</f>
        <v>0</v>
      </c>
      <c r="AU31" s="237">
        <f>'Pro Forma Adj'!R31</f>
        <v>0</v>
      </c>
      <c r="AV31" s="262">
        <f>'Pro Forma Adj'!S31</f>
        <v>0</v>
      </c>
      <c r="AW31" s="138">
        <f>'Restating Adj'!AJ31</f>
        <v>0</v>
      </c>
      <c r="AX31" s="25">
        <f>'Restating Adj'!AK31</f>
        <v>0</v>
      </c>
      <c r="AY31" s="25">
        <f>'Restating Adj'!AL31</f>
        <v>0</v>
      </c>
      <c r="AZ31" s="28">
        <f>'Restating Adj'!AM31</f>
        <v>0</v>
      </c>
      <c r="BA31" s="25">
        <f>'Restating Adj'!AN31+'Pro Forma Adj'!T31</f>
        <v>0</v>
      </c>
      <c r="BB31" s="25">
        <f>'Pro Forma Adj'!U31</f>
        <v>0</v>
      </c>
      <c r="BC31" s="25">
        <f>'Pro Forma Adj'!V31</f>
        <v>0</v>
      </c>
      <c r="BD31" s="25">
        <f>'Pro Forma Adj'!W31</f>
        <v>0</v>
      </c>
      <c r="BE31" s="17">
        <f>'Restating Adj'!AO31+'Pro Forma Adj'!X31</f>
        <v>0</v>
      </c>
      <c r="BF31" s="30">
        <f>'Restating Adj'!AP31+'Pro Forma Adj'!Y31</f>
        <v>0</v>
      </c>
      <c r="BI31" s="301">
        <f>B31-(Summary!D28+Summary!H28)</f>
        <v>0</v>
      </c>
    </row>
    <row r="32" spans="1:61">
      <c r="A32" s="61" t="s">
        <v>85</v>
      </c>
      <c r="B32" s="80">
        <f t="shared" si="13"/>
        <v>-470740.99930434069</v>
      </c>
      <c r="C32" s="26">
        <f>'Restating Adj'!C32</f>
        <v>0</v>
      </c>
      <c r="D32" s="28">
        <f>'Restating Adj'!D32</f>
        <v>0</v>
      </c>
      <c r="E32" s="28">
        <f>'Pro Forma Adj'!C32</f>
        <v>0</v>
      </c>
      <c r="F32" s="219">
        <f>'Restating Adj'!E32</f>
        <v>0</v>
      </c>
      <c r="G32" s="218">
        <f>'Restating Adj'!F32</f>
        <v>0</v>
      </c>
      <c r="H32" s="29">
        <f>'Restating Adj'!G32+'Pro Forma Adj'!D32</f>
        <v>0</v>
      </c>
      <c r="I32" s="26">
        <f>'Restating Adj'!H32</f>
        <v>0</v>
      </c>
      <c r="J32" s="28">
        <f>'Restating Adj'!I32</f>
        <v>0</v>
      </c>
      <c r="K32" s="28">
        <f>'Pro Forma Adj'!E32</f>
        <v>0</v>
      </c>
      <c r="L32" s="28">
        <f>'Pro Forma Adj'!F32</f>
        <v>0</v>
      </c>
      <c r="M32" s="219">
        <f>'Restating Adj'!J32</f>
        <v>0</v>
      </c>
      <c r="N32" s="28">
        <f>'Restating Adj'!K32</f>
        <v>0</v>
      </c>
      <c r="O32" s="25">
        <f>'Restating Adj'!L32</f>
        <v>0</v>
      </c>
      <c r="P32" s="29">
        <f>'Pro Forma Adj'!G32</f>
        <v>0</v>
      </c>
      <c r="Q32" s="26">
        <f>'Restating Adj'!M32</f>
        <v>0</v>
      </c>
      <c r="R32" s="219">
        <f>'Pro Forma Adj'!H32</f>
        <v>0</v>
      </c>
      <c r="S32" s="28">
        <f>'Restating Adj'!N32</f>
        <v>0</v>
      </c>
      <c r="T32" s="28">
        <f>'Restating Adj'!O32</f>
        <v>0</v>
      </c>
      <c r="U32" s="28">
        <f>'Pro Forma Adj'!I32</f>
        <v>0</v>
      </c>
      <c r="V32" s="30">
        <f>'Restating Adj'!P32</f>
        <v>-42124.459304340671</v>
      </c>
      <c r="W32" s="76">
        <f>'Restating Adj'!Q32+'Pro Forma Adj'!J32</f>
        <v>0</v>
      </c>
      <c r="X32" s="237">
        <f>'Restating Adj'!R32+'Pro Forma Adj'!K32</f>
        <v>0</v>
      </c>
      <c r="Y32" s="28">
        <f>'Restating Adj'!S32</f>
        <v>0</v>
      </c>
      <c r="Z32" s="28">
        <f>'Pro Forma Adj'!L32</f>
        <v>0</v>
      </c>
      <c r="AA32" s="28">
        <f>'Restating Adj'!T32</f>
        <v>0</v>
      </c>
      <c r="AB32" s="28">
        <f>'Restating Adj'!U32</f>
        <v>0</v>
      </c>
      <c r="AC32" s="28">
        <f>'Restating Adj'!V32</f>
        <v>0</v>
      </c>
      <c r="AD32" s="28">
        <f>'Pro Forma Adj'!M32</f>
        <v>-396368</v>
      </c>
      <c r="AE32" s="28">
        <f>'Restating Adj'!W32</f>
        <v>0</v>
      </c>
      <c r="AF32" s="28">
        <f>'Restating Adj'!X32</f>
        <v>0</v>
      </c>
      <c r="AG32" s="28">
        <f>'Restating Adj'!Y32</f>
        <v>0</v>
      </c>
      <c r="AH32" s="28">
        <f>'Restating Adj'!Z32</f>
        <v>0</v>
      </c>
      <c r="AI32" s="29">
        <f>'Pro Forma Adj'!N32</f>
        <v>-32248.540000000008</v>
      </c>
      <c r="AJ32" s="237">
        <f>'Restating Adj'!AA32+'Pro Forma Adj'!O32</f>
        <v>0</v>
      </c>
      <c r="AK32" s="25">
        <f>'Restating Adj'!AB32</f>
        <v>0</v>
      </c>
      <c r="AL32" s="25">
        <f>'Restating Adj'!AC32</f>
        <v>0</v>
      </c>
      <c r="AM32" s="28">
        <f>'Restating Adj'!AD32</f>
        <v>0</v>
      </c>
      <c r="AN32" s="25">
        <f>'Restating Adj'!AE32</f>
        <v>0</v>
      </c>
      <c r="AO32" s="17">
        <f>'Restating Adj'!AF32</f>
        <v>0</v>
      </c>
      <c r="AP32" s="25">
        <f>'Restating Adj'!AG32</f>
        <v>0</v>
      </c>
      <c r="AQ32" s="28">
        <f>'Pro Forma Adj'!P32</f>
        <v>0</v>
      </c>
      <c r="AR32" s="28">
        <f>'Restating Adj'!AH32</f>
        <v>0</v>
      </c>
      <c r="AS32" s="28">
        <f>'Restating Adj'!AI32</f>
        <v>0</v>
      </c>
      <c r="AT32" s="30">
        <f>'Pro Forma Adj'!Q32</f>
        <v>0</v>
      </c>
      <c r="AU32" s="237">
        <f>'Pro Forma Adj'!R32</f>
        <v>0</v>
      </c>
      <c r="AV32" s="262">
        <f>'Pro Forma Adj'!S32</f>
        <v>0</v>
      </c>
      <c r="AW32" s="138">
        <f>'Restating Adj'!AJ32</f>
        <v>0</v>
      </c>
      <c r="AX32" s="25">
        <f>'Restating Adj'!AK32</f>
        <v>0</v>
      </c>
      <c r="AY32" s="25">
        <f>'Restating Adj'!AL32</f>
        <v>0</v>
      </c>
      <c r="AZ32" s="28">
        <f>'Restating Adj'!AM32</f>
        <v>0</v>
      </c>
      <c r="BA32" s="25">
        <f>'Restating Adj'!AN32+'Pro Forma Adj'!T32</f>
        <v>0</v>
      </c>
      <c r="BB32" s="25">
        <f>'Pro Forma Adj'!U32</f>
        <v>0</v>
      </c>
      <c r="BC32" s="25">
        <f>'Pro Forma Adj'!V32</f>
        <v>0</v>
      </c>
      <c r="BD32" s="25">
        <f>'Pro Forma Adj'!W32</f>
        <v>0</v>
      </c>
      <c r="BE32" s="17">
        <f>'Restating Adj'!AO32+'Pro Forma Adj'!X32</f>
        <v>0</v>
      </c>
      <c r="BF32" s="30">
        <f>'Restating Adj'!AP32+'Pro Forma Adj'!Y32</f>
        <v>0</v>
      </c>
      <c r="BI32" s="301">
        <f>B32-(Summary!D29+Summary!H29)</f>
        <v>0</v>
      </c>
    </row>
    <row r="33" spans="1:61">
      <c r="A33" s="61" t="s">
        <v>86</v>
      </c>
      <c r="B33" s="80">
        <f t="shared" si="13"/>
        <v>-11266894.387598155</v>
      </c>
      <c r="C33" s="26">
        <f>C87</f>
        <v>-2346555.6309999991</v>
      </c>
      <c r="D33" s="28">
        <f t="shared" ref="D33:BF33" si="29">D87</f>
        <v>-586443.1754999964</v>
      </c>
      <c r="E33" s="25">
        <f>E87</f>
        <v>4340754.2884999998</v>
      </c>
      <c r="F33" s="219">
        <f t="shared" si="29"/>
        <v>0</v>
      </c>
      <c r="G33" s="218">
        <f t="shared" si="29"/>
        <v>0</v>
      </c>
      <c r="H33" s="29">
        <f t="shared" si="29"/>
        <v>32543.61746021394</v>
      </c>
      <c r="I33" s="26">
        <f t="shared" si="29"/>
        <v>15496.666458308464</v>
      </c>
      <c r="J33" s="28">
        <f t="shared" si="29"/>
        <v>-10123.251765491525</v>
      </c>
      <c r="K33" s="25">
        <f t="shared" si="29"/>
        <v>-130863.15589052267</v>
      </c>
      <c r="L33" s="25">
        <f t="shared" si="29"/>
        <v>-82999.244999999981</v>
      </c>
      <c r="M33" s="219">
        <f>'Restating Adj'!J33</f>
        <v>0</v>
      </c>
      <c r="N33" s="28">
        <f t="shared" si="29"/>
        <v>2185508.9596184753</v>
      </c>
      <c r="O33" s="25">
        <f t="shared" si="29"/>
        <v>68819.466551237769</v>
      </c>
      <c r="P33" s="30">
        <f t="shared" si="29"/>
        <v>21778.340500024147</v>
      </c>
      <c r="Q33" s="26">
        <f t="shared" si="29"/>
        <v>3850028.2874722714</v>
      </c>
      <c r="R33" s="218">
        <f t="shared" si="29"/>
        <v>0</v>
      </c>
      <c r="S33" s="28">
        <f t="shared" si="29"/>
        <v>-53298.776644337479</v>
      </c>
      <c r="T33" s="28">
        <f t="shared" si="29"/>
        <v>-2808792.3499999996</v>
      </c>
      <c r="U33" s="25">
        <f t="shared" si="29"/>
        <v>412499.27837691235</v>
      </c>
      <c r="V33" s="30">
        <f t="shared" si="29"/>
        <v>28116.38384746986</v>
      </c>
      <c r="W33" s="76">
        <f t="shared" si="29"/>
        <v>0</v>
      </c>
      <c r="X33" s="237">
        <f t="shared" si="29"/>
        <v>0</v>
      </c>
      <c r="Y33" s="28">
        <f t="shared" si="29"/>
        <v>0</v>
      </c>
      <c r="Z33" s="25">
        <f t="shared" si="29"/>
        <v>-5638736.2665997902</v>
      </c>
      <c r="AA33" s="28">
        <f t="shared" si="29"/>
        <v>0</v>
      </c>
      <c r="AB33" s="28">
        <f t="shared" si="29"/>
        <v>0</v>
      </c>
      <c r="AC33" s="28">
        <f t="shared" si="29"/>
        <v>-75954.622194136726</v>
      </c>
      <c r="AD33" s="25">
        <f t="shared" si="29"/>
        <v>138728.79999999999</v>
      </c>
      <c r="AE33" s="28">
        <f t="shared" si="29"/>
        <v>0</v>
      </c>
      <c r="AF33" s="28">
        <f t="shared" si="29"/>
        <v>0</v>
      </c>
      <c r="AG33" s="28">
        <f t="shared" si="29"/>
        <v>0</v>
      </c>
      <c r="AH33" s="28">
        <f t="shared" si="29"/>
        <v>0</v>
      </c>
      <c r="AI33" s="30">
        <f t="shared" si="29"/>
        <v>11286.989000000001</v>
      </c>
      <c r="AJ33" s="237">
        <f t="shared" si="29"/>
        <v>0</v>
      </c>
      <c r="AK33" s="25">
        <f t="shared" si="29"/>
        <v>0</v>
      </c>
      <c r="AL33" s="25">
        <f t="shared" si="29"/>
        <v>-39787.569869268467</v>
      </c>
      <c r="AM33" s="28">
        <f t="shared" si="29"/>
        <v>0</v>
      </c>
      <c r="AN33" s="25"/>
      <c r="AO33" s="17">
        <f t="shared" si="29"/>
        <v>164228.64557247536</v>
      </c>
      <c r="AP33" s="25"/>
      <c r="AQ33" s="25">
        <f t="shared" ref="AQ33" si="30">AQ87</f>
        <v>-45625.120341806462</v>
      </c>
      <c r="AR33" s="28">
        <f t="shared" si="29"/>
        <v>-62356.574575820028</v>
      </c>
      <c r="AS33" s="28">
        <f t="shared" si="29"/>
        <v>-11901.71733333333</v>
      </c>
      <c r="AT33" s="30"/>
      <c r="AU33" s="239">
        <f t="shared" si="29"/>
        <v>0</v>
      </c>
      <c r="AV33" s="262">
        <f t="shared" si="29"/>
        <v>0</v>
      </c>
      <c r="AW33" s="138">
        <f t="shared" si="29"/>
        <v>-94173.274325919469</v>
      </c>
      <c r="AX33" s="25">
        <f t="shared" si="29"/>
        <v>59386.247242874997</v>
      </c>
      <c r="AY33" s="25">
        <f t="shared" si="29"/>
        <v>32205.219853038005</v>
      </c>
      <c r="AZ33" s="28">
        <f t="shared" si="29"/>
        <v>634.45568652393865</v>
      </c>
      <c r="BA33" s="25">
        <f t="shared" si="29"/>
        <v>200359.71799605049</v>
      </c>
      <c r="BB33" s="25">
        <f t="shared" si="29"/>
        <v>-12169578.242763596</v>
      </c>
      <c r="BC33" s="25">
        <f t="shared" si="29"/>
        <v>27249.145668287645</v>
      </c>
      <c r="BD33" s="25">
        <f t="shared" si="29"/>
        <v>73870.799268428527</v>
      </c>
      <c r="BE33" s="17">
        <f t="shared" si="29"/>
        <v>0</v>
      </c>
      <c r="BF33" s="30">
        <f t="shared" si="29"/>
        <v>1226799.2771332711</v>
      </c>
      <c r="BI33" s="301">
        <f>B33-(Summary!D30+Summary!H30)</f>
        <v>0</v>
      </c>
    </row>
    <row r="34" spans="1:61">
      <c r="A34" s="61" t="s">
        <v>87</v>
      </c>
      <c r="B34" s="80">
        <f t="shared" si="13"/>
        <v>0</v>
      </c>
      <c r="C34" s="27">
        <v>0</v>
      </c>
      <c r="D34" s="25">
        <f>'Restating Adj'!D34</f>
        <v>0</v>
      </c>
      <c r="E34" s="25">
        <f>'Pro Forma Adj'!C34</f>
        <v>0</v>
      </c>
      <c r="F34" s="218">
        <f>'Restating Adj'!E34</f>
        <v>0</v>
      </c>
      <c r="G34" s="218">
        <f>'Restating Adj'!F34</f>
        <v>0</v>
      </c>
      <c r="H34" s="30">
        <f>'Restating Adj'!G34+'Pro Forma Adj'!D34</f>
        <v>0</v>
      </c>
      <c r="I34" s="27">
        <f>'Restating Adj'!H34</f>
        <v>0</v>
      </c>
      <c r="J34" s="25">
        <f>'Restating Adj'!I34</f>
        <v>0</v>
      </c>
      <c r="K34" s="25">
        <f>'Pro Forma Adj'!E34</f>
        <v>0</v>
      </c>
      <c r="L34" s="25">
        <f>'Pro Forma Adj'!F34</f>
        <v>0</v>
      </c>
      <c r="M34" s="218">
        <f>'Restating Adj'!J34</f>
        <v>0</v>
      </c>
      <c r="N34" s="25">
        <f>'Restating Adj'!K34</f>
        <v>0</v>
      </c>
      <c r="O34" s="25">
        <v>0</v>
      </c>
      <c r="P34" s="30">
        <f>'Pro Forma Adj'!G34</f>
        <v>0</v>
      </c>
      <c r="Q34" s="27">
        <f>'Restating Adj'!M34</f>
        <v>0</v>
      </c>
      <c r="R34" s="218">
        <f>'Pro Forma Adj'!H34</f>
        <v>0</v>
      </c>
      <c r="S34" s="25">
        <f>'Restating Adj'!N34</f>
        <v>0</v>
      </c>
      <c r="T34" s="25">
        <f>'Restating Adj'!O34</f>
        <v>0</v>
      </c>
      <c r="U34" s="25">
        <f>'Pro Forma Adj'!I34</f>
        <v>0</v>
      </c>
      <c r="V34" s="30">
        <f>'Restating Adj'!P34</f>
        <v>0</v>
      </c>
      <c r="W34" s="80">
        <v>0</v>
      </c>
      <c r="X34" s="239">
        <f>'Restating Adj'!R34+'Pro Forma Adj'!K34</f>
        <v>0</v>
      </c>
      <c r="Y34" s="25">
        <f>'Restating Adj'!S34</f>
        <v>0</v>
      </c>
      <c r="Z34" s="25">
        <f>'Pro Forma Adj'!L34</f>
        <v>0</v>
      </c>
      <c r="AA34" s="25">
        <f>'Restating Adj'!T34</f>
        <v>0</v>
      </c>
      <c r="AB34" s="25">
        <f>'Restating Adj'!U34</f>
        <v>0</v>
      </c>
      <c r="AC34" s="25">
        <f>'Restating Adj'!V34</f>
        <v>0</v>
      </c>
      <c r="AD34" s="25">
        <f>'Pro Forma Adj'!M34</f>
        <v>0</v>
      </c>
      <c r="AE34" s="25">
        <f>'Restating Adj'!W34</f>
        <v>0</v>
      </c>
      <c r="AF34" s="25">
        <f>'Restating Adj'!X34</f>
        <v>0</v>
      </c>
      <c r="AG34" s="25">
        <f>'Restating Adj'!Y34</f>
        <v>0</v>
      </c>
      <c r="AH34" s="25">
        <f>'Restating Adj'!Z34</f>
        <v>0</v>
      </c>
      <c r="AI34" s="30">
        <f>'Pro Forma Adj'!N34</f>
        <v>0</v>
      </c>
      <c r="AJ34" s="239">
        <f>'Restating Adj'!AA34+'Pro Forma Adj'!O34</f>
        <v>0</v>
      </c>
      <c r="AK34" s="25">
        <f>'Restating Adj'!AB34</f>
        <v>0</v>
      </c>
      <c r="AL34" s="25">
        <f>'Restating Adj'!AC34</f>
        <v>0</v>
      </c>
      <c r="AM34" s="25">
        <f>'Restating Adj'!AD34</f>
        <v>0</v>
      </c>
      <c r="AN34" s="25">
        <f>'Restating Adj'!AE34</f>
        <v>0</v>
      </c>
      <c r="AO34" s="17">
        <f>'Restating Adj'!AF34</f>
        <v>0</v>
      </c>
      <c r="AP34" s="25">
        <f>'Restating Adj'!AG34</f>
        <v>0</v>
      </c>
      <c r="AQ34" s="25">
        <f>'Pro Forma Adj'!P34</f>
        <v>0</v>
      </c>
      <c r="AR34" s="25">
        <f>'Restating Adj'!AH34</f>
        <v>0</v>
      </c>
      <c r="AS34" s="25">
        <f>'Restating Adj'!AI34</f>
        <v>0</v>
      </c>
      <c r="AT34" s="30">
        <f>'Pro Forma Adj'!Q34</f>
        <v>0</v>
      </c>
      <c r="AU34" s="239">
        <f>'Pro Forma Adj'!R34</f>
        <v>0</v>
      </c>
      <c r="AV34" s="262">
        <f>'Pro Forma Adj'!S34</f>
        <v>0</v>
      </c>
      <c r="AW34" s="137">
        <f>'Restating Adj'!AJ34</f>
        <v>0</v>
      </c>
      <c r="AX34" s="25">
        <f>'Restating Adj'!AK34</f>
        <v>0</v>
      </c>
      <c r="AY34" s="25">
        <f>'Restating Adj'!AL34</f>
        <v>0</v>
      </c>
      <c r="AZ34" s="25">
        <f>'Restating Adj'!AM34</f>
        <v>0</v>
      </c>
      <c r="BA34" s="25">
        <f>'Restating Adj'!AN34+'Pro Forma Adj'!T34</f>
        <v>0</v>
      </c>
      <c r="BB34" s="25">
        <f>'Pro Forma Adj'!U34</f>
        <v>0</v>
      </c>
      <c r="BC34" s="25">
        <f>'Pro Forma Adj'!V34</f>
        <v>0</v>
      </c>
      <c r="BD34" s="25">
        <f>'Pro Forma Adj'!W34</f>
        <v>0</v>
      </c>
      <c r="BE34" s="17">
        <f>'Restating Adj'!AO34+'Pro Forma Adj'!X34</f>
        <v>0</v>
      </c>
      <c r="BF34" s="30">
        <f>'Restating Adj'!AP34+'Pro Forma Adj'!Y34</f>
        <v>0</v>
      </c>
      <c r="BI34" s="301">
        <f>B34-(Summary!D31+Summary!H31)</f>
        <v>0</v>
      </c>
    </row>
    <row r="35" spans="1:61">
      <c r="A35" s="61" t="s">
        <v>88</v>
      </c>
      <c r="B35" s="80">
        <f t="shared" si="13"/>
        <v>3841059.847306639</v>
      </c>
      <c r="C35" s="26">
        <f>'Restating Adj'!C35</f>
        <v>0</v>
      </c>
      <c r="D35" s="28">
        <f>'Restating Adj'!D35</f>
        <v>623320</v>
      </c>
      <c r="E35" s="28">
        <f>'Pro Forma Adj'!C35</f>
        <v>0</v>
      </c>
      <c r="F35" s="219">
        <f>'Restating Adj'!E35</f>
        <v>0</v>
      </c>
      <c r="G35" s="218">
        <f>'Restating Adj'!F35</f>
        <v>0</v>
      </c>
      <c r="H35" s="29">
        <f>'Restating Adj'!G35+'Pro Forma Adj'!D35</f>
        <v>0</v>
      </c>
      <c r="I35" s="26">
        <f>'Restating Adj'!H35</f>
        <v>0</v>
      </c>
      <c r="J35" s="28">
        <f>'Restating Adj'!I35</f>
        <v>0</v>
      </c>
      <c r="K35" s="28">
        <f>'Pro Forma Adj'!E35</f>
        <v>0</v>
      </c>
      <c r="L35" s="28">
        <f>'Pro Forma Adj'!F35</f>
        <v>384714.35292255116</v>
      </c>
      <c r="M35" s="219">
        <f>'Restating Adj'!J35</f>
        <v>0</v>
      </c>
      <c r="N35" s="28">
        <f>'Restating Adj'!K35</f>
        <v>-525944.76265158609</v>
      </c>
      <c r="O35" s="25">
        <f>'Restating Adj'!L35</f>
        <v>0</v>
      </c>
      <c r="P35" s="29">
        <f>'Pro Forma Adj'!G35</f>
        <v>218151.59924659377</v>
      </c>
      <c r="Q35" s="26">
        <f>'Restating Adj'!M35</f>
        <v>0</v>
      </c>
      <c r="R35" s="219">
        <f>'Pro Forma Adj'!H35</f>
        <v>0</v>
      </c>
      <c r="S35" s="28">
        <f>'Restating Adj'!N35</f>
        <v>0</v>
      </c>
      <c r="T35" s="28">
        <f>'Restating Adj'!O35</f>
        <v>0</v>
      </c>
      <c r="U35" s="28">
        <f>'Pro Forma Adj'!I35</f>
        <v>0</v>
      </c>
      <c r="V35" s="30">
        <f>'Restating Adj'!P35</f>
        <v>136253.30590310734</v>
      </c>
      <c r="W35" s="77">
        <f>'Restating Adj'!Q35+'Pro Forma Adj'!J35</f>
        <v>0</v>
      </c>
      <c r="X35" s="237">
        <f>'Restating Adj'!R35+'Pro Forma Adj'!K35</f>
        <v>0</v>
      </c>
      <c r="Y35" s="28">
        <f>'Restating Adj'!S35</f>
        <v>0</v>
      </c>
      <c r="Z35" s="28">
        <f>'Pro Forma Adj'!L35</f>
        <v>0</v>
      </c>
      <c r="AA35" s="28">
        <f>'Restating Adj'!T35</f>
        <v>-291666.75803272682</v>
      </c>
      <c r="AB35" s="28">
        <f>'Restating Adj'!U35</f>
        <v>5532834</v>
      </c>
      <c r="AC35" s="28">
        <f>'Restating Adj'!V35</f>
        <v>0</v>
      </c>
      <c r="AD35" s="28">
        <f>'Pro Forma Adj'!M35</f>
        <v>0</v>
      </c>
      <c r="AE35" s="28">
        <f>'Restating Adj'!W35</f>
        <v>-2199228</v>
      </c>
      <c r="AF35" s="28">
        <f>'Restating Adj'!X35</f>
        <v>525562</v>
      </c>
      <c r="AG35" s="28">
        <f>'Restating Adj'!Y35</f>
        <v>170464.29080562192</v>
      </c>
      <c r="AH35" s="28">
        <f>'Restating Adj'!Z35</f>
        <v>0</v>
      </c>
      <c r="AI35" s="29">
        <f>'Pro Forma Adj'!N35</f>
        <v>0</v>
      </c>
      <c r="AJ35" s="237">
        <f>'Restating Adj'!AA35+'Pro Forma Adj'!O35</f>
        <v>0</v>
      </c>
      <c r="AK35" s="25">
        <f>'Restating Adj'!AB35</f>
        <v>0</v>
      </c>
      <c r="AL35" s="25">
        <f>'Restating Adj'!AC35</f>
        <v>22533.992895240313</v>
      </c>
      <c r="AM35" s="28">
        <f>'Restating Adj'!AD35</f>
        <v>0</v>
      </c>
      <c r="AN35" s="25">
        <f>'Restating Adj'!AE35</f>
        <v>0</v>
      </c>
      <c r="AO35" s="17">
        <f>'Restating Adj'!AF35</f>
        <v>-178075.49320044401</v>
      </c>
      <c r="AP35" s="25">
        <f>'Restating Adj'!AG35</f>
        <v>0</v>
      </c>
      <c r="AQ35" s="28">
        <f>'Pro Forma Adj'!P35</f>
        <v>118650.25565312334</v>
      </c>
      <c r="AR35" s="28">
        <f>'Restating Adj'!AH35</f>
        <v>131967.16895276116</v>
      </c>
      <c r="AS35" s="28">
        <f>'Restating Adj'!AI35</f>
        <v>0</v>
      </c>
      <c r="AT35" s="30">
        <f>'Pro Forma Adj'!Q35</f>
        <v>-1138530</v>
      </c>
      <c r="AU35" s="237">
        <f>'Pro Forma Adj'!R35</f>
        <v>0</v>
      </c>
      <c r="AV35" s="262">
        <f>'Pro Forma Adj'!S35</f>
        <v>0</v>
      </c>
      <c r="AW35" s="138">
        <f>'Restating Adj'!AJ35</f>
        <v>310053.89481239684</v>
      </c>
      <c r="AX35" s="25">
        <f>'Restating Adj'!AK35</f>
        <v>0</v>
      </c>
      <c r="AY35" s="25">
        <f>'Restating Adj'!AL35</f>
        <v>0</v>
      </c>
      <c r="AZ35" s="28">
        <f>'Restating Adj'!AM35</f>
        <v>0</v>
      </c>
      <c r="BA35" s="25">
        <f>'Restating Adj'!AN35+'Pro Forma Adj'!T35</f>
        <v>0</v>
      </c>
      <c r="BB35" s="25">
        <f>'Pro Forma Adj'!U35</f>
        <v>0</v>
      </c>
      <c r="BC35" s="25">
        <f>'Pro Forma Adj'!V35</f>
        <v>0</v>
      </c>
      <c r="BD35" s="25">
        <f>'Pro Forma Adj'!W35</f>
        <v>0</v>
      </c>
      <c r="BE35" s="17">
        <f>'Restating Adj'!AO35+'Pro Forma Adj'!X35</f>
        <v>0</v>
      </c>
      <c r="BF35" s="30">
        <f>'Restating Adj'!AP35+'Pro Forma Adj'!Y35</f>
        <v>0</v>
      </c>
      <c r="BI35" s="301">
        <f>B35-(Summary!D32+Summary!H32)</f>
        <v>0</v>
      </c>
    </row>
    <row r="36" spans="1:61">
      <c r="A36" s="61" t="s">
        <v>89</v>
      </c>
      <c r="B36" s="80">
        <f t="shared" si="13"/>
        <v>0</v>
      </c>
      <c r="C36" s="26">
        <f>'Restating Adj'!C36</f>
        <v>0</v>
      </c>
      <c r="D36" s="28">
        <f>'Restating Adj'!D36</f>
        <v>0</v>
      </c>
      <c r="E36" s="28">
        <f>'Pro Forma Adj'!C36</f>
        <v>0</v>
      </c>
      <c r="F36" s="219">
        <f>'Restating Adj'!E36</f>
        <v>0</v>
      </c>
      <c r="G36" s="218">
        <f>'Restating Adj'!F36</f>
        <v>0</v>
      </c>
      <c r="H36" s="29">
        <f>'Restating Adj'!G36+'Pro Forma Adj'!D36</f>
        <v>0</v>
      </c>
      <c r="I36" s="26">
        <f>'Restating Adj'!H36</f>
        <v>0</v>
      </c>
      <c r="J36" s="28">
        <f>'Restating Adj'!I36</f>
        <v>0</v>
      </c>
      <c r="K36" s="28">
        <f>'Pro Forma Adj'!E36</f>
        <v>0</v>
      </c>
      <c r="L36" s="28">
        <f>'Pro Forma Adj'!F36</f>
        <v>0</v>
      </c>
      <c r="M36" s="219">
        <f>'Restating Adj'!J36</f>
        <v>0</v>
      </c>
      <c r="N36" s="28">
        <f>'Restating Adj'!K36</f>
        <v>0</v>
      </c>
      <c r="O36" s="25">
        <f>'Restating Adj'!L36</f>
        <v>0</v>
      </c>
      <c r="P36" s="29">
        <f>'Pro Forma Adj'!G36</f>
        <v>0</v>
      </c>
      <c r="Q36" s="26">
        <f>'Restating Adj'!M36</f>
        <v>0</v>
      </c>
      <c r="R36" s="219">
        <f>'Pro Forma Adj'!H36</f>
        <v>0</v>
      </c>
      <c r="S36" s="28">
        <f>'Restating Adj'!N36</f>
        <v>0</v>
      </c>
      <c r="T36" s="28">
        <f>'Restating Adj'!O36</f>
        <v>0</v>
      </c>
      <c r="U36" s="28">
        <f>'Pro Forma Adj'!I36</f>
        <v>0</v>
      </c>
      <c r="V36" s="30">
        <f>'Restating Adj'!P36</f>
        <v>0</v>
      </c>
      <c r="W36" s="77">
        <f>'Restating Adj'!Q36+'Pro Forma Adj'!J36</f>
        <v>0</v>
      </c>
      <c r="X36" s="237">
        <f>'Restating Adj'!R36+'Pro Forma Adj'!K36</f>
        <v>0</v>
      </c>
      <c r="Y36" s="28">
        <f>'Restating Adj'!S36</f>
        <v>0</v>
      </c>
      <c r="Z36" s="28">
        <f>'Pro Forma Adj'!L36</f>
        <v>0</v>
      </c>
      <c r="AA36" s="28">
        <f>'Restating Adj'!T36</f>
        <v>0</v>
      </c>
      <c r="AB36" s="28">
        <f>'Restating Adj'!U36</f>
        <v>0</v>
      </c>
      <c r="AC36" s="28">
        <f>'Restating Adj'!V36</f>
        <v>0</v>
      </c>
      <c r="AD36" s="28">
        <f>'Pro Forma Adj'!M36</f>
        <v>0</v>
      </c>
      <c r="AE36" s="28">
        <f>'Restating Adj'!W36</f>
        <v>0</v>
      </c>
      <c r="AF36" s="28">
        <f>'Restating Adj'!X36</f>
        <v>0</v>
      </c>
      <c r="AG36" s="28">
        <f>'Restating Adj'!Y36</f>
        <v>0</v>
      </c>
      <c r="AH36" s="28">
        <f>'Restating Adj'!Z36</f>
        <v>0</v>
      </c>
      <c r="AI36" s="29">
        <f>'Pro Forma Adj'!N36</f>
        <v>0</v>
      </c>
      <c r="AJ36" s="237">
        <f>'Restating Adj'!AA36+'Pro Forma Adj'!O36</f>
        <v>0</v>
      </c>
      <c r="AK36" s="25">
        <f>'Restating Adj'!AB36</f>
        <v>0</v>
      </c>
      <c r="AL36" s="25">
        <f>'Restating Adj'!AC36</f>
        <v>0</v>
      </c>
      <c r="AM36" s="28">
        <f>'Restating Adj'!AD36</f>
        <v>0</v>
      </c>
      <c r="AN36" s="25">
        <f>'Restating Adj'!AE36</f>
        <v>0</v>
      </c>
      <c r="AO36" s="17">
        <f>'Restating Adj'!AF36</f>
        <v>0</v>
      </c>
      <c r="AP36" s="25">
        <f>'Restating Adj'!AG36</f>
        <v>0</v>
      </c>
      <c r="AQ36" s="28">
        <f>'Pro Forma Adj'!P36</f>
        <v>0</v>
      </c>
      <c r="AR36" s="28">
        <f>'Restating Adj'!AH36</f>
        <v>0</v>
      </c>
      <c r="AS36" s="28">
        <f>'Restating Adj'!AI36</f>
        <v>0</v>
      </c>
      <c r="AT36" s="30">
        <f>'Pro Forma Adj'!Q36</f>
        <v>0</v>
      </c>
      <c r="AU36" s="237">
        <f>'Pro Forma Adj'!R36</f>
        <v>0</v>
      </c>
      <c r="AV36" s="262">
        <f>'Pro Forma Adj'!S36</f>
        <v>0</v>
      </c>
      <c r="AW36" s="138">
        <f>'Restating Adj'!AJ36</f>
        <v>0</v>
      </c>
      <c r="AX36" s="25">
        <f>'Restating Adj'!AK36</f>
        <v>0</v>
      </c>
      <c r="AY36" s="25">
        <f>'Restating Adj'!AL36</f>
        <v>0</v>
      </c>
      <c r="AZ36" s="28">
        <f>'Restating Adj'!AM36</f>
        <v>0</v>
      </c>
      <c r="BA36" s="25">
        <f>'Restating Adj'!AN36+'Pro Forma Adj'!T36</f>
        <v>0</v>
      </c>
      <c r="BB36" s="25">
        <f>'Pro Forma Adj'!U36</f>
        <v>0</v>
      </c>
      <c r="BC36" s="25">
        <f>'Pro Forma Adj'!V36</f>
        <v>0</v>
      </c>
      <c r="BD36" s="25">
        <f>'Pro Forma Adj'!W36</f>
        <v>0</v>
      </c>
      <c r="BE36" s="17">
        <f>'Restating Adj'!AO36+'Pro Forma Adj'!X36</f>
        <v>0</v>
      </c>
      <c r="BF36" s="30">
        <f>'Restating Adj'!AP36+'Pro Forma Adj'!Y36</f>
        <v>0</v>
      </c>
      <c r="BI36" s="301">
        <f>B36-(Summary!D33+Summary!H33)</f>
        <v>0</v>
      </c>
    </row>
    <row r="37" spans="1:61">
      <c r="A37" s="61" t="s">
        <v>90</v>
      </c>
      <c r="B37" s="80">
        <f t="shared" si="13"/>
        <v>-512416.08419859601</v>
      </c>
      <c r="C37" s="26">
        <f>'Restating Adj'!C37</f>
        <v>0</v>
      </c>
      <c r="D37" s="28">
        <f>'Restating Adj'!D37</f>
        <v>0</v>
      </c>
      <c r="E37" s="28">
        <f>'Pro Forma Adj'!C37</f>
        <v>0</v>
      </c>
      <c r="F37" s="219">
        <f>'Restating Adj'!E37</f>
        <v>0</v>
      </c>
      <c r="G37" s="218">
        <f>'Restating Adj'!F37</f>
        <v>0</v>
      </c>
      <c r="H37" s="29">
        <f>'Restating Adj'!G37+'Pro Forma Adj'!D37</f>
        <v>0</v>
      </c>
      <c r="I37" s="26">
        <f>'Restating Adj'!H37</f>
        <v>0</v>
      </c>
      <c r="J37" s="28">
        <f>'Restating Adj'!I37</f>
        <v>0</v>
      </c>
      <c r="K37" s="28">
        <f>'Pro Forma Adj'!E37</f>
        <v>0</v>
      </c>
      <c r="L37" s="28">
        <f>'Pro Forma Adj'!F37</f>
        <v>0</v>
      </c>
      <c r="M37" s="219">
        <f>'Restating Adj'!J37</f>
        <v>0</v>
      </c>
      <c r="N37" s="28">
        <f>'Restating Adj'!K37</f>
        <v>0</v>
      </c>
      <c r="O37" s="28">
        <f>'Restating Adj'!L37</f>
        <v>0</v>
      </c>
      <c r="P37" s="29">
        <f>'Pro Forma Adj'!G37</f>
        <v>0</v>
      </c>
      <c r="Q37" s="26">
        <f>'Restating Adj'!M37</f>
        <v>0</v>
      </c>
      <c r="R37" s="219">
        <f>'Pro Forma Adj'!H37</f>
        <v>0</v>
      </c>
      <c r="S37" s="28">
        <f>'Restating Adj'!N37</f>
        <v>0</v>
      </c>
      <c r="T37" s="28">
        <f>'Restating Adj'!O37</f>
        <v>0</v>
      </c>
      <c r="U37" s="28">
        <f>'Pro Forma Adj'!I37</f>
        <v>0</v>
      </c>
      <c r="V37" s="29">
        <f>'Restating Adj'!P37</f>
        <v>0</v>
      </c>
      <c r="W37" s="77">
        <f>'Restating Adj'!Q37+'Pro Forma Adj'!J37</f>
        <v>0</v>
      </c>
      <c r="X37" s="237">
        <f>'Restating Adj'!R37+'Pro Forma Adj'!K37</f>
        <v>0</v>
      </c>
      <c r="Y37" s="28">
        <f>'Restating Adj'!S37</f>
        <v>0</v>
      </c>
      <c r="Z37" s="28">
        <f>'Pro Forma Adj'!L37</f>
        <v>0</v>
      </c>
      <c r="AA37" s="28">
        <f>'Restating Adj'!T37</f>
        <v>0</v>
      </c>
      <c r="AB37" s="28">
        <f>'Restating Adj'!U37</f>
        <v>0</v>
      </c>
      <c r="AC37" s="28">
        <f>'Restating Adj'!V37</f>
        <v>0</v>
      </c>
      <c r="AD37" s="28">
        <f>'Pro Forma Adj'!M37</f>
        <v>0</v>
      </c>
      <c r="AE37" s="28">
        <f>'Restating Adj'!W37</f>
        <v>0</v>
      </c>
      <c r="AF37" s="28">
        <f>'Restating Adj'!X37</f>
        <v>0</v>
      </c>
      <c r="AG37" s="28">
        <f>'Restating Adj'!Y37</f>
        <v>0</v>
      </c>
      <c r="AH37" s="28">
        <f>'Restating Adj'!Z37</f>
        <v>0</v>
      </c>
      <c r="AI37" s="29">
        <f>'Pro Forma Adj'!N37</f>
        <v>0</v>
      </c>
      <c r="AJ37" s="237">
        <f>'Restating Adj'!AA37+'Pro Forma Adj'!O37</f>
        <v>0</v>
      </c>
      <c r="AK37" s="25">
        <f>'Restating Adj'!AB37</f>
        <v>0</v>
      </c>
      <c r="AL37" s="25">
        <f>'Restating Adj'!AC37</f>
        <v>0</v>
      </c>
      <c r="AM37" s="28">
        <f>'Restating Adj'!AD37</f>
        <v>0</v>
      </c>
      <c r="AN37" s="25">
        <f>'Restating Adj'!AE37</f>
        <v>0</v>
      </c>
      <c r="AO37" s="17">
        <f>'Restating Adj'!AF37</f>
        <v>0</v>
      </c>
      <c r="AP37" s="25">
        <f>'Restating Adj'!AG37</f>
        <v>0</v>
      </c>
      <c r="AQ37" s="28">
        <f>'Pro Forma Adj'!P37</f>
        <v>0</v>
      </c>
      <c r="AR37" s="28">
        <f>'Restating Adj'!AH37</f>
        <v>0</v>
      </c>
      <c r="AS37" s="28">
        <f>'Restating Adj'!AI37</f>
        <v>34004.906666666662</v>
      </c>
      <c r="AT37" s="30">
        <f>'Pro Forma Adj'!Q37</f>
        <v>0</v>
      </c>
      <c r="AU37" s="237">
        <f>'Pro Forma Adj'!R37</f>
        <v>0</v>
      </c>
      <c r="AV37" s="262">
        <f>'Pro Forma Adj'!S37</f>
        <v>0</v>
      </c>
      <c r="AW37" s="138">
        <f>'Restating Adj'!AJ37</f>
        <v>-547918.25463305868</v>
      </c>
      <c r="AX37" s="25">
        <f>'Restating Adj'!AK37</f>
        <v>0</v>
      </c>
      <c r="AY37" s="25">
        <f>'Restating Adj'!AL37</f>
        <v>0</v>
      </c>
      <c r="AZ37" s="28">
        <f>'Restating Adj'!AM37</f>
        <v>0</v>
      </c>
      <c r="BA37" s="25">
        <f>'Restating Adj'!AN37+'Pro Forma Adj'!T37</f>
        <v>0</v>
      </c>
      <c r="BB37" s="25">
        <f>'Pro Forma Adj'!U37</f>
        <v>0</v>
      </c>
      <c r="BC37" s="25">
        <f>'Pro Forma Adj'!V37</f>
        <v>0</v>
      </c>
      <c r="BD37" s="25">
        <f>'Pro Forma Adj'!W37</f>
        <v>1497.2637677959865</v>
      </c>
      <c r="BE37" s="17">
        <f>'Restating Adj'!AO37+'Pro Forma Adj'!X37</f>
        <v>0</v>
      </c>
      <c r="BF37" s="30">
        <f>'Restating Adj'!AP37+'Pro Forma Adj'!Y37</f>
        <v>0</v>
      </c>
      <c r="BI37" s="301">
        <f>B37-(Summary!D34+Summary!H34)</f>
        <v>0</v>
      </c>
    </row>
    <row r="38" spans="1:61">
      <c r="A38" s="61" t="s">
        <v>91</v>
      </c>
      <c r="B38" s="78">
        <f t="shared" si="13"/>
        <v>-26268524.701076753</v>
      </c>
      <c r="C38" s="33">
        <f>SUM(C29:C37)</f>
        <v>-2346555.6309999991</v>
      </c>
      <c r="D38" s="31">
        <f t="shared" ref="D38:BF38" si="31">SUM(D29:D37)</f>
        <v>36876.824500003597</v>
      </c>
      <c r="E38" s="31">
        <f t="shared" ref="E38" si="32">SUM(E29:E37)</f>
        <v>4340754.2884999998</v>
      </c>
      <c r="F38" s="220">
        <f t="shared" si="31"/>
        <v>0</v>
      </c>
      <c r="G38" s="220">
        <f t="shared" si="31"/>
        <v>0</v>
      </c>
      <c r="H38" s="34">
        <f t="shared" si="31"/>
        <v>25148.654512310335</v>
      </c>
      <c r="I38" s="33">
        <f t="shared" si="31"/>
        <v>-28779.523422572864</v>
      </c>
      <c r="J38" s="31">
        <f t="shared" si="31"/>
        <v>18800.324707341406</v>
      </c>
      <c r="K38" s="31">
        <f t="shared" ref="K38:L38" si="33">SUM(K29:K37)</f>
        <v>243031.57522525641</v>
      </c>
      <c r="L38" s="31">
        <f t="shared" si="33"/>
        <v>-474857.54066523613</v>
      </c>
      <c r="M38" s="220">
        <f t="shared" si="31"/>
        <v>0</v>
      </c>
      <c r="N38" s="31">
        <f t="shared" si="31"/>
        <v>-3198894.8030331107</v>
      </c>
      <c r="O38" s="31">
        <f t="shared" si="31"/>
        <v>-127807.58073801303</v>
      </c>
      <c r="P38" s="34">
        <f t="shared" ref="P38" si="34">SUM(P29:P37)</f>
        <v>-397117.40025338228</v>
      </c>
      <c r="Q38" s="33">
        <f t="shared" si="31"/>
        <v>-3346408.3305782042</v>
      </c>
      <c r="R38" s="220">
        <f t="shared" ref="R38" si="35">SUM(R29:R37)</f>
        <v>0</v>
      </c>
      <c r="S38" s="31">
        <f t="shared" si="31"/>
        <v>98983.442339483881</v>
      </c>
      <c r="T38" s="31">
        <f t="shared" si="31"/>
        <v>5216328.6500000004</v>
      </c>
      <c r="U38" s="31">
        <f t="shared" ref="U38" si="36">SUM(U29:U37)</f>
        <v>412499.27837691235</v>
      </c>
      <c r="V38" s="34">
        <f t="shared" si="31"/>
        <v>-274986.77108456596</v>
      </c>
      <c r="W38" s="78">
        <f t="shared" si="31"/>
        <v>0</v>
      </c>
      <c r="X38" s="238">
        <f t="shared" si="31"/>
        <v>0</v>
      </c>
      <c r="Y38" s="31">
        <f t="shared" si="31"/>
        <v>0</v>
      </c>
      <c r="Z38" s="31">
        <f t="shared" ref="Z38" si="37">SUM(Z29:Z37)</f>
        <v>-5638736.2665997902</v>
      </c>
      <c r="AA38" s="31">
        <f t="shared" si="31"/>
        <v>-291666.75803272682</v>
      </c>
      <c r="AB38" s="31">
        <f t="shared" si="31"/>
        <v>5532834</v>
      </c>
      <c r="AC38" s="31">
        <f t="shared" si="31"/>
        <v>-75954.622194136726</v>
      </c>
      <c r="AD38" s="31">
        <f t="shared" ref="AD38" si="38">SUM(AD29:AD37)</f>
        <v>-257639.2</v>
      </c>
      <c r="AE38" s="31">
        <f t="shared" si="31"/>
        <v>-2199228</v>
      </c>
      <c r="AF38" s="31">
        <f t="shared" si="31"/>
        <v>525562</v>
      </c>
      <c r="AG38" s="31">
        <f t="shared" si="31"/>
        <v>170464.29080562192</v>
      </c>
      <c r="AH38" s="31">
        <f t="shared" si="31"/>
        <v>0</v>
      </c>
      <c r="AI38" s="34">
        <f t="shared" ref="AI38" si="39">SUM(AI29:AI37)</f>
        <v>-20961.551000000007</v>
      </c>
      <c r="AJ38" s="238">
        <f t="shared" si="31"/>
        <v>0</v>
      </c>
      <c r="AK38" s="31">
        <f t="shared" si="31"/>
        <v>0</v>
      </c>
      <c r="AL38" s="31">
        <f t="shared" si="31"/>
        <v>37049.96055089141</v>
      </c>
      <c r="AM38" s="31">
        <f t="shared" si="31"/>
        <v>0</v>
      </c>
      <c r="AN38" s="31">
        <f t="shared" si="31"/>
        <v>0</v>
      </c>
      <c r="AO38" s="31">
        <f t="shared" si="31"/>
        <v>-13846.847627968644</v>
      </c>
      <c r="AP38" s="31">
        <f t="shared" si="31"/>
        <v>-17990.552800000001</v>
      </c>
      <c r="AQ38" s="31">
        <f t="shared" ref="AQ38" si="40">SUM(AQ29:AQ37)</f>
        <v>-109263.84487549827</v>
      </c>
      <c r="AR38" s="31">
        <f t="shared" si="31"/>
        <v>-99958.378584749851</v>
      </c>
      <c r="AS38" s="31">
        <f t="shared" si="31"/>
        <v>22103.189333333332</v>
      </c>
      <c r="AT38" s="34">
        <f t="shared" ref="AT38" si="41">SUM(AT29:AT37)</f>
        <v>-1138530</v>
      </c>
      <c r="AU38" s="238">
        <f t="shared" ref="AU38" si="42">SUM(AU29:AU37)</f>
        <v>0</v>
      </c>
      <c r="AV38" s="263">
        <f t="shared" ref="AV38" si="43">SUM(AV29:AV37)</f>
        <v>0</v>
      </c>
      <c r="AW38" s="139">
        <f t="shared" si="31"/>
        <v>-332037.63414658129</v>
      </c>
      <c r="AX38" s="31">
        <f t="shared" si="31"/>
        <v>-110288.74487962501</v>
      </c>
      <c r="AY38" s="31">
        <f t="shared" si="31"/>
        <v>-59809.694012784872</v>
      </c>
      <c r="AZ38" s="31">
        <f t="shared" si="31"/>
        <v>-1178.2748464016004</v>
      </c>
      <c r="BA38" s="31">
        <f t="shared" si="31"/>
        <v>200359.71799605049</v>
      </c>
      <c r="BB38" s="31">
        <f t="shared" ref="BB38:BD38" si="44">SUM(BB29:BB37)</f>
        <v>-23550987.854138479</v>
      </c>
      <c r="BC38" s="31">
        <f t="shared" si="44"/>
        <v>-50605.556241105631</v>
      </c>
      <c r="BD38" s="31">
        <f t="shared" si="44"/>
        <v>-212028.81430229516</v>
      </c>
      <c r="BE38" s="31">
        <f t="shared" si="31"/>
        <v>0</v>
      </c>
      <c r="BF38" s="34">
        <f t="shared" si="31"/>
        <v>1226799.2771332711</v>
      </c>
      <c r="BI38" s="301">
        <f>B38-(Summary!D35+Summary!H35)</f>
        <v>0</v>
      </c>
    </row>
    <row r="39" spans="1:61">
      <c r="A39" s="61"/>
      <c r="B39" s="76">
        <f t="shared" si="13"/>
        <v>0</v>
      </c>
      <c r="C39" s="20"/>
      <c r="D39" s="17"/>
      <c r="E39" s="17"/>
      <c r="F39" s="216"/>
      <c r="G39" s="216"/>
      <c r="H39" s="22"/>
      <c r="I39" s="20"/>
      <c r="J39" s="17"/>
      <c r="K39" s="17"/>
      <c r="L39" s="17"/>
      <c r="M39" s="216"/>
      <c r="N39" s="17"/>
      <c r="O39" s="17"/>
      <c r="P39" s="22"/>
      <c r="Q39" s="20"/>
      <c r="R39" s="216"/>
      <c r="S39" s="17"/>
      <c r="T39" s="17"/>
      <c r="U39" s="17"/>
      <c r="V39" s="22"/>
      <c r="W39" s="76"/>
      <c r="X39" s="236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22"/>
      <c r="AJ39" s="236"/>
      <c r="AK39" s="17"/>
      <c r="AL39" s="17"/>
      <c r="AM39" s="17"/>
      <c r="AN39" s="17"/>
      <c r="AO39" s="17"/>
      <c r="AP39" s="17"/>
      <c r="AQ39" s="17"/>
      <c r="AR39" s="17"/>
      <c r="AS39" s="17"/>
      <c r="AT39" s="22"/>
      <c r="AU39" s="236"/>
      <c r="AV39" s="261"/>
      <c r="AW39" s="136"/>
      <c r="AX39" s="17"/>
      <c r="AY39" s="17"/>
      <c r="AZ39" s="17"/>
      <c r="BA39" s="17"/>
      <c r="BB39" s="17"/>
      <c r="BC39" s="17"/>
      <c r="BD39" s="17"/>
      <c r="BE39" s="17"/>
      <c r="BF39" s="22"/>
      <c r="BI39" s="301">
        <f>B39-(Summary!D36+Summary!H36)</f>
        <v>0</v>
      </c>
    </row>
    <row r="40" spans="1:61" ht="13.5" thickBot="1">
      <c r="A40" s="61" t="s">
        <v>92</v>
      </c>
      <c r="B40" s="81">
        <f t="shared" si="13"/>
        <v>-11653102.41969499</v>
      </c>
      <c r="C40" s="43">
        <f t="shared" ref="C40:BF40" si="45">C16-C38</f>
        <v>-4357889.0289999992</v>
      </c>
      <c r="D40" s="42">
        <f t="shared" si="45"/>
        <v>-69997.754499993578</v>
      </c>
      <c r="E40" s="42">
        <f t="shared" si="45"/>
        <v>8061400.8214999996</v>
      </c>
      <c r="F40" s="223">
        <f t="shared" si="45"/>
        <v>0</v>
      </c>
      <c r="G40" s="223">
        <f t="shared" si="45"/>
        <v>0</v>
      </c>
      <c r="H40" s="44">
        <f t="shared" si="45"/>
        <v>60438.146711825895</v>
      </c>
      <c r="I40" s="43">
        <f t="shared" si="45"/>
        <v>28779.523422572864</v>
      </c>
      <c r="J40" s="42">
        <f t="shared" si="45"/>
        <v>-18800.324707341406</v>
      </c>
      <c r="K40" s="42">
        <f t="shared" si="45"/>
        <v>-243031.57522525641</v>
      </c>
      <c r="L40" s="42">
        <f t="shared" si="45"/>
        <v>474857.54066523613</v>
      </c>
      <c r="M40" s="223">
        <f t="shared" si="45"/>
        <v>0</v>
      </c>
      <c r="N40" s="42">
        <f t="shared" si="45"/>
        <v>3198894.8030331107</v>
      </c>
      <c r="O40" s="42">
        <f t="shared" si="45"/>
        <v>127807.58073801303</v>
      </c>
      <c r="P40" s="44">
        <f t="shared" si="45"/>
        <v>397117.40025338228</v>
      </c>
      <c r="Q40" s="43">
        <f t="shared" si="45"/>
        <v>7150052.5338770747</v>
      </c>
      <c r="R40" s="223">
        <f t="shared" si="45"/>
        <v>0</v>
      </c>
      <c r="S40" s="42">
        <f t="shared" si="45"/>
        <v>-98983.442339483881</v>
      </c>
      <c r="T40" s="42">
        <f t="shared" si="45"/>
        <v>-5216328.6500000004</v>
      </c>
      <c r="U40" s="42">
        <f t="shared" si="45"/>
        <v>766070.08841426589</v>
      </c>
      <c r="V40" s="44">
        <f t="shared" si="45"/>
        <v>274986.77108456596</v>
      </c>
      <c r="W40" s="81">
        <f t="shared" si="45"/>
        <v>0</v>
      </c>
      <c r="X40" s="241">
        <f t="shared" si="45"/>
        <v>0</v>
      </c>
      <c r="Y40" s="42">
        <f t="shared" si="45"/>
        <v>0</v>
      </c>
      <c r="Z40" s="42">
        <f t="shared" si="45"/>
        <v>5638736.2665997902</v>
      </c>
      <c r="AA40" s="42">
        <f t="shared" si="45"/>
        <v>291666.75803272682</v>
      </c>
      <c r="AB40" s="42">
        <f t="shared" si="45"/>
        <v>-5532834</v>
      </c>
      <c r="AC40" s="42">
        <f t="shared" si="45"/>
        <v>75954.622194136726</v>
      </c>
      <c r="AD40" s="42">
        <f t="shared" si="45"/>
        <v>257639.2</v>
      </c>
      <c r="AE40" s="42">
        <f t="shared" si="45"/>
        <v>2199228</v>
      </c>
      <c r="AF40" s="42">
        <f t="shared" si="45"/>
        <v>-525562</v>
      </c>
      <c r="AG40" s="42">
        <f t="shared" si="45"/>
        <v>-170464.29080562192</v>
      </c>
      <c r="AH40" s="42">
        <f t="shared" si="45"/>
        <v>0</v>
      </c>
      <c r="AI40" s="44">
        <f t="shared" si="45"/>
        <v>20961.551000000007</v>
      </c>
      <c r="AJ40" s="241">
        <f t="shared" si="45"/>
        <v>0</v>
      </c>
      <c r="AK40" s="42">
        <f t="shared" si="45"/>
        <v>0</v>
      </c>
      <c r="AL40" s="42">
        <f t="shared" si="45"/>
        <v>-37049.96055089141</v>
      </c>
      <c r="AM40" s="42">
        <f t="shared" si="45"/>
        <v>0</v>
      </c>
      <c r="AN40" s="42">
        <f t="shared" si="45"/>
        <v>0</v>
      </c>
      <c r="AO40" s="42">
        <f t="shared" si="45"/>
        <v>13846.847627968644</v>
      </c>
      <c r="AP40" s="42">
        <f t="shared" si="45"/>
        <v>17990.552800000001</v>
      </c>
      <c r="AQ40" s="42">
        <f t="shared" si="45"/>
        <v>109263.84487549827</v>
      </c>
      <c r="AR40" s="42">
        <f t="shared" si="45"/>
        <v>99958.378584749851</v>
      </c>
      <c r="AS40" s="42">
        <f t="shared" si="45"/>
        <v>-22103.189333333332</v>
      </c>
      <c r="AT40" s="44">
        <f t="shared" si="45"/>
        <v>-1861470</v>
      </c>
      <c r="AU40" s="241">
        <f t="shared" si="45"/>
        <v>0</v>
      </c>
      <c r="AV40" s="265">
        <f t="shared" si="45"/>
        <v>0</v>
      </c>
      <c r="AW40" s="141">
        <f t="shared" si="45"/>
        <v>332037.63414658129</v>
      </c>
      <c r="AX40" s="42">
        <f t="shared" si="45"/>
        <v>110288.74487962501</v>
      </c>
      <c r="AY40" s="42">
        <f t="shared" si="45"/>
        <v>59809.694012784872</v>
      </c>
      <c r="AZ40" s="42">
        <f t="shared" si="45"/>
        <v>1178.2748464016004</v>
      </c>
      <c r="BA40" s="42">
        <f t="shared" si="45"/>
        <v>372096.6191355224</v>
      </c>
      <c r="BB40" s="42">
        <f t="shared" si="45"/>
        <v>-22600645.307989538</v>
      </c>
      <c r="BC40" s="42">
        <f t="shared" si="45"/>
        <v>50605.556241105631</v>
      </c>
      <c r="BD40" s="42">
        <f t="shared" si="45"/>
        <v>137188.62721279584</v>
      </c>
      <c r="BE40" s="42">
        <f t="shared" si="45"/>
        <v>0</v>
      </c>
      <c r="BF40" s="44">
        <f t="shared" si="45"/>
        <v>-1226799.2771332711</v>
      </c>
      <c r="BI40" s="301">
        <f>B40-(Summary!D37+Summary!H37)</f>
        <v>0</v>
      </c>
    </row>
    <row r="41" spans="1:61" ht="13.5" thickTop="1">
      <c r="A41" s="61"/>
      <c r="B41" s="76"/>
      <c r="C41" s="20"/>
      <c r="D41" s="17"/>
      <c r="E41" s="17"/>
      <c r="F41" s="216"/>
      <c r="G41" s="216"/>
      <c r="H41" s="22"/>
      <c r="I41" s="20"/>
      <c r="J41" s="17"/>
      <c r="K41" s="17"/>
      <c r="L41" s="17"/>
      <c r="M41" s="216"/>
      <c r="N41" s="17"/>
      <c r="O41" s="17"/>
      <c r="P41" s="22"/>
      <c r="Q41" s="20"/>
      <c r="R41" s="216"/>
      <c r="S41" s="17"/>
      <c r="T41" s="17"/>
      <c r="U41" s="17"/>
      <c r="V41" s="22"/>
      <c r="W41" s="76"/>
      <c r="X41" s="236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22"/>
      <c r="AJ41" s="236"/>
      <c r="AK41" s="17"/>
      <c r="AL41" s="17"/>
      <c r="AM41" s="17"/>
      <c r="AN41" s="17"/>
      <c r="AO41" s="17"/>
      <c r="AP41" s="17"/>
      <c r="AQ41" s="17"/>
      <c r="AR41" s="17"/>
      <c r="AS41" s="17"/>
      <c r="AT41" s="22"/>
      <c r="AU41" s="236"/>
      <c r="AV41" s="261"/>
      <c r="AW41" s="136"/>
      <c r="AX41" s="17"/>
      <c r="AY41" s="17"/>
      <c r="AZ41" s="17"/>
      <c r="BA41" s="17"/>
      <c r="BB41" s="17"/>
      <c r="BC41" s="17"/>
      <c r="BD41" s="17"/>
      <c r="BE41" s="17"/>
      <c r="BF41" s="22"/>
      <c r="BI41" s="301">
        <f>B41-(Summary!D38+Summary!H38)</f>
        <v>0</v>
      </c>
    </row>
    <row r="42" spans="1:61">
      <c r="A42" s="61" t="s">
        <v>93</v>
      </c>
      <c r="B42" s="76"/>
      <c r="C42" s="20"/>
      <c r="D42" s="17"/>
      <c r="E42" s="17"/>
      <c r="F42" s="216"/>
      <c r="G42" s="216"/>
      <c r="H42" s="22"/>
      <c r="I42" s="20"/>
      <c r="J42" s="17"/>
      <c r="K42" s="17"/>
      <c r="L42" s="17"/>
      <c r="M42" s="216"/>
      <c r="N42" s="17"/>
      <c r="O42" s="17"/>
      <c r="P42" s="22"/>
      <c r="Q42" s="20"/>
      <c r="R42" s="216"/>
      <c r="S42" s="17"/>
      <c r="T42" s="17"/>
      <c r="U42" s="17"/>
      <c r="V42" s="22"/>
      <c r="W42" s="76"/>
      <c r="X42" s="236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22"/>
      <c r="AJ42" s="236"/>
      <c r="AK42" s="17"/>
      <c r="AL42" s="17"/>
      <c r="AM42" s="17"/>
      <c r="AN42" s="17"/>
      <c r="AO42" s="17"/>
      <c r="AP42" s="17"/>
      <c r="AQ42" s="17"/>
      <c r="AR42" s="17"/>
      <c r="AS42" s="17"/>
      <c r="AT42" s="22"/>
      <c r="AU42" s="236"/>
      <c r="AV42" s="261"/>
      <c r="AW42" s="136"/>
      <c r="AX42" s="17"/>
      <c r="AY42" s="17"/>
      <c r="AZ42" s="17"/>
      <c r="BA42" s="17"/>
      <c r="BB42" s="17"/>
      <c r="BC42" s="17"/>
      <c r="BD42" s="17"/>
      <c r="BE42" s="17"/>
      <c r="BF42" s="22"/>
      <c r="BI42" s="301">
        <f>B42-(Summary!D39+Summary!H39)</f>
        <v>0</v>
      </c>
    </row>
    <row r="43" spans="1:61">
      <c r="A43" s="61" t="s">
        <v>94</v>
      </c>
      <c r="B43" s="80">
        <f>SUM(C43:BF43)</f>
        <v>25885069.736930732</v>
      </c>
      <c r="C43" s="26">
        <f>'Restating Adj'!C43</f>
        <v>0</v>
      </c>
      <c r="D43" s="28">
        <f>'Restating Adj'!D43</f>
        <v>0</v>
      </c>
      <c r="E43" s="28">
        <f>'Pro Forma Adj'!C43</f>
        <v>0</v>
      </c>
      <c r="F43" s="219">
        <f>'Restating Adj'!E43</f>
        <v>0</v>
      </c>
      <c r="G43" s="218">
        <f>'Restating Adj'!F43</f>
        <v>0</v>
      </c>
      <c r="H43" s="29">
        <f>'Restating Adj'!G43+'Pro Forma Adj'!D43</f>
        <v>0</v>
      </c>
      <c r="I43" s="26">
        <f>'Restating Adj'!H43</f>
        <v>0</v>
      </c>
      <c r="J43" s="28">
        <f>'Restating Adj'!I43</f>
        <v>0</v>
      </c>
      <c r="K43" s="28">
        <f>'Pro Forma Adj'!E43</f>
        <v>0</v>
      </c>
      <c r="L43" s="28">
        <f>'Pro Forma Adj'!F43</f>
        <v>0</v>
      </c>
      <c r="M43" s="219">
        <f>'Restating Adj'!J43</f>
        <v>0</v>
      </c>
      <c r="N43" s="28">
        <f>'Restating Adj'!K43</f>
        <v>0</v>
      </c>
      <c r="O43" s="25">
        <f>'Restating Adj'!L43</f>
        <v>0</v>
      </c>
      <c r="P43" s="29">
        <f>'Pro Forma Adj'!G43</f>
        <v>0</v>
      </c>
      <c r="Q43" s="26">
        <f>'Restating Adj'!M43</f>
        <v>0</v>
      </c>
      <c r="R43" s="219">
        <f>'Pro Forma Adj'!H43</f>
        <v>0</v>
      </c>
      <c r="S43" s="28">
        <f>'Restating Adj'!N43</f>
        <v>0</v>
      </c>
      <c r="T43" s="28">
        <f>'Restating Adj'!O43</f>
        <v>0</v>
      </c>
      <c r="U43" s="28">
        <f>'Pro Forma Adj'!I43</f>
        <v>0</v>
      </c>
      <c r="V43" s="30">
        <f>'Restating Adj'!P43</f>
        <v>-26125927.969872698</v>
      </c>
      <c r="W43" s="77">
        <f>'Restating Adj'!Q43+'Pro Forma Adj'!J43</f>
        <v>0</v>
      </c>
      <c r="X43" s="237">
        <f>'Restating Adj'!R43+'Pro Forma Adj'!K43</f>
        <v>0</v>
      </c>
      <c r="Y43" s="28">
        <f>'Restating Adj'!S43</f>
        <v>0</v>
      </c>
      <c r="Z43" s="28">
        <f>'Pro Forma Adj'!L43</f>
        <v>0</v>
      </c>
      <c r="AA43" s="28">
        <f>'Restating Adj'!T43</f>
        <v>0</v>
      </c>
      <c r="AB43" s="28">
        <f>'Restating Adj'!U43</f>
        <v>0</v>
      </c>
      <c r="AC43" s="28">
        <f>'Restating Adj'!V43</f>
        <v>0</v>
      </c>
      <c r="AD43" s="28">
        <f>'Pro Forma Adj'!M43</f>
        <v>0</v>
      </c>
      <c r="AE43" s="28">
        <f>'Restating Adj'!W43</f>
        <v>0</v>
      </c>
      <c r="AF43" s="28">
        <f>'Restating Adj'!X43</f>
        <v>0</v>
      </c>
      <c r="AG43" s="28">
        <f>'Restating Adj'!Y43</f>
        <v>0</v>
      </c>
      <c r="AH43" s="28">
        <f>'Restating Adj'!Z43</f>
        <v>0</v>
      </c>
      <c r="AI43" s="29">
        <f>'Pro Forma Adj'!N43</f>
        <v>0</v>
      </c>
      <c r="AJ43" s="237">
        <f>'Restating Adj'!AA43+'Pro Forma Adj'!O43</f>
        <v>0</v>
      </c>
      <c r="AK43" s="25">
        <f>'Restating Adj'!AB43</f>
        <v>53613851.168249354</v>
      </c>
      <c r="AL43" s="25">
        <f>'Restating Adj'!AC43</f>
        <v>0</v>
      </c>
      <c r="AM43" s="28">
        <f>'Restating Adj'!AD43</f>
        <v>0</v>
      </c>
      <c r="AN43" s="25">
        <f>'Restating Adj'!AE43</f>
        <v>0</v>
      </c>
      <c r="AO43" s="17">
        <f>'Restating Adj'!AF43</f>
        <v>0</v>
      </c>
      <c r="AP43" s="25">
        <f>'Restating Adj'!AG43</f>
        <v>-441006.12659999984</v>
      </c>
      <c r="AQ43" s="28">
        <f>'Pro Forma Adj'!P43</f>
        <v>0</v>
      </c>
      <c r="AR43" s="28">
        <f>'Restating Adj'!AH43</f>
        <v>0</v>
      </c>
      <c r="AS43" s="28">
        <f>'Restating Adj'!AI43</f>
        <v>0</v>
      </c>
      <c r="AT43" s="30">
        <f>'Pro Forma Adj'!Q43</f>
        <v>0</v>
      </c>
      <c r="AU43" s="237">
        <f>'Pro Forma Adj'!R43</f>
        <v>0</v>
      </c>
      <c r="AV43" s="262">
        <f>'Pro Forma Adj'!S43</f>
        <v>0</v>
      </c>
      <c r="AW43" s="138">
        <f>'Restating Adj'!AJ43</f>
        <v>0</v>
      </c>
      <c r="AX43" s="25">
        <f>'Restating Adj'!AK43</f>
        <v>0</v>
      </c>
      <c r="AY43" s="25">
        <f>'Restating Adj'!AL43</f>
        <v>0</v>
      </c>
      <c r="AZ43" s="28">
        <f>'Restating Adj'!AM43</f>
        <v>0</v>
      </c>
      <c r="BA43" s="25">
        <f>'Restating Adj'!AN43+'Pro Forma Adj'!T43</f>
        <v>0</v>
      </c>
      <c r="BB43" s="25">
        <f>'Pro Forma Adj'!U43</f>
        <v>0</v>
      </c>
      <c r="BC43" s="25">
        <f>'Pro Forma Adj'!V43</f>
        <v>-1067076.2761553444</v>
      </c>
      <c r="BD43" s="25">
        <f>'Pro Forma Adj'!W43</f>
        <v>-94771.058690577745</v>
      </c>
      <c r="BE43" s="17">
        <f>'Restating Adj'!AO43+'Pro Forma Adj'!X43</f>
        <v>0</v>
      </c>
      <c r="BF43" s="30">
        <f>'Restating Adj'!AP43+'Pro Forma Adj'!Y43</f>
        <v>0</v>
      </c>
      <c r="BI43" s="301">
        <f>B43-(Summary!D40+Summary!H40)</f>
        <v>0</v>
      </c>
    </row>
    <row r="44" spans="1:61">
      <c r="A44" s="61" t="s">
        <v>95</v>
      </c>
      <c r="B44" s="80">
        <f t="shared" ref="B44:B54" si="46">SUM(C44:BF44)</f>
        <v>0</v>
      </c>
      <c r="C44" s="26">
        <f>'Restating Adj'!C44</f>
        <v>0</v>
      </c>
      <c r="D44" s="28">
        <f>'Restating Adj'!D44</f>
        <v>0</v>
      </c>
      <c r="E44" s="28">
        <f>'Pro Forma Adj'!C44</f>
        <v>0</v>
      </c>
      <c r="F44" s="219">
        <f>'Restating Adj'!E44</f>
        <v>0</v>
      </c>
      <c r="G44" s="218">
        <f>'Restating Adj'!F44</f>
        <v>0</v>
      </c>
      <c r="H44" s="29">
        <f>'Restating Adj'!G44+'Pro Forma Adj'!D44</f>
        <v>0</v>
      </c>
      <c r="I44" s="26">
        <f>'Restating Adj'!H44</f>
        <v>0</v>
      </c>
      <c r="J44" s="28">
        <f>'Restating Adj'!I44</f>
        <v>0</v>
      </c>
      <c r="K44" s="28">
        <f>'Pro Forma Adj'!E44</f>
        <v>0</v>
      </c>
      <c r="L44" s="28">
        <f>'Pro Forma Adj'!F44</f>
        <v>0</v>
      </c>
      <c r="M44" s="219">
        <f>'Restating Adj'!J44</f>
        <v>0</v>
      </c>
      <c r="N44" s="28">
        <f>'Restating Adj'!K44</f>
        <v>0</v>
      </c>
      <c r="O44" s="25">
        <f>'Restating Adj'!L44</f>
        <v>0</v>
      </c>
      <c r="P44" s="29">
        <f>'Pro Forma Adj'!G44</f>
        <v>0</v>
      </c>
      <c r="Q44" s="26">
        <f>'Restating Adj'!M44</f>
        <v>0</v>
      </c>
      <c r="R44" s="219">
        <f>'Pro Forma Adj'!H44</f>
        <v>0</v>
      </c>
      <c r="S44" s="28">
        <f>'Restating Adj'!N44</f>
        <v>0</v>
      </c>
      <c r="T44" s="28">
        <f>'Restating Adj'!O44</f>
        <v>0</v>
      </c>
      <c r="U44" s="28">
        <f>'Pro Forma Adj'!I44</f>
        <v>0</v>
      </c>
      <c r="V44" s="30">
        <f>'Restating Adj'!P44</f>
        <v>0</v>
      </c>
      <c r="W44" s="77">
        <f>'Restating Adj'!Q44+'Pro Forma Adj'!J44</f>
        <v>0</v>
      </c>
      <c r="X44" s="237">
        <f>'Restating Adj'!R44+'Pro Forma Adj'!K44</f>
        <v>0</v>
      </c>
      <c r="Y44" s="28">
        <f>'Restating Adj'!S44</f>
        <v>0</v>
      </c>
      <c r="Z44" s="28">
        <f>'Pro Forma Adj'!L44</f>
        <v>0</v>
      </c>
      <c r="AA44" s="28">
        <f>'Restating Adj'!T44</f>
        <v>0</v>
      </c>
      <c r="AB44" s="28">
        <f>'Restating Adj'!U44</f>
        <v>0</v>
      </c>
      <c r="AC44" s="28">
        <f>'Restating Adj'!V44</f>
        <v>0</v>
      </c>
      <c r="AD44" s="28">
        <f>'Pro Forma Adj'!M44</f>
        <v>0</v>
      </c>
      <c r="AE44" s="28">
        <f>'Restating Adj'!W44</f>
        <v>0</v>
      </c>
      <c r="AF44" s="28">
        <f>'Restating Adj'!X44</f>
        <v>0</v>
      </c>
      <c r="AG44" s="28">
        <f>'Restating Adj'!Y44</f>
        <v>0</v>
      </c>
      <c r="AH44" s="28">
        <f>'Restating Adj'!Z44</f>
        <v>0</v>
      </c>
      <c r="AI44" s="29">
        <f>'Pro Forma Adj'!N44</f>
        <v>0</v>
      </c>
      <c r="AJ44" s="237">
        <f>'Restating Adj'!AA44+'Pro Forma Adj'!O44</f>
        <v>0</v>
      </c>
      <c r="AK44" s="25">
        <f>'Restating Adj'!AB44</f>
        <v>0</v>
      </c>
      <c r="AL44" s="25">
        <f>'Restating Adj'!AC44</f>
        <v>0</v>
      </c>
      <c r="AM44" s="28">
        <f>'Restating Adj'!AD44</f>
        <v>0</v>
      </c>
      <c r="AN44" s="25">
        <f>'Restating Adj'!AE44</f>
        <v>0</v>
      </c>
      <c r="AO44" s="17">
        <f>'Restating Adj'!AF44</f>
        <v>0</v>
      </c>
      <c r="AP44" s="25">
        <f>'Restating Adj'!AG44</f>
        <v>0</v>
      </c>
      <c r="AQ44" s="28">
        <f>'Pro Forma Adj'!P44</f>
        <v>0</v>
      </c>
      <c r="AR44" s="28">
        <f>'Restating Adj'!AH44</f>
        <v>0</v>
      </c>
      <c r="AS44" s="28">
        <f>'Restating Adj'!AI44</f>
        <v>0</v>
      </c>
      <c r="AT44" s="30">
        <f>'Pro Forma Adj'!Q44</f>
        <v>0</v>
      </c>
      <c r="AU44" s="237">
        <f>'Pro Forma Adj'!R44</f>
        <v>0</v>
      </c>
      <c r="AV44" s="262">
        <f>'Pro Forma Adj'!S44</f>
        <v>0</v>
      </c>
      <c r="AW44" s="138">
        <f>'Restating Adj'!AJ44</f>
        <v>0</v>
      </c>
      <c r="AX44" s="25">
        <f>'Restating Adj'!AK44</f>
        <v>0</v>
      </c>
      <c r="AY44" s="25">
        <f>'Restating Adj'!AL44</f>
        <v>0</v>
      </c>
      <c r="AZ44" s="28">
        <f>'Restating Adj'!AM44</f>
        <v>0</v>
      </c>
      <c r="BA44" s="25">
        <f>'Restating Adj'!AN44+'Pro Forma Adj'!T44</f>
        <v>0</v>
      </c>
      <c r="BB44" s="25">
        <f>'Pro Forma Adj'!U44</f>
        <v>0</v>
      </c>
      <c r="BC44" s="25">
        <f>'Pro Forma Adj'!V44</f>
        <v>0</v>
      </c>
      <c r="BD44" s="25">
        <f>'Pro Forma Adj'!W44</f>
        <v>0</v>
      </c>
      <c r="BE44" s="17">
        <f>'Restating Adj'!AO44+'Pro Forma Adj'!X44</f>
        <v>0</v>
      </c>
      <c r="BF44" s="30">
        <f>'Restating Adj'!AP44+'Pro Forma Adj'!Y44</f>
        <v>0</v>
      </c>
      <c r="BI44" s="301">
        <f>B44-(Summary!D41+Summary!H41)</f>
        <v>0</v>
      </c>
    </row>
    <row r="45" spans="1:61">
      <c r="A45" s="61" t="s">
        <v>96</v>
      </c>
      <c r="B45" s="80">
        <f t="shared" si="46"/>
        <v>12990696.065145627</v>
      </c>
      <c r="C45" s="26">
        <f>'Restating Adj'!C45</f>
        <v>0</v>
      </c>
      <c r="D45" s="28">
        <f>'Restating Adj'!D45</f>
        <v>0</v>
      </c>
      <c r="E45" s="28">
        <f>'Pro Forma Adj'!C45</f>
        <v>0</v>
      </c>
      <c r="F45" s="219">
        <f>'Restating Adj'!E45</f>
        <v>0</v>
      </c>
      <c r="G45" s="218">
        <f>'Restating Adj'!F45</f>
        <v>0</v>
      </c>
      <c r="H45" s="29">
        <f>'Restating Adj'!G45+'Pro Forma Adj'!D45</f>
        <v>0</v>
      </c>
      <c r="I45" s="26">
        <f>'Restating Adj'!H45</f>
        <v>0</v>
      </c>
      <c r="J45" s="28">
        <f>'Restating Adj'!I45</f>
        <v>0</v>
      </c>
      <c r="K45" s="28">
        <f>'Pro Forma Adj'!E45</f>
        <v>0</v>
      </c>
      <c r="L45" s="28">
        <f>'Pro Forma Adj'!F45</f>
        <v>0</v>
      </c>
      <c r="M45" s="219">
        <f>'Restating Adj'!J45</f>
        <v>0</v>
      </c>
      <c r="N45" s="28">
        <f>'Restating Adj'!K45</f>
        <v>0</v>
      </c>
      <c r="O45" s="25">
        <f>'Restating Adj'!L45</f>
        <v>0</v>
      </c>
      <c r="P45" s="29">
        <f>'Pro Forma Adj'!G45</f>
        <v>-637047.28166666592</v>
      </c>
      <c r="Q45" s="26">
        <f>'Restating Adj'!M45</f>
        <v>0</v>
      </c>
      <c r="R45" s="219">
        <f>'Pro Forma Adj'!H45</f>
        <v>0</v>
      </c>
      <c r="S45" s="28">
        <f>'Restating Adj'!N45</f>
        <v>0</v>
      </c>
      <c r="T45" s="28">
        <f>'Restating Adj'!O45</f>
        <v>0</v>
      </c>
      <c r="U45" s="28">
        <f>'Pro Forma Adj'!I45</f>
        <v>0</v>
      </c>
      <c r="V45" s="30">
        <f>'Restating Adj'!P45</f>
        <v>0</v>
      </c>
      <c r="W45" s="77">
        <f>'Restating Adj'!Q45+'Pro Forma Adj'!J45</f>
        <v>0</v>
      </c>
      <c r="X45" s="237">
        <f>'Restating Adj'!R45+'Pro Forma Adj'!K45</f>
        <v>0</v>
      </c>
      <c r="Y45" s="28">
        <f>'Restating Adj'!S45</f>
        <v>0</v>
      </c>
      <c r="Z45" s="28">
        <f>'Pro Forma Adj'!L45</f>
        <v>0</v>
      </c>
      <c r="AA45" s="28">
        <f>'Restating Adj'!T45</f>
        <v>0</v>
      </c>
      <c r="AB45" s="28">
        <f>'Restating Adj'!U45</f>
        <v>0</v>
      </c>
      <c r="AC45" s="28">
        <f>'Restating Adj'!V45</f>
        <v>0</v>
      </c>
      <c r="AD45" s="28">
        <f>'Pro Forma Adj'!M45</f>
        <v>0</v>
      </c>
      <c r="AE45" s="28">
        <f>'Restating Adj'!W45</f>
        <v>0</v>
      </c>
      <c r="AF45" s="28">
        <f>'Restating Adj'!X45</f>
        <v>0</v>
      </c>
      <c r="AG45" s="28">
        <f>'Restating Adj'!Y45</f>
        <v>0</v>
      </c>
      <c r="AH45" s="28">
        <f>'Restating Adj'!Z45</f>
        <v>0</v>
      </c>
      <c r="AI45" s="29">
        <f>'Pro Forma Adj'!N45</f>
        <v>0</v>
      </c>
      <c r="AJ45" s="237">
        <f>'Restating Adj'!AA45+'Pro Forma Adj'!O45</f>
        <v>0</v>
      </c>
      <c r="AK45" s="25">
        <f>'Restating Adj'!AB45</f>
        <v>514243.44230495289</v>
      </c>
      <c r="AL45" s="25">
        <f>'Restating Adj'!AC45</f>
        <v>155566.24390796048</v>
      </c>
      <c r="AM45" s="28">
        <f>'Restating Adj'!AD45</f>
        <v>0</v>
      </c>
      <c r="AN45" s="25">
        <f>'Restating Adj'!AE45</f>
        <v>-2867115.7121284818</v>
      </c>
      <c r="AO45" s="17">
        <f>'Restating Adj'!AF45</f>
        <v>0</v>
      </c>
      <c r="AP45" s="25">
        <f>'Restating Adj'!AG45</f>
        <v>0</v>
      </c>
      <c r="AQ45" s="28">
        <f>'Pro Forma Adj'!P45</f>
        <v>75958.380277030345</v>
      </c>
      <c r="AR45" s="28">
        <f>'Restating Adj'!AH45</f>
        <v>0</v>
      </c>
      <c r="AS45" s="28">
        <f>'Restating Adj'!AI45</f>
        <v>0</v>
      </c>
      <c r="AT45" s="30">
        <f>'Pro Forma Adj'!Q45</f>
        <v>15750000</v>
      </c>
      <c r="AU45" s="237">
        <f>'Pro Forma Adj'!R45</f>
        <v>0</v>
      </c>
      <c r="AV45" s="262">
        <f>'Pro Forma Adj'!S45</f>
        <v>0</v>
      </c>
      <c r="AW45" s="138">
        <f>'Restating Adj'!AJ45</f>
        <v>0</v>
      </c>
      <c r="AX45" s="25">
        <f>'Restating Adj'!AK45</f>
        <v>0</v>
      </c>
      <c r="AY45" s="25">
        <f>'Restating Adj'!AL45</f>
        <v>0</v>
      </c>
      <c r="AZ45" s="28">
        <f>'Restating Adj'!AM45</f>
        <v>0</v>
      </c>
      <c r="BA45" s="25">
        <f>'Restating Adj'!AN45+'Pro Forma Adj'!T45</f>
        <v>0</v>
      </c>
      <c r="BB45" s="25">
        <f>'Pro Forma Adj'!U45</f>
        <v>0</v>
      </c>
      <c r="BC45" s="25">
        <f>'Pro Forma Adj'!V45</f>
        <v>0</v>
      </c>
      <c r="BD45" s="25">
        <f>'Pro Forma Adj'!W45</f>
        <v>-909.0075491683674</v>
      </c>
      <c r="BE45" s="17">
        <f>'Restating Adj'!AO45+'Pro Forma Adj'!X45</f>
        <v>0</v>
      </c>
      <c r="BF45" s="30">
        <f>'Restating Adj'!AP45+'Pro Forma Adj'!Y45</f>
        <v>0</v>
      </c>
      <c r="BI45" s="301">
        <f>B45-(Summary!D42+Summary!H42)</f>
        <v>0</v>
      </c>
    </row>
    <row r="46" spans="1:61">
      <c r="A46" s="61" t="s">
        <v>97</v>
      </c>
      <c r="B46" s="80">
        <f t="shared" si="46"/>
        <v>0</v>
      </c>
      <c r="C46" s="26">
        <f>'Restating Adj'!C46</f>
        <v>0</v>
      </c>
      <c r="D46" s="28">
        <f>'Restating Adj'!D46</f>
        <v>0</v>
      </c>
      <c r="E46" s="28">
        <f>'Pro Forma Adj'!C46</f>
        <v>0</v>
      </c>
      <c r="F46" s="219">
        <f>'Restating Adj'!E46</f>
        <v>0</v>
      </c>
      <c r="G46" s="218">
        <f>'Restating Adj'!F46</f>
        <v>0</v>
      </c>
      <c r="H46" s="29">
        <f>'Restating Adj'!G46+'Pro Forma Adj'!D46</f>
        <v>0</v>
      </c>
      <c r="I46" s="26">
        <f>'Restating Adj'!H46</f>
        <v>0</v>
      </c>
      <c r="J46" s="28">
        <f>'Restating Adj'!I46</f>
        <v>0</v>
      </c>
      <c r="K46" s="28">
        <f>'Pro Forma Adj'!E46</f>
        <v>0</v>
      </c>
      <c r="L46" s="28">
        <f>'Pro Forma Adj'!F46</f>
        <v>0</v>
      </c>
      <c r="M46" s="219">
        <f>'Restating Adj'!J46</f>
        <v>0</v>
      </c>
      <c r="N46" s="28">
        <f>'Restating Adj'!K46</f>
        <v>0</v>
      </c>
      <c r="O46" s="25">
        <f>'Restating Adj'!L46</f>
        <v>0</v>
      </c>
      <c r="P46" s="29">
        <f>'Pro Forma Adj'!G46</f>
        <v>0</v>
      </c>
      <c r="Q46" s="26">
        <f>'Restating Adj'!M46</f>
        <v>0</v>
      </c>
      <c r="R46" s="219">
        <f>'Pro Forma Adj'!H46</f>
        <v>0</v>
      </c>
      <c r="S46" s="28">
        <f>'Restating Adj'!N46</f>
        <v>0</v>
      </c>
      <c r="T46" s="28">
        <f>'Restating Adj'!O46</f>
        <v>0</v>
      </c>
      <c r="U46" s="28">
        <f>'Pro Forma Adj'!I46</f>
        <v>0</v>
      </c>
      <c r="V46" s="30">
        <f>'Restating Adj'!P46</f>
        <v>0</v>
      </c>
      <c r="W46" s="77">
        <f>'Restating Adj'!Q46+'Pro Forma Adj'!J46</f>
        <v>0</v>
      </c>
      <c r="X46" s="237">
        <f>'Restating Adj'!R46+'Pro Forma Adj'!K46</f>
        <v>0</v>
      </c>
      <c r="Y46" s="28">
        <f>'Restating Adj'!S46</f>
        <v>0</v>
      </c>
      <c r="Z46" s="28">
        <f>'Pro Forma Adj'!L46</f>
        <v>0</v>
      </c>
      <c r="AA46" s="28">
        <f>'Restating Adj'!T46</f>
        <v>0</v>
      </c>
      <c r="AB46" s="28">
        <f>'Restating Adj'!U46</f>
        <v>0</v>
      </c>
      <c r="AC46" s="28">
        <f>'Restating Adj'!V46</f>
        <v>0</v>
      </c>
      <c r="AD46" s="28">
        <f>'Pro Forma Adj'!M46</f>
        <v>0</v>
      </c>
      <c r="AE46" s="28">
        <f>'Restating Adj'!W46</f>
        <v>0</v>
      </c>
      <c r="AF46" s="28">
        <f>'Restating Adj'!X46</f>
        <v>0</v>
      </c>
      <c r="AG46" s="28">
        <f>'Restating Adj'!Y46</f>
        <v>0</v>
      </c>
      <c r="AH46" s="28">
        <f>'Restating Adj'!Z46</f>
        <v>0</v>
      </c>
      <c r="AI46" s="29">
        <f>'Pro Forma Adj'!N46</f>
        <v>0</v>
      </c>
      <c r="AJ46" s="237">
        <f>'Restating Adj'!AA46+'Pro Forma Adj'!O46</f>
        <v>0</v>
      </c>
      <c r="AK46" s="25">
        <f>'Restating Adj'!AB46</f>
        <v>0</v>
      </c>
      <c r="AL46" s="25">
        <f>'Restating Adj'!AC46</f>
        <v>0</v>
      </c>
      <c r="AM46" s="28">
        <f>'Restating Adj'!AD46</f>
        <v>0</v>
      </c>
      <c r="AN46" s="25">
        <f>'Restating Adj'!AE46</f>
        <v>0</v>
      </c>
      <c r="AO46" s="17">
        <f>'Restating Adj'!AF46</f>
        <v>0</v>
      </c>
      <c r="AP46" s="25">
        <f>'Restating Adj'!AG46</f>
        <v>0</v>
      </c>
      <c r="AQ46" s="28">
        <f>'Pro Forma Adj'!P46</f>
        <v>0</v>
      </c>
      <c r="AR46" s="28">
        <f>'Restating Adj'!AH46</f>
        <v>0</v>
      </c>
      <c r="AS46" s="28">
        <f>'Restating Adj'!AI46</f>
        <v>0</v>
      </c>
      <c r="AT46" s="30">
        <f>'Pro Forma Adj'!Q46</f>
        <v>0</v>
      </c>
      <c r="AU46" s="237">
        <f>'Pro Forma Adj'!R46</f>
        <v>0</v>
      </c>
      <c r="AV46" s="262">
        <f>'Pro Forma Adj'!S46</f>
        <v>0</v>
      </c>
      <c r="AW46" s="138">
        <f>'Restating Adj'!AJ46</f>
        <v>0</v>
      </c>
      <c r="AX46" s="25">
        <f>'Restating Adj'!AK46</f>
        <v>0</v>
      </c>
      <c r="AY46" s="25">
        <f>'Restating Adj'!AL46</f>
        <v>0</v>
      </c>
      <c r="AZ46" s="28">
        <f>'Restating Adj'!AM46</f>
        <v>0</v>
      </c>
      <c r="BA46" s="25">
        <f>'Restating Adj'!AN46+'Pro Forma Adj'!T46</f>
        <v>0</v>
      </c>
      <c r="BB46" s="25">
        <f>'Pro Forma Adj'!U46</f>
        <v>0</v>
      </c>
      <c r="BC46" s="25">
        <f>'Pro Forma Adj'!V46</f>
        <v>0</v>
      </c>
      <c r="BD46" s="25">
        <f>'Pro Forma Adj'!W46</f>
        <v>0</v>
      </c>
      <c r="BE46" s="17">
        <f>'Restating Adj'!AO46+'Pro Forma Adj'!X46</f>
        <v>0</v>
      </c>
      <c r="BF46" s="30">
        <f>'Restating Adj'!AP46+'Pro Forma Adj'!Y46</f>
        <v>0</v>
      </c>
      <c r="BI46" s="301">
        <f>B46-(Summary!D43+Summary!H43)</f>
        <v>0</v>
      </c>
    </row>
    <row r="47" spans="1:61">
      <c r="A47" s="61" t="s">
        <v>98</v>
      </c>
      <c r="B47" s="80">
        <f t="shared" si="46"/>
        <v>0</v>
      </c>
      <c r="C47" s="26">
        <f>'Restating Adj'!C47</f>
        <v>0</v>
      </c>
      <c r="D47" s="28">
        <f>'Restating Adj'!D47</f>
        <v>0</v>
      </c>
      <c r="E47" s="28">
        <f>'Pro Forma Adj'!C47</f>
        <v>0</v>
      </c>
      <c r="F47" s="219">
        <f>'Restating Adj'!E47</f>
        <v>0</v>
      </c>
      <c r="G47" s="218">
        <f>'Restating Adj'!F47</f>
        <v>0</v>
      </c>
      <c r="H47" s="29">
        <f>'Restating Adj'!G47+'Pro Forma Adj'!D47</f>
        <v>0</v>
      </c>
      <c r="I47" s="26">
        <f>'Restating Adj'!H47</f>
        <v>0</v>
      </c>
      <c r="J47" s="28">
        <f>'Restating Adj'!I47</f>
        <v>0</v>
      </c>
      <c r="K47" s="28">
        <f>'Pro Forma Adj'!E47</f>
        <v>0</v>
      </c>
      <c r="L47" s="28">
        <f>'Pro Forma Adj'!F47</f>
        <v>0</v>
      </c>
      <c r="M47" s="219">
        <f>'Restating Adj'!J47</f>
        <v>0</v>
      </c>
      <c r="N47" s="28">
        <f>'Restating Adj'!K47</f>
        <v>0</v>
      </c>
      <c r="O47" s="25">
        <f>'Restating Adj'!L47</f>
        <v>0</v>
      </c>
      <c r="P47" s="29">
        <f>'Pro Forma Adj'!G47</f>
        <v>0</v>
      </c>
      <c r="Q47" s="26">
        <f>'Restating Adj'!M47</f>
        <v>0</v>
      </c>
      <c r="R47" s="219">
        <f>'Pro Forma Adj'!H47</f>
        <v>0</v>
      </c>
      <c r="S47" s="28">
        <f>'Restating Adj'!N47</f>
        <v>0</v>
      </c>
      <c r="T47" s="28">
        <f>'Restating Adj'!O47</f>
        <v>0</v>
      </c>
      <c r="U47" s="28">
        <f>'Pro Forma Adj'!I47</f>
        <v>0</v>
      </c>
      <c r="V47" s="30">
        <f>'Restating Adj'!P47</f>
        <v>0</v>
      </c>
      <c r="W47" s="77">
        <f>'Restating Adj'!Q47+'Pro Forma Adj'!J47</f>
        <v>0</v>
      </c>
      <c r="X47" s="237">
        <f>'Restating Adj'!R47+'Pro Forma Adj'!K47</f>
        <v>0</v>
      </c>
      <c r="Y47" s="28">
        <f>'Restating Adj'!S47</f>
        <v>0</v>
      </c>
      <c r="Z47" s="28">
        <f>'Pro Forma Adj'!L47</f>
        <v>0</v>
      </c>
      <c r="AA47" s="28">
        <f>'Restating Adj'!T47</f>
        <v>0</v>
      </c>
      <c r="AB47" s="28">
        <f>'Restating Adj'!U47</f>
        <v>0</v>
      </c>
      <c r="AC47" s="28">
        <f>'Restating Adj'!V47</f>
        <v>0</v>
      </c>
      <c r="AD47" s="28">
        <f>'Pro Forma Adj'!M47</f>
        <v>0</v>
      </c>
      <c r="AE47" s="28">
        <f>'Restating Adj'!W47</f>
        <v>0</v>
      </c>
      <c r="AF47" s="28">
        <f>'Restating Adj'!X47</f>
        <v>0</v>
      </c>
      <c r="AG47" s="28">
        <f>'Restating Adj'!Y47</f>
        <v>0</v>
      </c>
      <c r="AH47" s="28">
        <f>'Restating Adj'!Z47</f>
        <v>0</v>
      </c>
      <c r="AI47" s="29">
        <f>'Pro Forma Adj'!N47</f>
        <v>0</v>
      </c>
      <c r="AJ47" s="237">
        <f>'Restating Adj'!AA47+'Pro Forma Adj'!O47</f>
        <v>0</v>
      </c>
      <c r="AK47" s="25">
        <f>'Restating Adj'!AB47</f>
        <v>0</v>
      </c>
      <c r="AL47" s="25">
        <f>'Restating Adj'!AC47</f>
        <v>0</v>
      </c>
      <c r="AM47" s="28">
        <f>'Restating Adj'!AD47</f>
        <v>0</v>
      </c>
      <c r="AN47" s="25">
        <f>'Restating Adj'!AE47</f>
        <v>0</v>
      </c>
      <c r="AO47" s="17">
        <f>'Restating Adj'!AF47</f>
        <v>0</v>
      </c>
      <c r="AP47" s="25">
        <f>'Restating Adj'!AG47</f>
        <v>0</v>
      </c>
      <c r="AQ47" s="28">
        <f>'Pro Forma Adj'!P47</f>
        <v>0</v>
      </c>
      <c r="AR47" s="28">
        <f>'Restating Adj'!AH47</f>
        <v>0</v>
      </c>
      <c r="AS47" s="28">
        <f>'Restating Adj'!AI47</f>
        <v>0</v>
      </c>
      <c r="AT47" s="30">
        <f>'Pro Forma Adj'!Q47</f>
        <v>0</v>
      </c>
      <c r="AU47" s="237">
        <f>'Pro Forma Adj'!R47</f>
        <v>0</v>
      </c>
      <c r="AV47" s="262">
        <f>'Pro Forma Adj'!S47</f>
        <v>0</v>
      </c>
      <c r="AW47" s="138">
        <f>'Restating Adj'!AJ47</f>
        <v>0</v>
      </c>
      <c r="AX47" s="25">
        <f>'Restating Adj'!AK47</f>
        <v>0</v>
      </c>
      <c r="AY47" s="25">
        <f>'Restating Adj'!AL47</f>
        <v>0</v>
      </c>
      <c r="AZ47" s="28">
        <f>'Restating Adj'!AM47</f>
        <v>0</v>
      </c>
      <c r="BA47" s="25">
        <f>'Restating Adj'!AN47+'Pro Forma Adj'!T47</f>
        <v>0</v>
      </c>
      <c r="BB47" s="25">
        <f>'Pro Forma Adj'!U47</f>
        <v>0</v>
      </c>
      <c r="BC47" s="25">
        <f>'Pro Forma Adj'!V47</f>
        <v>0</v>
      </c>
      <c r="BD47" s="25">
        <f>'Pro Forma Adj'!W47</f>
        <v>0</v>
      </c>
      <c r="BE47" s="17">
        <f>'Restating Adj'!AO47+'Pro Forma Adj'!X47</f>
        <v>0</v>
      </c>
      <c r="BF47" s="30">
        <f>'Restating Adj'!AP47+'Pro Forma Adj'!Y47</f>
        <v>0</v>
      </c>
      <c r="BI47" s="301">
        <f>B47-(Summary!D44+Summary!H44)</f>
        <v>0</v>
      </c>
    </row>
    <row r="48" spans="1:61">
      <c r="A48" s="61" t="s">
        <v>99</v>
      </c>
      <c r="B48" s="80">
        <f t="shared" si="46"/>
        <v>-2850427.9619466118</v>
      </c>
      <c r="C48" s="26">
        <f>'Restating Adj'!C48</f>
        <v>0</v>
      </c>
      <c r="D48" s="28">
        <f>'Restating Adj'!D48</f>
        <v>0</v>
      </c>
      <c r="E48" s="28">
        <f>'Pro Forma Adj'!C48</f>
        <v>0</v>
      </c>
      <c r="F48" s="219">
        <f>'Restating Adj'!E48</f>
        <v>0</v>
      </c>
      <c r="G48" s="218">
        <f>'Restating Adj'!F48</f>
        <v>0</v>
      </c>
      <c r="H48" s="29">
        <f>'Restating Adj'!G48+'Pro Forma Adj'!D48</f>
        <v>0</v>
      </c>
      <c r="I48" s="26">
        <f>'Restating Adj'!H48</f>
        <v>0</v>
      </c>
      <c r="J48" s="28">
        <f>'Restating Adj'!I48</f>
        <v>0</v>
      </c>
      <c r="K48" s="28">
        <f>'Pro Forma Adj'!E48</f>
        <v>0</v>
      </c>
      <c r="L48" s="28">
        <f>'Pro Forma Adj'!F48</f>
        <v>0</v>
      </c>
      <c r="M48" s="219">
        <f>'Restating Adj'!J48</f>
        <v>0</v>
      </c>
      <c r="N48" s="28">
        <f>'Restating Adj'!K48</f>
        <v>0</v>
      </c>
      <c r="O48" s="25">
        <f>'Restating Adj'!L48</f>
        <v>0</v>
      </c>
      <c r="P48" s="29">
        <f>'Pro Forma Adj'!G48</f>
        <v>0</v>
      </c>
      <c r="Q48" s="26">
        <f>'Restating Adj'!M48</f>
        <v>0</v>
      </c>
      <c r="R48" s="219">
        <f>'Pro Forma Adj'!H48</f>
        <v>0</v>
      </c>
      <c r="S48" s="28">
        <f>'Restating Adj'!N48</f>
        <v>0</v>
      </c>
      <c r="T48" s="28">
        <f>'Restating Adj'!O48</f>
        <v>0</v>
      </c>
      <c r="U48" s="28">
        <f>'Pro Forma Adj'!I48</f>
        <v>0</v>
      </c>
      <c r="V48" s="30">
        <f>'Restating Adj'!P48</f>
        <v>0</v>
      </c>
      <c r="W48" s="77">
        <f>'Restating Adj'!Q48+'Pro Forma Adj'!J48</f>
        <v>0</v>
      </c>
      <c r="X48" s="237">
        <f>'Restating Adj'!R48+'Pro Forma Adj'!K48</f>
        <v>0</v>
      </c>
      <c r="Y48" s="28">
        <f>'Restating Adj'!S48</f>
        <v>0</v>
      </c>
      <c r="Z48" s="28">
        <f>'Pro Forma Adj'!L48</f>
        <v>0</v>
      </c>
      <c r="AA48" s="28">
        <f>'Restating Adj'!T48</f>
        <v>0</v>
      </c>
      <c r="AB48" s="28">
        <f>'Restating Adj'!U48</f>
        <v>0</v>
      </c>
      <c r="AC48" s="28">
        <f>'Restating Adj'!V48</f>
        <v>0</v>
      </c>
      <c r="AD48" s="28">
        <f>'Pro Forma Adj'!M48</f>
        <v>0</v>
      </c>
      <c r="AE48" s="28">
        <f>'Restating Adj'!W48</f>
        <v>0</v>
      </c>
      <c r="AF48" s="28">
        <f>'Restating Adj'!X48</f>
        <v>0</v>
      </c>
      <c r="AG48" s="28">
        <f>'Restating Adj'!Y48</f>
        <v>0</v>
      </c>
      <c r="AH48" s="28">
        <f>'Restating Adj'!Z48</f>
        <v>0</v>
      </c>
      <c r="AI48" s="29">
        <f>'Pro Forma Adj'!N48</f>
        <v>0</v>
      </c>
      <c r="AJ48" s="237">
        <f>'Restating Adj'!AA48+'Pro Forma Adj'!O48</f>
        <v>0</v>
      </c>
      <c r="AK48" s="25">
        <f>'Restating Adj'!AB48</f>
        <v>0</v>
      </c>
      <c r="AL48" s="25">
        <f>'Restating Adj'!AC48</f>
        <v>0</v>
      </c>
      <c r="AM48" s="28">
        <f>'Restating Adj'!AD48</f>
        <v>0</v>
      </c>
      <c r="AN48" s="25">
        <f>'Restating Adj'!AE48</f>
        <v>-2850427.9619466118</v>
      </c>
      <c r="AO48" s="17">
        <f>'Restating Adj'!AF48</f>
        <v>0</v>
      </c>
      <c r="AP48" s="25">
        <f>'Restating Adj'!AG48</f>
        <v>0</v>
      </c>
      <c r="AQ48" s="28">
        <f>'Pro Forma Adj'!P48</f>
        <v>0</v>
      </c>
      <c r="AR48" s="28">
        <f>'Restating Adj'!AH48</f>
        <v>0</v>
      </c>
      <c r="AS48" s="28">
        <f>'Restating Adj'!AI48</f>
        <v>0</v>
      </c>
      <c r="AT48" s="30">
        <f>'Pro Forma Adj'!Q48</f>
        <v>0</v>
      </c>
      <c r="AU48" s="237">
        <f>'Pro Forma Adj'!R48</f>
        <v>0</v>
      </c>
      <c r="AV48" s="262">
        <f>'Pro Forma Adj'!S48</f>
        <v>0</v>
      </c>
      <c r="AW48" s="138">
        <f>'Restating Adj'!AJ48</f>
        <v>0</v>
      </c>
      <c r="AX48" s="25">
        <f>'Restating Adj'!AK48</f>
        <v>0</v>
      </c>
      <c r="AY48" s="25">
        <f>'Restating Adj'!AL48</f>
        <v>0</v>
      </c>
      <c r="AZ48" s="28">
        <f>'Restating Adj'!AM48</f>
        <v>0</v>
      </c>
      <c r="BA48" s="25">
        <f>'Restating Adj'!AN48+'Pro Forma Adj'!T48</f>
        <v>0</v>
      </c>
      <c r="BB48" s="25">
        <f>'Pro Forma Adj'!U48</f>
        <v>0</v>
      </c>
      <c r="BC48" s="25">
        <f>'Pro Forma Adj'!V48</f>
        <v>0</v>
      </c>
      <c r="BD48" s="25">
        <f>'Pro Forma Adj'!W48</f>
        <v>0</v>
      </c>
      <c r="BE48" s="17">
        <f>'Restating Adj'!AO48+'Pro Forma Adj'!X48</f>
        <v>0</v>
      </c>
      <c r="BF48" s="30">
        <f>'Restating Adj'!AP48+'Pro Forma Adj'!Y48</f>
        <v>0</v>
      </c>
      <c r="BI48" s="301">
        <f>B48-(Summary!D45+Summary!H45)</f>
        <v>0</v>
      </c>
    </row>
    <row r="49" spans="1:61">
      <c r="A49" s="61" t="s">
        <v>100</v>
      </c>
      <c r="B49" s="80">
        <f t="shared" si="46"/>
        <v>2030356.9200232858</v>
      </c>
      <c r="C49" s="26">
        <f>'Restating Adj'!C49</f>
        <v>0</v>
      </c>
      <c r="D49" s="28">
        <f>'Restating Adj'!D49</f>
        <v>0</v>
      </c>
      <c r="E49" s="28">
        <f>'Pro Forma Adj'!C49</f>
        <v>0</v>
      </c>
      <c r="F49" s="219">
        <f>'Restating Adj'!E49</f>
        <v>0</v>
      </c>
      <c r="G49" s="218">
        <f>'Restating Adj'!F49</f>
        <v>0</v>
      </c>
      <c r="H49" s="29">
        <f>'Restating Adj'!G49+'Pro Forma Adj'!D49</f>
        <v>0</v>
      </c>
      <c r="I49" s="26">
        <f>'Restating Adj'!H49</f>
        <v>0</v>
      </c>
      <c r="J49" s="28">
        <f>'Restating Adj'!I49</f>
        <v>0</v>
      </c>
      <c r="K49" s="28">
        <f>'Pro Forma Adj'!E49</f>
        <v>0</v>
      </c>
      <c r="L49" s="28">
        <f>'Pro Forma Adj'!F49</f>
        <v>0</v>
      </c>
      <c r="M49" s="219">
        <f>'Restating Adj'!J49</f>
        <v>0</v>
      </c>
      <c r="N49" s="28">
        <f>'Restating Adj'!K49</f>
        <v>0</v>
      </c>
      <c r="O49" s="25">
        <f>'Restating Adj'!L49</f>
        <v>0</v>
      </c>
      <c r="P49" s="29">
        <f>'Pro Forma Adj'!G49</f>
        <v>0</v>
      </c>
      <c r="Q49" s="26">
        <f>'Restating Adj'!M49</f>
        <v>0</v>
      </c>
      <c r="R49" s="219">
        <f>'Pro Forma Adj'!H49</f>
        <v>0</v>
      </c>
      <c r="S49" s="28">
        <f>'Restating Adj'!N49</f>
        <v>0</v>
      </c>
      <c r="T49" s="28">
        <f>'Restating Adj'!O49</f>
        <v>0</v>
      </c>
      <c r="U49" s="28">
        <f>'Pro Forma Adj'!I49</f>
        <v>0</v>
      </c>
      <c r="V49" s="30">
        <f>'Restating Adj'!P49</f>
        <v>0</v>
      </c>
      <c r="W49" s="77">
        <f>'Restating Adj'!Q49+'Pro Forma Adj'!J49</f>
        <v>0</v>
      </c>
      <c r="X49" s="237">
        <f>'Restating Adj'!R49+'Pro Forma Adj'!K49</f>
        <v>0</v>
      </c>
      <c r="Y49" s="28">
        <f>'Restating Adj'!S49</f>
        <v>0</v>
      </c>
      <c r="Z49" s="28">
        <f>'Pro Forma Adj'!L49</f>
        <v>0</v>
      </c>
      <c r="AA49" s="28">
        <f>'Restating Adj'!T49</f>
        <v>0</v>
      </c>
      <c r="AB49" s="28">
        <f>'Restating Adj'!U49</f>
        <v>0</v>
      </c>
      <c r="AC49" s="28">
        <f>'Restating Adj'!V49</f>
        <v>0</v>
      </c>
      <c r="AD49" s="28">
        <f>'Pro Forma Adj'!M49</f>
        <v>0</v>
      </c>
      <c r="AE49" s="28">
        <f>'Restating Adj'!W49</f>
        <v>0</v>
      </c>
      <c r="AF49" s="28">
        <f>'Restating Adj'!X49</f>
        <v>0</v>
      </c>
      <c r="AG49" s="28">
        <f>'Restating Adj'!Y49</f>
        <v>0</v>
      </c>
      <c r="AH49" s="28">
        <f>'Restating Adj'!Z49</f>
        <v>0</v>
      </c>
      <c r="AI49" s="29">
        <f>'Pro Forma Adj'!N49</f>
        <v>0</v>
      </c>
      <c r="AJ49" s="237">
        <f>'Restating Adj'!AA49+'Pro Forma Adj'!O49</f>
        <v>0</v>
      </c>
      <c r="AK49" s="25">
        <f>'Restating Adj'!AB49</f>
        <v>2033952.2560125524</v>
      </c>
      <c r="AL49" s="25">
        <f>'Restating Adj'!AC49</f>
        <v>0</v>
      </c>
      <c r="AM49" s="28">
        <f>'Restating Adj'!AD49</f>
        <v>0</v>
      </c>
      <c r="AN49" s="25">
        <f>'Restating Adj'!AE49</f>
        <v>0</v>
      </c>
      <c r="AO49" s="17">
        <f>'Restating Adj'!AF49</f>
        <v>0</v>
      </c>
      <c r="AP49" s="25">
        <f>'Restating Adj'!AG49</f>
        <v>0</v>
      </c>
      <c r="AQ49" s="28">
        <f>'Pro Forma Adj'!P49</f>
        <v>0</v>
      </c>
      <c r="AR49" s="28">
        <f>'Restating Adj'!AH49</f>
        <v>0</v>
      </c>
      <c r="AS49" s="28">
        <f>'Restating Adj'!AI49</f>
        <v>0</v>
      </c>
      <c r="AT49" s="30">
        <f>'Pro Forma Adj'!Q49</f>
        <v>0</v>
      </c>
      <c r="AU49" s="237">
        <f>'Pro Forma Adj'!R49</f>
        <v>0</v>
      </c>
      <c r="AV49" s="262">
        <f>'Pro Forma Adj'!S49</f>
        <v>0</v>
      </c>
      <c r="AW49" s="138">
        <f>'Restating Adj'!AJ49</f>
        <v>0</v>
      </c>
      <c r="AX49" s="25">
        <f>'Restating Adj'!AK49</f>
        <v>0</v>
      </c>
      <c r="AY49" s="25">
        <f>'Restating Adj'!AL49</f>
        <v>0</v>
      </c>
      <c r="AZ49" s="28">
        <f>'Restating Adj'!AM49</f>
        <v>0</v>
      </c>
      <c r="BA49" s="25">
        <f>'Restating Adj'!AN49+'Pro Forma Adj'!T49</f>
        <v>0</v>
      </c>
      <c r="BB49" s="25">
        <f>'Pro Forma Adj'!U49</f>
        <v>0</v>
      </c>
      <c r="BC49" s="25">
        <f>'Pro Forma Adj'!V49</f>
        <v>0</v>
      </c>
      <c r="BD49" s="25">
        <f>'Pro Forma Adj'!W49</f>
        <v>-3595.335989266634</v>
      </c>
      <c r="BE49" s="17">
        <f>'Restating Adj'!AO49+'Pro Forma Adj'!X49</f>
        <v>0</v>
      </c>
      <c r="BF49" s="30">
        <f>'Restating Adj'!AP49+'Pro Forma Adj'!Y49</f>
        <v>0</v>
      </c>
      <c r="BI49" s="301">
        <f>B49-(Summary!D46+Summary!H46)</f>
        <v>0</v>
      </c>
    </row>
    <row r="50" spans="1:61">
      <c r="A50" s="61" t="s">
        <v>101</v>
      </c>
      <c r="B50" s="80">
        <f t="shared" si="46"/>
        <v>2014632.6485168408</v>
      </c>
      <c r="C50" s="26">
        <f>'Restating Adj'!C50</f>
        <v>0</v>
      </c>
      <c r="D50" s="28">
        <f>'Restating Adj'!D50</f>
        <v>0</v>
      </c>
      <c r="E50" s="28">
        <f>'Pro Forma Adj'!C50</f>
        <v>0</v>
      </c>
      <c r="F50" s="219">
        <f>'Restating Adj'!E50</f>
        <v>0</v>
      </c>
      <c r="G50" s="218">
        <f>'Restating Adj'!F50</f>
        <v>0</v>
      </c>
      <c r="H50" s="29">
        <f>'Restating Adj'!G50+'Pro Forma Adj'!D50</f>
        <v>0</v>
      </c>
      <c r="I50" s="26">
        <f>'Restating Adj'!H50</f>
        <v>0</v>
      </c>
      <c r="J50" s="28">
        <f>'Restating Adj'!I50</f>
        <v>0</v>
      </c>
      <c r="K50" s="28">
        <f>'Pro Forma Adj'!E50</f>
        <v>0</v>
      </c>
      <c r="L50" s="28">
        <f>'Pro Forma Adj'!F50</f>
        <v>0</v>
      </c>
      <c r="M50" s="219">
        <f>'Restating Adj'!J50</f>
        <v>0</v>
      </c>
      <c r="N50" s="28">
        <f>'Restating Adj'!K50</f>
        <v>0</v>
      </c>
      <c r="O50" s="25">
        <f>'Restating Adj'!L50</f>
        <v>0</v>
      </c>
      <c r="P50" s="29">
        <f>'Pro Forma Adj'!G50</f>
        <v>0</v>
      </c>
      <c r="Q50" s="26">
        <f>'Restating Adj'!M50</f>
        <v>0</v>
      </c>
      <c r="R50" s="219">
        <f>'Pro Forma Adj'!H50</f>
        <v>0</v>
      </c>
      <c r="S50" s="28">
        <f>'Restating Adj'!N50</f>
        <v>0</v>
      </c>
      <c r="T50" s="28">
        <f>'Restating Adj'!O50</f>
        <v>0</v>
      </c>
      <c r="U50" s="28">
        <f>'Pro Forma Adj'!I50</f>
        <v>0</v>
      </c>
      <c r="V50" s="30">
        <f>'Restating Adj'!P50</f>
        <v>0</v>
      </c>
      <c r="W50" s="77">
        <f>'Restating Adj'!Q50+'Pro Forma Adj'!J50</f>
        <v>0</v>
      </c>
      <c r="X50" s="237">
        <f>'Restating Adj'!R50+'Pro Forma Adj'!K50</f>
        <v>0</v>
      </c>
      <c r="Y50" s="28">
        <f>'Restating Adj'!S50</f>
        <v>0</v>
      </c>
      <c r="Z50" s="28">
        <f>'Pro Forma Adj'!L50</f>
        <v>0</v>
      </c>
      <c r="AA50" s="28">
        <f>'Restating Adj'!T50</f>
        <v>0</v>
      </c>
      <c r="AB50" s="28">
        <f>'Restating Adj'!U50</f>
        <v>0</v>
      </c>
      <c r="AC50" s="28">
        <f>'Restating Adj'!V50</f>
        <v>0</v>
      </c>
      <c r="AD50" s="28">
        <f>'Pro Forma Adj'!M50</f>
        <v>0</v>
      </c>
      <c r="AE50" s="28">
        <f>'Restating Adj'!W50</f>
        <v>0</v>
      </c>
      <c r="AF50" s="28">
        <f>'Restating Adj'!X50</f>
        <v>0</v>
      </c>
      <c r="AG50" s="28">
        <f>'Restating Adj'!Y50</f>
        <v>0</v>
      </c>
      <c r="AH50" s="28">
        <f>'Restating Adj'!Z50</f>
        <v>0</v>
      </c>
      <c r="AI50" s="29">
        <f>'Pro Forma Adj'!N50</f>
        <v>0</v>
      </c>
      <c r="AJ50" s="237">
        <f>'Restating Adj'!AA50+'Pro Forma Adj'!O50</f>
        <v>0</v>
      </c>
      <c r="AK50" s="25">
        <f>'Restating Adj'!AB50</f>
        <v>2005617.942152187</v>
      </c>
      <c r="AL50" s="25">
        <f>'Restating Adj'!AC50</f>
        <v>0</v>
      </c>
      <c r="AM50" s="28">
        <f>'Restating Adj'!AD50</f>
        <v>0</v>
      </c>
      <c r="AN50" s="25">
        <f>'Restating Adj'!AE50</f>
        <v>12559.956921456682</v>
      </c>
      <c r="AO50" s="17">
        <f>'Restating Adj'!AF50</f>
        <v>0</v>
      </c>
      <c r="AP50" s="25">
        <f>'Restating Adj'!AG50</f>
        <v>0</v>
      </c>
      <c r="AQ50" s="28">
        <f>'Pro Forma Adj'!P50</f>
        <v>0</v>
      </c>
      <c r="AR50" s="28">
        <f>'Restating Adj'!AH50</f>
        <v>0</v>
      </c>
      <c r="AS50" s="28">
        <f>'Restating Adj'!AI50</f>
        <v>0</v>
      </c>
      <c r="AT50" s="30">
        <f>'Pro Forma Adj'!Q50</f>
        <v>0</v>
      </c>
      <c r="AU50" s="237">
        <f>'Pro Forma Adj'!R50</f>
        <v>0</v>
      </c>
      <c r="AV50" s="262">
        <f>'Pro Forma Adj'!S50</f>
        <v>0</v>
      </c>
      <c r="AW50" s="138">
        <f>'Restating Adj'!AJ50</f>
        <v>0</v>
      </c>
      <c r="AX50" s="25">
        <f>'Restating Adj'!AK50</f>
        <v>0</v>
      </c>
      <c r="AY50" s="25">
        <f>'Restating Adj'!AL50</f>
        <v>0</v>
      </c>
      <c r="AZ50" s="28">
        <f>'Restating Adj'!AM50</f>
        <v>0</v>
      </c>
      <c r="BA50" s="25">
        <f>'Restating Adj'!AN50+'Pro Forma Adj'!T50</f>
        <v>0</v>
      </c>
      <c r="BB50" s="25">
        <f>'Pro Forma Adj'!U50</f>
        <v>0</v>
      </c>
      <c r="BC50" s="25">
        <f>'Pro Forma Adj'!V50</f>
        <v>0</v>
      </c>
      <c r="BD50" s="25">
        <f>'Pro Forma Adj'!W50</f>
        <v>-3545.2505568028428</v>
      </c>
      <c r="BE50" s="17">
        <f>'Restating Adj'!AO50+'Pro Forma Adj'!X50</f>
        <v>0</v>
      </c>
      <c r="BF50" s="30">
        <f>'Restating Adj'!AP50+'Pro Forma Adj'!Y50</f>
        <v>0</v>
      </c>
      <c r="BI50" s="301">
        <f>B50-(Summary!D47+Summary!H47)</f>
        <v>0</v>
      </c>
    </row>
    <row r="51" spans="1:61">
      <c r="A51" s="61" t="s">
        <v>102</v>
      </c>
      <c r="B51" s="80">
        <f t="shared" si="46"/>
        <v>9010602.9557120055</v>
      </c>
      <c r="C51" s="26">
        <f>'Restating Adj'!C51</f>
        <v>0</v>
      </c>
      <c r="D51" s="28">
        <f>'Restating Adj'!D51</f>
        <v>0</v>
      </c>
      <c r="E51" s="28">
        <f>'Pro Forma Adj'!C51</f>
        <v>0</v>
      </c>
      <c r="F51" s="219">
        <f>'Restating Adj'!E51</f>
        <v>0</v>
      </c>
      <c r="G51" s="218">
        <f>'Restating Adj'!F51</f>
        <v>0</v>
      </c>
      <c r="H51" s="29">
        <f>'Restating Adj'!G51+'Pro Forma Adj'!D51</f>
        <v>0</v>
      </c>
      <c r="I51" s="26">
        <f>'Restating Adj'!H51</f>
        <v>0</v>
      </c>
      <c r="J51" s="28">
        <f>'Restating Adj'!I51</f>
        <v>0</v>
      </c>
      <c r="K51" s="28">
        <f>'Pro Forma Adj'!E51</f>
        <v>0</v>
      </c>
      <c r="L51" s="28">
        <f>'Pro Forma Adj'!F51</f>
        <v>0</v>
      </c>
      <c r="M51" s="219">
        <f>'Restating Adj'!J51</f>
        <v>0</v>
      </c>
      <c r="N51" s="28">
        <f>'Restating Adj'!K51</f>
        <v>0</v>
      </c>
      <c r="O51" s="25">
        <f>'Restating Adj'!L51</f>
        <v>0</v>
      </c>
      <c r="P51" s="29">
        <f>'Pro Forma Adj'!G51</f>
        <v>0</v>
      </c>
      <c r="Q51" s="26">
        <f>'Restating Adj'!M51</f>
        <v>0</v>
      </c>
      <c r="R51" s="219">
        <f>'Pro Forma Adj'!H51</f>
        <v>0</v>
      </c>
      <c r="S51" s="28">
        <f>'Restating Adj'!N51</f>
        <v>0</v>
      </c>
      <c r="T51" s="28">
        <f>'Restating Adj'!O51</f>
        <v>0</v>
      </c>
      <c r="U51" s="28">
        <f>'Pro Forma Adj'!I51</f>
        <v>0</v>
      </c>
      <c r="V51" s="30">
        <f>'Restating Adj'!P51</f>
        <v>0</v>
      </c>
      <c r="W51" s="77">
        <f>'Restating Adj'!Q51+'Pro Forma Adj'!J51</f>
        <v>0</v>
      </c>
      <c r="X51" s="237">
        <f>'Restating Adj'!R51+'Pro Forma Adj'!K51</f>
        <v>0</v>
      </c>
      <c r="Y51" s="28">
        <f>'Restating Adj'!S51</f>
        <v>0</v>
      </c>
      <c r="Z51" s="28">
        <f>'Pro Forma Adj'!L51</f>
        <v>0</v>
      </c>
      <c r="AA51" s="28">
        <f>'Restating Adj'!T51</f>
        <v>0</v>
      </c>
      <c r="AB51" s="28">
        <f>'Restating Adj'!U51</f>
        <v>0</v>
      </c>
      <c r="AC51" s="28">
        <f>'Restating Adj'!V51</f>
        <v>0</v>
      </c>
      <c r="AD51" s="28">
        <f>'Pro Forma Adj'!M51</f>
        <v>0</v>
      </c>
      <c r="AE51" s="28">
        <f>'Restating Adj'!W51</f>
        <v>0</v>
      </c>
      <c r="AF51" s="28">
        <f>'Restating Adj'!X51</f>
        <v>0</v>
      </c>
      <c r="AG51" s="28">
        <f>'Restating Adj'!Y51</f>
        <v>0</v>
      </c>
      <c r="AH51" s="28">
        <f>'Restating Adj'!Z51</f>
        <v>0</v>
      </c>
      <c r="AI51" s="29">
        <f>'Pro Forma Adj'!N51</f>
        <v>0</v>
      </c>
      <c r="AJ51" s="237">
        <f>'Restating Adj'!AA51+'Pro Forma Adj'!O51</f>
        <v>0</v>
      </c>
      <c r="AK51" s="25">
        <f>'Restating Adj'!AB51</f>
        <v>0</v>
      </c>
      <c r="AL51" s="25">
        <f>'Restating Adj'!AC51</f>
        <v>0</v>
      </c>
      <c r="AM51" s="28">
        <f>'Restating Adj'!AD51</f>
        <v>0</v>
      </c>
      <c r="AN51" s="25">
        <f>'Restating Adj'!AE51</f>
        <v>-2159291.1506739343</v>
      </c>
      <c r="AO51" s="17">
        <f>'Restating Adj'!AF51</f>
        <v>0</v>
      </c>
      <c r="AP51" s="25">
        <f>'Restating Adj'!AG51</f>
        <v>0</v>
      </c>
      <c r="AQ51" s="28">
        <f>'Pro Forma Adj'!P51</f>
        <v>0</v>
      </c>
      <c r="AR51" s="28">
        <f>'Restating Adj'!AH51</f>
        <v>0</v>
      </c>
      <c r="AS51" s="28">
        <f>'Restating Adj'!AI51</f>
        <v>0</v>
      </c>
      <c r="AT51" s="30">
        <f>'Pro Forma Adj'!Q51</f>
        <v>0</v>
      </c>
      <c r="AU51" s="237">
        <f>'Pro Forma Adj'!R51</f>
        <v>0</v>
      </c>
      <c r="AV51" s="262">
        <f>'Pro Forma Adj'!S51</f>
        <v>0</v>
      </c>
      <c r="AW51" s="138">
        <f>'Restating Adj'!AJ51</f>
        <v>0</v>
      </c>
      <c r="AX51" s="25">
        <f>'Restating Adj'!AK51</f>
        <v>0</v>
      </c>
      <c r="AY51" s="25">
        <f>'Restating Adj'!AL51</f>
        <v>0</v>
      </c>
      <c r="AZ51" s="28">
        <f>'Restating Adj'!AM51</f>
        <v>0</v>
      </c>
      <c r="BA51" s="25">
        <f>'Restating Adj'!AN51+'Pro Forma Adj'!T51</f>
        <v>0</v>
      </c>
      <c r="BB51" s="25">
        <f>'Pro Forma Adj'!U51</f>
        <v>0</v>
      </c>
      <c r="BC51" s="25">
        <f>'Pro Forma Adj'!V51</f>
        <v>0</v>
      </c>
      <c r="BD51" s="25">
        <f>'Pro Forma Adj'!W51</f>
        <v>0</v>
      </c>
      <c r="BE51" s="25">
        <f>'Restating Adj'!AO51+'Pro Forma Adj'!X51</f>
        <v>11169894.106385941</v>
      </c>
      <c r="BF51" s="30">
        <f>'Restating Adj'!AP51+'Pro Forma Adj'!Y51</f>
        <v>0</v>
      </c>
      <c r="BI51" s="301">
        <f>B51-(Summary!D48+Summary!H48)</f>
        <v>0</v>
      </c>
    </row>
    <row r="52" spans="1:61">
      <c r="A52" s="61" t="s">
        <v>103</v>
      </c>
      <c r="B52" s="80">
        <f t="shared" si="46"/>
        <v>0</v>
      </c>
      <c r="C52" s="26">
        <f>'Restating Adj'!C52</f>
        <v>0</v>
      </c>
      <c r="D52" s="28">
        <f>'Restating Adj'!D52</f>
        <v>0</v>
      </c>
      <c r="E52" s="28">
        <f>'Pro Forma Adj'!C52</f>
        <v>0</v>
      </c>
      <c r="F52" s="219">
        <f>'Restating Adj'!E52</f>
        <v>0</v>
      </c>
      <c r="G52" s="218">
        <f>'Restating Adj'!F52</f>
        <v>0</v>
      </c>
      <c r="H52" s="29">
        <f>'Restating Adj'!G52+'Pro Forma Adj'!D52</f>
        <v>0</v>
      </c>
      <c r="I52" s="26">
        <f>'Restating Adj'!H52</f>
        <v>0</v>
      </c>
      <c r="J52" s="28">
        <f>'Restating Adj'!I52</f>
        <v>0</v>
      </c>
      <c r="K52" s="28">
        <f>'Pro Forma Adj'!E52</f>
        <v>0</v>
      </c>
      <c r="L52" s="28">
        <f>'Pro Forma Adj'!F52</f>
        <v>0</v>
      </c>
      <c r="M52" s="219">
        <f>'Restating Adj'!J52</f>
        <v>0</v>
      </c>
      <c r="N52" s="28">
        <f>'Restating Adj'!K52</f>
        <v>0</v>
      </c>
      <c r="O52" s="25">
        <f>'Restating Adj'!L52</f>
        <v>0</v>
      </c>
      <c r="P52" s="29">
        <f>'Pro Forma Adj'!G52</f>
        <v>0</v>
      </c>
      <c r="Q52" s="26">
        <f>'Restating Adj'!M52</f>
        <v>0</v>
      </c>
      <c r="R52" s="219">
        <f>'Pro Forma Adj'!H52</f>
        <v>0</v>
      </c>
      <c r="S52" s="28">
        <f>'Restating Adj'!N52</f>
        <v>0</v>
      </c>
      <c r="T52" s="28">
        <f>'Restating Adj'!O52</f>
        <v>0</v>
      </c>
      <c r="U52" s="28">
        <f>'Pro Forma Adj'!I52</f>
        <v>0</v>
      </c>
      <c r="V52" s="30">
        <f>'Restating Adj'!P52</f>
        <v>0</v>
      </c>
      <c r="W52" s="77">
        <f>'Restating Adj'!Q52+'Pro Forma Adj'!J52</f>
        <v>0</v>
      </c>
      <c r="X52" s="237">
        <f>'Restating Adj'!R52+'Pro Forma Adj'!K52</f>
        <v>0</v>
      </c>
      <c r="Y52" s="28">
        <f>'Restating Adj'!S52</f>
        <v>0</v>
      </c>
      <c r="Z52" s="28">
        <f>'Pro Forma Adj'!L52</f>
        <v>0</v>
      </c>
      <c r="AA52" s="28">
        <f>'Restating Adj'!T52</f>
        <v>0</v>
      </c>
      <c r="AB52" s="28">
        <f>'Restating Adj'!U52</f>
        <v>0</v>
      </c>
      <c r="AC52" s="28">
        <f>'Restating Adj'!V52</f>
        <v>0</v>
      </c>
      <c r="AD52" s="28">
        <f>'Pro Forma Adj'!M52</f>
        <v>0</v>
      </c>
      <c r="AE52" s="28">
        <f>'Restating Adj'!W52</f>
        <v>0</v>
      </c>
      <c r="AF52" s="28">
        <f>'Restating Adj'!X52</f>
        <v>0</v>
      </c>
      <c r="AG52" s="28">
        <f>'Restating Adj'!Y52</f>
        <v>0</v>
      </c>
      <c r="AH52" s="28">
        <f>'Restating Adj'!Z52</f>
        <v>0</v>
      </c>
      <c r="AI52" s="29">
        <f>'Pro Forma Adj'!N52</f>
        <v>0</v>
      </c>
      <c r="AJ52" s="237">
        <f>'Restating Adj'!AA52+'Pro Forma Adj'!O52</f>
        <v>0</v>
      </c>
      <c r="AK52" s="25">
        <f>'Restating Adj'!AB52</f>
        <v>0</v>
      </c>
      <c r="AL52" s="25">
        <f>'Restating Adj'!AC52</f>
        <v>0</v>
      </c>
      <c r="AM52" s="28">
        <f>'Restating Adj'!AD52</f>
        <v>0</v>
      </c>
      <c r="AN52" s="25">
        <f>'Restating Adj'!AE52</f>
        <v>0</v>
      </c>
      <c r="AO52" s="17">
        <f>'Restating Adj'!AF52</f>
        <v>0</v>
      </c>
      <c r="AP52" s="25">
        <f>'Restating Adj'!AG52</f>
        <v>0</v>
      </c>
      <c r="AQ52" s="28">
        <f>'Pro Forma Adj'!P52</f>
        <v>0</v>
      </c>
      <c r="AR52" s="28">
        <f>'Restating Adj'!AH52</f>
        <v>0</v>
      </c>
      <c r="AS52" s="28">
        <f>'Restating Adj'!AI52</f>
        <v>0</v>
      </c>
      <c r="AT52" s="30">
        <f>'Pro Forma Adj'!Q52</f>
        <v>0</v>
      </c>
      <c r="AU52" s="237">
        <f>'Pro Forma Adj'!R52</f>
        <v>0</v>
      </c>
      <c r="AV52" s="262">
        <f>'Pro Forma Adj'!S52</f>
        <v>0</v>
      </c>
      <c r="AW52" s="138">
        <f>'Restating Adj'!AJ52</f>
        <v>0</v>
      </c>
      <c r="AX52" s="25">
        <f>'Restating Adj'!AK52</f>
        <v>0</v>
      </c>
      <c r="AY52" s="25">
        <f>'Restating Adj'!AL52</f>
        <v>0</v>
      </c>
      <c r="AZ52" s="28">
        <f>'Restating Adj'!AM52</f>
        <v>0</v>
      </c>
      <c r="BA52" s="25">
        <f>'Restating Adj'!AN52+'Pro Forma Adj'!T52</f>
        <v>0</v>
      </c>
      <c r="BB52" s="25">
        <f>'Pro Forma Adj'!U52</f>
        <v>0</v>
      </c>
      <c r="BC52" s="25">
        <f>'Pro Forma Adj'!V52</f>
        <v>0</v>
      </c>
      <c r="BD52" s="25">
        <f>'Pro Forma Adj'!W52</f>
        <v>0</v>
      </c>
      <c r="BE52" s="17">
        <f>'Restating Adj'!AO52+'Pro Forma Adj'!X52</f>
        <v>0</v>
      </c>
      <c r="BF52" s="30">
        <f>'Restating Adj'!AP52+'Pro Forma Adj'!Y52</f>
        <v>0</v>
      </c>
      <c r="BI52" s="301">
        <f>B52-(Summary!D49+Summary!H49)</f>
        <v>0</v>
      </c>
    </row>
    <row r="53" spans="1:61">
      <c r="A53" s="61" t="s">
        <v>104</v>
      </c>
      <c r="B53" s="80">
        <f t="shared" si="46"/>
        <v>-268576.60836182453</v>
      </c>
      <c r="C53" s="26">
        <f>'Restating Adj'!C53</f>
        <v>0</v>
      </c>
      <c r="D53" s="28">
        <f>'Restating Adj'!D53</f>
        <v>0</v>
      </c>
      <c r="E53" s="28">
        <f>'Pro Forma Adj'!C53</f>
        <v>0</v>
      </c>
      <c r="F53" s="219">
        <f>'Restating Adj'!E53</f>
        <v>0</v>
      </c>
      <c r="G53" s="218">
        <f>'Restating Adj'!F53</f>
        <v>0</v>
      </c>
      <c r="H53" s="29">
        <f>'Restating Adj'!G53+'Pro Forma Adj'!D53</f>
        <v>0</v>
      </c>
      <c r="I53" s="26">
        <f>'Restating Adj'!H53</f>
        <v>0</v>
      </c>
      <c r="J53" s="28">
        <f>'Restating Adj'!I53</f>
        <v>0</v>
      </c>
      <c r="K53" s="28">
        <f>'Pro Forma Adj'!E53</f>
        <v>0</v>
      </c>
      <c r="L53" s="28">
        <f>'Pro Forma Adj'!F53</f>
        <v>0</v>
      </c>
      <c r="M53" s="219">
        <f>'Restating Adj'!J53</f>
        <v>0</v>
      </c>
      <c r="N53" s="28">
        <f>'Restating Adj'!K53</f>
        <v>0</v>
      </c>
      <c r="O53" s="25">
        <f>'Restating Adj'!L53</f>
        <v>0</v>
      </c>
      <c r="P53" s="29">
        <f>'Pro Forma Adj'!G53</f>
        <v>0</v>
      </c>
      <c r="Q53" s="26">
        <f>'Restating Adj'!M53</f>
        <v>0</v>
      </c>
      <c r="R53" s="219">
        <f>'Pro Forma Adj'!H53</f>
        <v>0</v>
      </c>
      <c r="S53" s="28">
        <f>'Restating Adj'!N53</f>
        <v>0</v>
      </c>
      <c r="T53" s="28">
        <f>'Restating Adj'!O53</f>
        <v>0</v>
      </c>
      <c r="U53" s="28">
        <f>'Pro Forma Adj'!I53</f>
        <v>0</v>
      </c>
      <c r="V53" s="30">
        <f>'Restating Adj'!P53</f>
        <v>0</v>
      </c>
      <c r="W53" s="77">
        <f>'Restating Adj'!Q53+'Pro Forma Adj'!J53</f>
        <v>0</v>
      </c>
      <c r="X53" s="237">
        <f>'Restating Adj'!R53+'Pro Forma Adj'!K53</f>
        <v>0</v>
      </c>
      <c r="Y53" s="28">
        <f>'Restating Adj'!S53</f>
        <v>0</v>
      </c>
      <c r="Z53" s="28">
        <f>'Pro Forma Adj'!L53</f>
        <v>0</v>
      </c>
      <c r="AA53" s="28">
        <f>'Restating Adj'!T53</f>
        <v>0</v>
      </c>
      <c r="AB53" s="28">
        <f>'Restating Adj'!U53</f>
        <v>0</v>
      </c>
      <c r="AC53" s="28">
        <f>'Restating Adj'!V53</f>
        <v>0</v>
      </c>
      <c r="AD53" s="28">
        <f>'Pro Forma Adj'!M53</f>
        <v>0</v>
      </c>
      <c r="AE53" s="28">
        <f>'Restating Adj'!W53</f>
        <v>0</v>
      </c>
      <c r="AF53" s="28">
        <f>'Restating Adj'!X53</f>
        <v>0</v>
      </c>
      <c r="AG53" s="28">
        <f>'Restating Adj'!Y53</f>
        <v>0</v>
      </c>
      <c r="AH53" s="28">
        <f>'Restating Adj'!Z53</f>
        <v>0</v>
      </c>
      <c r="AI53" s="29">
        <f>'Pro Forma Adj'!N53</f>
        <v>0</v>
      </c>
      <c r="AJ53" s="237">
        <f>'Restating Adj'!AA53+'Pro Forma Adj'!O53</f>
        <v>0</v>
      </c>
      <c r="AK53" s="25">
        <f>'Restating Adj'!AB53</f>
        <v>0</v>
      </c>
      <c r="AL53" s="25">
        <f>'Restating Adj'!AC53</f>
        <v>0</v>
      </c>
      <c r="AM53" s="28">
        <f>'Restating Adj'!AD53</f>
        <v>0</v>
      </c>
      <c r="AN53" s="25">
        <f>'Restating Adj'!AE53</f>
        <v>0</v>
      </c>
      <c r="AO53" s="17">
        <f>'Restating Adj'!AF53</f>
        <v>0</v>
      </c>
      <c r="AP53" s="25">
        <f>'Restating Adj'!AG53</f>
        <v>0</v>
      </c>
      <c r="AQ53" s="28">
        <f>'Pro Forma Adj'!P53</f>
        <v>0</v>
      </c>
      <c r="AR53" s="28">
        <f>'Restating Adj'!AH53</f>
        <v>-268576.60836182453</v>
      </c>
      <c r="AS53" s="28">
        <f>'Restating Adj'!AI53</f>
        <v>0</v>
      </c>
      <c r="AT53" s="30">
        <f>'Pro Forma Adj'!Q53</f>
        <v>0</v>
      </c>
      <c r="AU53" s="237">
        <f>'Pro Forma Adj'!R53</f>
        <v>0</v>
      </c>
      <c r="AV53" s="262">
        <f>'Pro Forma Adj'!S53</f>
        <v>0</v>
      </c>
      <c r="AW53" s="138">
        <f>'Restating Adj'!AJ53</f>
        <v>0</v>
      </c>
      <c r="AX53" s="25">
        <f>'Restating Adj'!AK53</f>
        <v>0</v>
      </c>
      <c r="AY53" s="25">
        <f>'Restating Adj'!AL53</f>
        <v>0</v>
      </c>
      <c r="AZ53" s="28">
        <f>'Restating Adj'!AM53</f>
        <v>0</v>
      </c>
      <c r="BA53" s="25">
        <f>'Restating Adj'!AN53+'Pro Forma Adj'!T53</f>
        <v>0</v>
      </c>
      <c r="BB53" s="25">
        <f>'Pro Forma Adj'!U53</f>
        <v>0</v>
      </c>
      <c r="BC53" s="25">
        <f>'Pro Forma Adj'!V53</f>
        <v>0</v>
      </c>
      <c r="BD53" s="25">
        <f>'Pro Forma Adj'!W53</f>
        <v>0</v>
      </c>
      <c r="BE53" s="17">
        <f>'Restating Adj'!AO53+'Pro Forma Adj'!X53</f>
        <v>0</v>
      </c>
      <c r="BF53" s="30">
        <f>'Restating Adj'!AP53+'Pro Forma Adj'!Y53</f>
        <v>0</v>
      </c>
      <c r="BI53" s="301">
        <f>B53-(Summary!D50+Summary!H50)</f>
        <v>0</v>
      </c>
    </row>
    <row r="54" spans="1:61">
      <c r="A54" s="61" t="s">
        <v>105</v>
      </c>
      <c r="B54" s="82">
        <f t="shared" si="46"/>
        <v>48812353.756020054</v>
      </c>
      <c r="C54" s="46">
        <f>SUM(C43:C53)</f>
        <v>0</v>
      </c>
      <c r="D54" s="45">
        <f t="shared" ref="D54:BF54" si="47">SUM(D43:D53)</f>
        <v>0</v>
      </c>
      <c r="E54" s="45">
        <f t="shared" ref="E54" si="48">SUM(E43:E53)</f>
        <v>0</v>
      </c>
      <c r="F54" s="224">
        <f t="shared" si="47"/>
        <v>0</v>
      </c>
      <c r="G54" s="224">
        <f t="shared" si="47"/>
        <v>0</v>
      </c>
      <c r="H54" s="47">
        <f t="shared" si="47"/>
        <v>0</v>
      </c>
      <c r="I54" s="46">
        <f t="shared" si="47"/>
        <v>0</v>
      </c>
      <c r="J54" s="45">
        <f t="shared" si="47"/>
        <v>0</v>
      </c>
      <c r="K54" s="45">
        <f t="shared" ref="K54:L54" si="49">SUM(K43:K53)</f>
        <v>0</v>
      </c>
      <c r="L54" s="45">
        <f t="shared" si="49"/>
        <v>0</v>
      </c>
      <c r="M54" s="224">
        <f t="shared" si="47"/>
        <v>0</v>
      </c>
      <c r="N54" s="45">
        <f t="shared" si="47"/>
        <v>0</v>
      </c>
      <c r="O54" s="45">
        <f t="shared" si="47"/>
        <v>0</v>
      </c>
      <c r="P54" s="47">
        <f t="shared" ref="P54" si="50">SUM(P43:P53)</f>
        <v>-637047.28166666592</v>
      </c>
      <c r="Q54" s="46">
        <f t="shared" si="47"/>
        <v>0</v>
      </c>
      <c r="R54" s="224">
        <f t="shared" ref="R54" si="51">SUM(R43:R53)</f>
        <v>0</v>
      </c>
      <c r="S54" s="45">
        <f t="shared" si="47"/>
        <v>0</v>
      </c>
      <c r="T54" s="45">
        <f t="shared" si="47"/>
        <v>0</v>
      </c>
      <c r="U54" s="45">
        <f t="shared" ref="U54" si="52">SUM(U43:U53)</f>
        <v>0</v>
      </c>
      <c r="V54" s="47">
        <f t="shared" si="47"/>
        <v>-26125927.969872698</v>
      </c>
      <c r="W54" s="82">
        <f t="shared" si="47"/>
        <v>0</v>
      </c>
      <c r="X54" s="242">
        <f t="shared" si="47"/>
        <v>0</v>
      </c>
      <c r="Y54" s="45">
        <f t="shared" si="47"/>
        <v>0</v>
      </c>
      <c r="Z54" s="45">
        <f t="shared" ref="Z54" si="53">SUM(Z43:Z53)</f>
        <v>0</v>
      </c>
      <c r="AA54" s="45">
        <f t="shared" si="47"/>
        <v>0</v>
      </c>
      <c r="AB54" s="45">
        <f t="shared" si="47"/>
        <v>0</v>
      </c>
      <c r="AC54" s="45">
        <f t="shared" si="47"/>
        <v>0</v>
      </c>
      <c r="AD54" s="45">
        <f t="shared" ref="AD54" si="54">SUM(AD43:AD53)</f>
        <v>0</v>
      </c>
      <c r="AE54" s="45">
        <f t="shared" si="47"/>
        <v>0</v>
      </c>
      <c r="AF54" s="45">
        <f t="shared" si="47"/>
        <v>0</v>
      </c>
      <c r="AG54" s="45">
        <f t="shared" si="47"/>
        <v>0</v>
      </c>
      <c r="AH54" s="45">
        <f t="shared" si="47"/>
        <v>0</v>
      </c>
      <c r="AI54" s="47">
        <f t="shared" ref="AI54" si="55">SUM(AI43:AI53)</f>
        <v>0</v>
      </c>
      <c r="AJ54" s="242">
        <f t="shared" si="47"/>
        <v>0</v>
      </c>
      <c r="AK54" s="45">
        <f t="shared" si="47"/>
        <v>58167664.808719046</v>
      </c>
      <c r="AL54" s="45">
        <f t="shared" si="47"/>
        <v>155566.24390796048</v>
      </c>
      <c r="AM54" s="45">
        <f t="shared" si="47"/>
        <v>0</v>
      </c>
      <c r="AN54" s="45">
        <f t="shared" si="47"/>
        <v>-7864274.867827571</v>
      </c>
      <c r="AO54" s="45">
        <f t="shared" si="47"/>
        <v>0</v>
      </c>
      <c r="AP54" s="45">
        <f t="shared" si="47"/>
        <v>-441006.12659999984</v>
      </c>
      <c r="AQ54" s="45">
        <f>SUM(AQ43:AQ53)</f>
        <v>75958.380277030345</v>
      </c>
      <c r="AR54" s="45">
        <f t="shared" si="47"/>
        <v>-268576.60836182453</v>
      </c>
      <c r="AS54" s="45">
        <f t="shared" si="47"/>
        <v>0</v>
      </c>
      <c r="AT54" s="47">
        <f>SUM(AT43:AT53)</f>
        <v>15750000</v>
      </c>
      <c r="AU54" s="242">
        <f>SUM(AU43:AU53)</f>
        <v>0</v>
      </c>
      <c r="AV54" s="266">
        <f>SUM(AV43:AV53)</f>
        <v>0</v>
      </c>
      <c r="AW54" s="142">
        <f t="shared" si="47"/>
        <v>0</v>
      </c>
      <c r="AX54" s="45">
        <f t="shared" si="47"/>
        <v>0</v>
      </c>
      <c r="AY54" s="45">
        <f t="shared" si="47"/>
        <v>0</v>
      </c>
      <c r="AZ54" s="45">
        <f t="shared" si="47"/>
        <v>0</v>
      </c>
      <c r="BA54" s="45">
        <f t="shared" si="47"/>
        <v>0</v>
      </c>
      <c r="BB54" s="45">
        <f t="shared" ref="BB54:BD54" si="56">SUM(BB43:BB53)</f>
        <v>0</v>
      </c>
      <c r="BC54" s="45">
        <f t="shared" si="56"/>
        <v>-1067076.2761553444</v>
      </c>
      <c r="BD54" s="45">
        <f t="shared" si="56"/>
        <v>-102820.65278581559</v>
      </c>
      <c r="BE54" s="45">
        <f t="shared" si="47"/>
        <v>11169894.106385941</v>
      </c>
      <c r="BF54" s="47">
        <f t="shared" si="47"/>
        <v>0</v>
      </c>
      <c r="BI54" s="301">
        <f>B54-(Summary!D51+Summary!H51)</f>
        <v>0</v>
      </c>
    </row>
    <row r="55" spans="1:61">
      <c r="A55" s="61"/>
      <c r="B55" s="76"/>
      <c r="C55" s="20"/>
      <c r="D55" s="17"/>
      <c r="E55" s="17"/>
      <c r="F55" s="216"/>
      <c r="G55" s="216"/>
      <c r="H55" s="22"/>
      <c r="I55" s="20"/>
      <c r="J55" s="17"/>
      <c r="K55" s="17"/>
      <c r="L55" s="17"/>
      <c r="M55" s="216"/>
      <c r="N55" s="17"/>
      <c r="O55" s="17"/>
      <c r="P55" s="22"/>
      <c r="Q55" s="20"/>
      <c r="R55" s="216"/>
      <c r="S55" s="17"/>
      <c r="T55" s="17"/>
      <c r="U55" s="17"/>
      <c r="V55" s="22"/>
      <c r="W55" s="76"/>
      <c r="X55" s="236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22"/>
      <c r="AJ55" s="236"/>
      <c r="AK55" s="17"/>
      <c r="AL55" s="17"/>
      <c r="AM55" s="17"/>
      <c r="AN55" s="17"/>
      <c r="AO55" s="17"/>
      <c r="AP55" s="17"/>
      <c r="AQ55" s="17"/>
      <c r="AR55" s="17"/>
      <c r="AS55" s="17"/>
      <c r="AT55" s="22"/>
      <c r="AU55" s="236"/>
      <c r="AV55" s="261"/>
      <c r="AW55" s="136"/>
      <c r="AX55" s="17"/>
      <c r="AY55" s="17"/>
      <c r="AZ55" s="17"/>
      <c r="BA55" s="17"/>
      <c r="BB55" s="17"/>
      <c r="BC55" s="17"/>
      <c r="BD55" s="17"/>
      <c r="BE55" s="17"/>
      <c r="BF55" s="22"/>
      <c r="BI55" s="301">
        <f>B55-(Summary!D52+Summary!H52)</f>
        <v>0</v>
      </c>
    </row>
    <row r="56" spans="1:61">
      <c r="A56" s="61" t="s">
        <v>106</v>
      </c>
      <c r="B56" s="76"/>
      <c r="C56" s="20"/>
      <c r="D56" s="17"/>
      <c r="E56" s="17"/>
      <c r="F56" s="216"/>
      <c r="G56" s="216"/>
      <c r="H56" s="22"/>
      <c r="I56" s="20"/>
      <c r="J56" s="17"/>
      <c r="K56" s="17"/>
      <c r="L56" s="17"/>
      <c r="M56" s="216"/>
      <c r="N56" s="17"/>
      <c r="O56" s="17"/>
      <c r="P56" s="22"/>
      <c r="Q56" s="20"/>
      <c r="R56" s="216"/>
      <c r="S56" s="17"/>
      <c r="T56" s="17"/>
      <c r="U56" s="17"/>
      <c r="V56" s="22"/>
      <c r="W56" s="76"/>
      <c r="X56" s="236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22"/>
      <c r="AJ56" s="236"/>
      <c r="AK56" s="17"/>
      <c r="AL56" s="17"/>
      <c r="AM56" s="17"/>
      <c r="AN56" s="17"/>
      <c r="AO56" s="17"/>
      <c r="AP56" s="17"/>
      <c r="AQ56" s="17"/>
      <c r="AR56" s="17"/>
      <c r="AS56" s="17"/>
      <c r="AT56" s="22"/>
      <c r="AU56" s="236"/>
      <c r="AV56" s="261"/>
      <c r="AW56" s="136"/>
      <c r="AX56" s="17"/>
      <c r="AY56" s="17"/>
      <c r="AZ56" s="17"/>
      <c r="BA56" s="17"/>
      <c r="BB56" s="17"/>
      <c r="BC56" s="17"/>
      <c r="BD56" s="17"/>
      <c r="BE56" s="17"/>
      <c r="BF56" s="22"/>
      <c r="BI56" s="301">
        <f>B56-(Summary!D53+Summary!H53)</f>
        <v>0</v>
      </c>
    </row>
    <row r="57" spans="1:61">
      <c r="A57" s="61" t="s">
        <v>107</v>
      </c>
      <c r="B57" s="80">
        <f t="shared" ref="B57:B65" si="57">SUM(C57:BF57)</f>
        <v>-7323675.9982781075</v>
      </c>
      <c r="C57" s="26">
        <f>'Restating Adj'!C57</f>
        <v>0</v>
      </c>
      <c r="D57" s="28">
        <f>'Restating Adj'!D57</f>
        <v>0</v>
      </c>
      <c r="E57" s="28">
        <f>'Pro Forma Adj'!C57</f>
        <v>0</v>
      </c>
      <c r="F57" s="219">
        <f>'Restating Adj'!E57</f>
        <v>0</v>
      </c>
      <c r="G57" s="218">
        <f>'Restating Adj'!F57</f>
        <v>0</v>
      </c>
      <c r="H57" s="29">
        <f>'Restating Adj'!G57+'Pro Forma Adj'!D57</f>
        <v>0</v>
      </c>
      <c r="I57" s="26">
        <f>'Restating Adj'!H57</f>
        <v>0</v>
      </c>
      <c r="J57" s="28">
        <f>'Restating Adj'!I57</f>
        <v>0</v>
      </c>
      <c r="K57" s="28">
        <f>'Pro Forma Adj'!E57</f>
        <v>0</v>
      </c>
      <c r="L57" s="28">
        <f>'Pro Forma Adj'!F57</f>
        <v>0</v>
      </c>
      <c r="M57" s="219">
        <f>'Restating Adj'!J57</f>
        <v>0</v>
      </c>
      <c r="N57" s="28">
        <f>'Restating Adj'!K57</f>
        <v>0</v>
      </c>
      <c r="O57" s="25">
        <f>'Restating Adj'!L57</f>
        <v>0</v>
      </c>
      <c r="P57" s="29">
        <f>'Pro Forma Adj'!G57</f>
        <v>0</v>
      </c>
      <c r="Q57" s="26">
        <f>'Restating Adj'!M57</f>
        <v>0</v>
      </c>
      <c r="R57" s="219">
        <f>'Pro Forma Adj'!H57</f>
        <v>0</v>
      </c>
      <c r="S57" s="28">
        <f>'Restating Adj'!N57</f>
        <v>0</v>
      </c>
      <c r="T57" s="28">
        <f>'Restating Adj'!O57</f>
        <v>0</v>
      </c>
      <c r="U57" s="28">
        <f>'Pro Forma Adj'!I57</f>
        <v>0</v>
      </c>
      <c r="V57" s="30">
        <f>'Restating Adj'!P57</f>
        <v>16010762.339428132</v>
      </c>
      <c r="W57" s="77">
        <f>'Restating Adj'!Q57+'Pro Forma Adj'!J57</f>
        <v>-264083.87465224485</v>
      </c>
      <c r="X57" s="237">
        <f>'Restating Adj'!R57+'Pro Forma Adj'!K57</f>
        <v>0</v>
      </c>
      <c r="Y57" s="28">
        <f>'Restating Adj'!S57</f>
        <v>0</v>
      </c>
      <c r="Z57" s="28">
        <f>'Pro Forma Adj'!L57</f>
        <v>0</v>
      </c>
      <c r="AA57" s="28">
        <f>'Restating Adj'!T57</f>
        <v>0</v>
      </c>
      <c r="AB57" s="28">
        <f>'Restating Adj'!U57</f>
        <v>0</v>
      </c>
      <c r="AC57" s="28">
        <f>'Restating Adj'!V57</f>
        <v>0</v>
      </c>
      <c r="AD57" s="28">
        <f>'Pro Forma Adj'!M57</f>
        <v>0</v>
      </c>
      <c r="AE57" s="28">
        <f>'Restating Adj'!W57</f>
        <v>0</v>
      </c>
      <c r="AF57" s="28">
        <f>'Restating Adj'!X57</f>
        <v>0</v>
      </c>
      <c r="AG57" s="28">
        <f>'Restating Adj'!Y57</f>
        <v>0</v>
      </c>
      <c r="AH57" s="28">
        <f>'Restating Adj'!Z57</f>
        <v>0</v>
      </c>
      <c r="AI57" s="29">
        <f>'Pro Forma Adj'!N57</f>
        <v>0</v>
      </c>
      <c r="AJ57" s="237">
        <f>'Restating Adj'!AA57+'Pro Forma Adj'!O57</f>
        <v>0</v>
      </c>
      <c r="AK57" s="25">
        <f>'Restating Adj'!AB57</f>
        <v>-23449722.352869298</v>
      </c>
      <c r="AL57" s="25">
        <f>'Restating Adj'!AC57</f>
        <v>0</v>
      </c>
      <c r="AM57" s="28">
        <f>'Restating Adj'!AD57</f>
        <v>0</v>
      </c>
      <c r="AN57" s="25">
        <f>'Restating Adj'!AE57</f>
        <v>0</v>
      </c>
      <c r="AO57" s="17">
        <f>'Restating Adj'!AF57</f>
        <v>0</v>
      </c>
      <c r="AP57" s="25">
        <f>'Restating Adj'!AG57</f>
        <v>0</v>
      </c>
      <c r="AQ57" s="28">
        <f>'Pro Forma Adj'!P57</f>
        <v>0</v>
      </c>
      <c r="AR57" s="28">
        <f>'Restating Adj'!AH57</f>
        <v>0</v>
      </c>
      <c r="AS57" s="28">
        <f>'Restating Adj'!AI57</f>
        <v>0</v>
      </c>
      <c r="AT57" s="30">
        <f>'Pro Forma Adj'!Q57</f>
        <v>0</v>
      </c>
      <c r="AU57" s="237">
        <f>'Pro Forma Adj'!R57</f>
        <v>0</v>
      </c>
      <c r="AV57" s="262">
        <f>'Pro Forma Adj'!S57</f>
        <v>0</v>
      </c>
      <c r="AW57" s="138">
        <f>'Restating Adj'!AJ57</f>
        <v>0</v>
      </c>
      <c r="AX57" s="25">
        <f>'Restating Adj'!AK57</f>
        <v>0</v>
      </c>
      <c r="AY57" s="25">
        <f>'Restating Adj'!AL57</f>
        <v>0</v>
      </c>
      <c r="AZ57" s="28">
        <f>'Restating Adj'!AM57</f>
        <v>0</v>
      </c>
      <c r="BA57" s="25">
        <f>'Restating Adj'!AN57+'Pro Forma Adj'!T57</f>
        <v>0</v>
      </c>
      <c r="BB57" s="25">
        <f>'Pro Forma Adj'!U57</f>
        <v>0</v>
      </c>
      <c r="BC57" s="25">
        <f>'Pro Forma Adj'!V57</f>
        <v>337916.75424200855</v>
      </c>
      <c r="BD57" s="25">
        <f>'Pro Forma Adj'!W57</f>
        <v>41451.135573294014</v>
      </c>
      <c r="BE57" s="17">
        <f>'Restating Adj'!AO57+'Pro Forma Adj'!X57</f>
        <v>0</v>
      </c>
      <c r="BF57" s="30">
        <f>'Restating Adj'!AP57+'Pro Forma Adj'!Y57</f>
        <v>0</v>
      </c>
      <c r="BI57" s="301">
        <f>B57-(Summary!D54+Summary!H54)</f>
        <v>0</v>
      </c>
    </row>
    <row r="58" spans="1:61">
      <c r="A58" s="61" t="s">
        <v>108</v>
      </c>
      <c r="B58" s="80">
        <f t="shared" si="57"/>
        <v>0</v>
      </c>
      <c r="C58" s="26">
        <f>'Restating Adj'!C58</f>
        <v>0</v>
      </c>
      <c r="D58" s="28">
        <f>'Restating Adj'!D58</f>
        <v>0</v>
      </c>
      <c r="E58" s="28">
        <f>'Pro Forma Adj'!C58</f>
        <v>0</v>
      </c>
      <c r="F58" s="219">
        <f>'Restating Adj'!E58</f>
        <v>0</v>
      </c>
      <c r="G58" s="218">
        <f>'Restating Adj'!F58</f>
        <v>0</v>
      </c>
      <c r="H58" s="29">
        <f>'Restating Adj'!G58+'Pro Forma Adj'!D58</f>
        <v>0</v>
      </c>
      <c r="I58" s="26">
        <f>'Restating Adj'!H58</f>
        <v>0</v>
      </c>
      <c r="J58" s="28">
        <f>'Restating Adj'!I58</f>
        <v>0</v>
      </c>
      <c r="K58" s="28">
        <f>'Pro Forma Adj'!E58</f>
        <v>0</v>
      </c>
      <c r="L58" s="28">
        <f>'Pro Forma Adj'!F58</f>
        <v>0</v>
      </c>
      <c r="M58" s="219">
        <f>'Restating Adj'!J58</f>
        <v>0</v>
      </c>
      <c r="N58" s="28">
        <f>'Restating Adj'!K58</f>
        <v>0</v>
      </c>
      <c r="O58" s="25">
        <f>'Restating Adj'!L58</f>
        <v>0</v>
      </c>
      <c r="P58" s="29">
        <f>'Pro Forma Adj'!G58</f>
        <v>0</v>
      </c>
      <c r="Q58" s="26">
        <f>'Restating Adj'!M58</f>
        <v>0</v>
      </c>
      <c r="R58" s="219">
        <f>'Pro Forma Adj'!H58</f>
        <v>0</v>
      </c>
      <c r="S58" s="28">
        <f>'Restating Adj'!N58</f>
        <v>0</v>
      </c>
      <c r="T58" s="28">
        <f>'Restating Adj'!O58</f>
        <v>0</v>
      </c>
      <c r="U58" s="28">
        <f>'Pro Forma Adj'!I58</f>
        <v>0</v>
      </c>
      <c r="V58" s="30">
        <f>'Restating Adj'!P58</f>
        <v>0</v>
      </c>
      <c r="W58" s="77">
        <f>'Restating Adj'!Q58+'Pro Forma Adj'!J58</f>
        <v>0</v>
      </c>
      <c r="X58" s="237">
        <f>'Restating Adj'!R58+'Pro Forma Adj'!K58</f>
        <v>0</v>
      </c>
      <c r="Y58" s="28">
        <f>'Restating Adj'!S58</f>
        <v>0</v>
      </c>
      <c r="Z58" s="28">
        <f>'Pro Forma Adj'!L58</f>
        <v>0</v>
      </c>
      <c r="AA58" s="28">
        <f>'Restating Adj'!T58</f>
        <v>0</v>
      </c>
      <c r="AB58" s="28">
        <f>'Restating Adj'!U58</f>
        <v>0</v>
      </c>
      <c r="AC58" s="28">
        <f>'Restating Adj'!V58</f>
        <v>0</v>
      </c>
      <c r="AD58" s="28">
        <f>'Pro Forma Adj'!M58</f>
        <v>0</v>
      </c>
      <c r="AE58" s="28">
        <f>'Restating Adj'!W58</f>
        <v>0</v>
      </c>
      <c r="AF58" s="28">
        <f>'Restating Adj'!X58</f>
        <v>0</v>
      </c>
      <c r="AG58" s="28">
        <f>'Restating Adj'!Y58</f>
        <v>0</v>
      </c>
      <c r="AH58" s="28">
        <f>'Restating Adj'!Z58</f>
        <v>0</v>
      </c>
      <c r="AI58" s="29">
        <f>'Pro Forma Adj'!N58</f>
        <v>0</v>
      </c>
      <c r="AJ58" s="237">
        <f>'Restating Adj'!AA58+'Pro Forma Adj'!O58</f>
        <v>0</v>
      </c>
      <c r="AK58" s="25">
        <f>'Restating Adj'!AB58</f>
        <v>0</v>
      </c>
      <c r="AL58" s="25">
        <f>'Restating Adj'!AC58</f>
        <v>0</v>
      </c>
      <c r="AM58" s="28">
        <f>'Restating Adj'!AD58</f>
        <v>0</v>
      </c>
      <c r="AN58" s="25">
        <f>'Restating Adj'!AE58</f>
        <v>0</v>
      </c>
      <c r="AO58" s="17">
        <f>'Restating Adj'!AF58</f>
        <v>0</v>
      </c>
      <c r="AP58" s="25">
        <f>'Restating Adj'!AG58</f>
        <v>0</v>
      </c>
      <c r="AQ58" s="28">
        <f>'Pro Forma Adj'!P58</f>
        <v>0</v>
      </c>
      <c r="AR58" s="28">
        <f>'Restating Adj'!AH58</f>
        <v>0</v>
      </c>
      <c r="AS58" s="28">
        <f>'Restating Adj'!AI58</f>
        <v>0</v>
      </c>
      <c r="AT58" s="30">
        <f>'Pro Forma Adj'!Q58</f>
        <v>0</v>
      </c>
      <c r="AU58" s="237">
        <f>'Pro Forma Adj'!R58</f>
        <v>0</v>
      </c>
      <c r="AV58" s="262">
        <f>'Pro Forma Adj'!S58</f>
        <v>0</v>
      </c>
      <c r="AW58" s="138">
        <f>'Restating Adj'!AJ58</f>
        <v>0</v>
      </c>
      <c r="AX58" s="25">
        <f>'Restating Adj'!AK58</f>
        <v>0</v>
      </c>
      <c r="AY58" s="25">
        <f>'Restating Adj'!AL58</f>
        <v>0</v>
      </c>
      <c r="AZ58" s="28">
        <f>'Restating Adj'!AM58</f>
        <v>0</v>
      </c>
      <c r="BA58" s="25">
        <f>'Restating Adj'!AN58+'Pro Forma Adj'!T58</f>
        <v>0</v>
      </c>
      <c r="BB58" s="25">
        <f>'Pro Forma Adj'!U58</f>
        <v>0</v>
      </c>
      <c r="BC58" s="25">
        <f>'Pro Forma Adj'!V58</f>
        <v>0</v>
      </c>
      <c r="BD58" s="25">
        <f>'Pro Forma Adj'!W58</f>
        <v>0</v>
      </c>
      <c r="BE58" s="17">
        <f>'Restating Adj'!AO58+'Pro Forma Adj'!X58</f>
        <v>0</v>
      </c>
      <c r="BF58" s="30">
        <f>'Restating Adj'!AP58+'Pro Forma Adj'!Y58</f>
        <v>0</v>
      </c>
      <c r="BI58" s="301">
        <f>B58-(Summary!D55+Summary!H55)</f>
        <v>0</v>
      </c>
    </row>
    <row r="59" spans="1:61">
      <c r="A59" s="61" t="s">
        <v>109</v>
      </c>
      <c r="B59" s="80">
        <f t="shared" si="57"/>
        <v>-12192843.002429279</v>
      </c>
      <c r="C59" s="26">
        <f>'Restating Adj'!C59</f>
        <v>0</v>
      </c>
      <c r="D59" s="28">
        <f>'Restating Adj'!D59</f>
        <v>2751332</v>
      </c>
      <c r="E59" s="28">
        <f>'Pro Forma Adj'!C59</f>
        <v>0</v>
      </c>
      <c r="F59" s="219">
        <f>'Restating Adj'!E59</f>
        <v>0</v>
      </c>
      <c r="G59" s="218">
        <f>'Restating Adj'!F59</f>
        <v>0</v>
      </c>
      <c r="H59" s="29">
        <f>'Restating Adj'!G59+'Pro Forma Adj'!D59</f>
        <v>0</v>
      </c>
      <c r="I59" s="26">
        <f>'Restating Adj'!H59</f>
        <v>0</v>
      </c>
      <c r="J59" s="28">
        <f>'Restating Adj'!I59</f>
        <v>0</v>
      </c>
      <c r="K59" s="28">
        <f>'Pro Forma Adj'!E59</f>
        <v>0</v>
      </c>
      <c r="L59" s="28">
        <f>'Pro Forma Adj'!F59</f>
        <v>0</v>
      </c>
      <c r="M59" s="219">
        <f>'Restating Adj'!J59</f>
        <v>0</v>
      </c>
      <c r="N59" s="28">
        <f>'Restating Adj'!K59</f>
        <v>472405.91201826412</v>
      </c>
      <c r="O59" s="25">
        <f>'Restating Adj'!L59</f>
        <v>0</v>
      </c>
      <c r="P59" s="29">
        <f>'Pro Forma Adj'!G59</f>
        <v>330671.29965366772</v>
      </c>
      <c r="Q59" s="26">
        <f>'Restating Adj'!M59</f>
        <v>0</v>
      </c>
      <c r="R59" s="219">
        <f>'Pro Forma Adj'!H59</f>
        <v>0</v>
      </c>
      <c r="S59" s="28">
        <f>'Restating Adj'!N59</f>
        <v>0</v>
      </c>
      <c r="T59" s="28">
        <f>'Restating Adj'!O59</f>
        <v>0</v>
      </c>
      <c r="U59" s="28">
        <f>'Pro Forma Adj'!I59</f>
        <v>0</v>
      </c>
      <c r="V59" s="30">
        <f>'Restating Adj'!P59</f>
        <v>1810649.4576148225</v>
      </c>
      <c r="W59" s="77">
        <f>'Restating Adj'!Q59+'Pro Forma Adj'!J59</f>
        <v>0</v>
      </c>
      <c r="X59" s="237">
        <f>'Restating Adj'!R59+'Pro Forma Adj'!K59</f>
        <v>0</v>
      </c>
      <c r="Y59" s="28">
        <f>'Restating Adj'!S59</f>
        <v>-5199034.9082336593</v>
      </c>
      <c r="Z59" s="28">
        <f>'Pro Forma Adj'!L59</f>
        <v>0</v>
      </c>
      <c r="AA59" s="28">
        <f>'Restating Adj'!T59</f>
        <v>-510417.13577641395</v>
      </c>
      <c r="AB59" s="28">
        <f>'Restating Adj'!U59</f>
        <v>0</v>
      </c>
      <c r="AC59" s="28">
        <f>'Restating Adj'!V59</f>
        <v>0</v>
      </c>
      <c r="AD59" s="28">
        <f>'Pro Forma Adj'!M59</f>
        <v>0</v>
      </c>
      <c r="AE59" s="28">
        <f>'Restating Adj'!W59</f>
        <v>1099614</v>
      </c>
      <c r="AF59" s="28">
        <f>'Restating Adj'!X59</f>
        <v>-262781</v>
      </c>
      <c r="AG59" s="28">
        <f>'Restating Adj'!Y59</f>
        <v>0</v>
      </c>
      <c r="AH59" s="28">
        <f>'Restating Adj'!Z59</f>
        <v>-9873199.076123938</v>
      </c>
      <c r="AI59" s="29">
        <f>'Pro Forma Adj'!N59</f>
        <v>0</v>
      </c>
      <c r="AJ59" s="237">
        <f>'Restating Adj'!AA59+'Pro Forma Adj'!O59</f>
        <v>0</v>
      </c>
      <c r="AK59" s="25">
        <f>'Restating Adj'!AB59</f>
        <v>0</v>
      </c>
      <c r="AL59" s="25">
        <f>'Restating Adj'!AC59</f>
        <v>105942.55956519302</v>
      </c>
      <c r="AM59" s="28">
        <f>'Restating Adj'!AD59</f>
        <v>0</v>
      </c>
      <c r="AN59" s="25">
        <f>'Restating Adj'!AE59</f>
        <v>0</v>
      </c>
      <c r="AO59" s="17">
        <f>'Restating Adj'!AF59</f>
        <v>1697439.8920278733</v>
      </c>
      <c r="AP59" s="25">
        <f>'Restating Adj'!AG59</f>
        <v>0</v>
      </c>
      <c r="AQ59" s="28">
        <f>'Pro Forma Adj'!P59</f>
        <v>386866.05491689674</v>
      </c>
      <c r="AR59" s="28">
        <f>'Restating Adj'!AH59</f>
        <v>-168274.50912161343</v>
      </c>
      <c r="AS59" s="28">
        <f>'Restating Adj'!AI59</f>
        <v>0</v>
      </c>
      <c r="AT59" s="30">
        <f>'Pro Forma Adj'!Q59</f>
        <v>-6261915</v>
      </c>
      <c r="AU59" s="237">
        <f>'Pro Forma Adj'!R59</f>
        <v>0</v>
      </c>
      <c r="AV59" s="262">
        <f>'Pro Forma Adj'!S59</f>
        <v>0</v>
      </c>
      <c r="AW59" s="138">
        <f>'Restating Adj'!AJ59</f>
        <v>1427857.4510296264</v>
      </c>
      <c r="AX59" s="25">
        <f>'Restating Adj'!AK59</f>
        <v>0</v>
      </c>
      <c r="AY59" s="25">
        <f>'Restating Adj'!AL59</f>
        <v>0</v>
      </c>
      <c r="AZ59" s="28">
        <f>'Restating Adj'!AM59</f>
        <v>0</v>
      </c>
      <c r="BA59" s="25">
        <f>'Restating Adj'!AN59+'Pro Forma Adj'!T59</f>
        <v>0</v>
      </c>
      <c r="BB59" s="25">
        <f>'Pro Forma Adj'!U59</f>
        <v>0</v>
      </c>
      <c r="BC59" s="25">
        <f>'Pro Forma Adj'!V59</f>
        <v>0</v>
      </c>
      <c r="BD59" s="25">
        <f>'Pro Forma Adj'!W59</f>
        <v>0</v>
      </c>
      <c r="BE59" s="17">
        <f>'Restating Adj'!AO59+'Pro Forma Adj'!X59</f>
        <v>0</v>
      </c>
      <c r="BF59" s="30">
        <f>'Restating Adj'!AP59+'Pro Forma Adj'!Y59</f>
        <v>0</v>
      </c>
      <c r="BI59" s="301">
        <f>B59-(Summary!D56+Summary!H56)</f>
        <v>0</v>
      </c>
    </row>
    <row r="60" spans="1:61">
      <c r="A60" s="61" t="s">
        <v>110</v>
      </c>
      <c r="B60" s="80">
        <f t="shared" si="57"/>
        <v>144385.82344165733</v>
      </c>
      <c r="C60" s="26">
        <f>'Restating Adj'!C60</f>
        <v>0</v>
      </c>
      <c r="D60" s="28">
        <f>'Restating Adj'!D60</f>
        <v>0</v>
      </c>
      <c r="E60" s="28">
        <f>'Pro Forma Adj'!C60</f>
        <v>0</v>
      </c>
      <c r="F60" s="219">
        <f>'Restating Adj'!E60</f>
        <v>0</v>
      </c>
      <c r="G60" s="218">
        <f>'Restating Adj'!F60</f>
        <v>0</v>
      </c>
      <c r="H60" s="29">
        <f>'Restating Adj'!G60+'Pro Forma Adj'!D60</f>
        <v>0</v>
      </c>
      <c r="I60" s="26">
        <f>'Restating Adj'!H60</f>
        <v>0</v>
      </c>
      <c r="J60" s="28">
        <f>'Restating Adj'!I60</f>
        <v>0</v>
      </c>
      <c r="K60" s="28">
        <f>'Pro Forma Adj'!E60</f>
        <v>0</v>
      </c>
      <c r="L60" s="28">
        <f>'Pro Forma Adj'!F60</f>
        <v>0</v>
      </c>
      <c r="M60" s="219">
        <f>'Restating Adj'!J60</f>
        <v>0</v>
      </c>
      <c r="N60" s="28">
        <f>'Restating Adj'!K60</f>
        <v>0</v>
      </c>
      <c r="O60" s="25">
        <f>'Restating Adj'!L60</f>
        <v>0</v>
      </c>
      <c r="P60" s="29">
        <f>'Pro Forma Adj'!G60</f>
        <v>0</v>
      </c>
      <c r="Q60" s="26">
        <f>'Restating Adj'!M60</f>
        <v>0</v>
      </c>
      <c r="R60" s="219">
        <f>'Pro Forma Adj'!H60</f>
        <v>0</v>
      </c>
      <c r="S60" s="28">
        <f>'Restating Adj'!N60</f>
        <v>0</v>
      </c>
      <c r="T60" s="28">
        <f>'Restating Adj'!O60</f>
        <v>0</v>
      </c>
      <c r="U60" s="28">
        <f>'Pro Forma Adj'!I60</f>
        <v>0</v>
      </c>
      <c r="V60" s="30">
        <f>'Restating Adj'!P60</f>
        <v>144385.82344165733</v>
      </c>
      <c r="W60" s="77">
        <f>'Restating Adj'!Q60+'Pro Forma Adj'!J60</f>
        <v>0</v>
      </c>
      <c r="X60" s="237">
        <f>'Restating Adj'!R60+'Pro Forma Adj'!K60</f>
        <v>0</v>
      </c>
      <c r="Y60" s="28">
        <f>'Restating Adj'!S60</f>
        <v>0</v>
      </c>
      <c r="Z60" s="28">
        <f>'Pro Forma Adj'!L60</f>
        <v>0</v>
      </c>
      <c r="AA60" s="28">
        <f>'Restating Adj'!T60</f>
        <v>0</v>
      </c>
      <c r="AB60" s="28">
        <f>'Restating Adj'!U60</f>
        <v>0</v>
      </c>
      <c r="AC60" s="28">
        <f>'Restating Adj'!V60</f>
        <v>0</v>
      </c>
      <c r="AD60" s="28">
        <f>'Pro Forma Adj'!M60</f>
        <v>0</v>
      </c>
      <c r="AE60" s="28">
        <f>'Restating Adj'!W60</f>
        <v>0</v>
      </c>
      <c r="AF60" s="28">
        <f>'Restating Adj'!X60</f>
        <v>0</v>
      </c>
      <c r="AG60" s="28">
        <f>'Restating Adj'!Y60</f>
        <v>0</v>
      </c>
      <c r="AH60" s="28">
        <f>'Restating Adj'!Z60</f>
        <v>0</v>
      </c>
      <c r="AI60" s="29">
        <f>'Pro Forma Adj'!N60</f>
        <v>0</v>
      </c>
      <c r="AJ60" s="237">
        <f>'Restating Adj'!AA60+'Pro Forma Adj'!O60</f>
        <v>0</v>
      </c>
      <c r="AK60" s="25">
        <f>'Restating Adj'!AB60</f>
        <v>0</v>
      </c>
      <c r="AL60" s="25">
        <f>'Restating Adj'!AC60</f>
        <v>0</v>
      </c>
      <c r="AM60" s="28">
        <f>'Restating Adj'!AD60</f>
        <v>0</v>
      </c>
      <c r="AN60" s="25">
        <f>'Restating Adj'!AE60</f>
        <v>0</v>
      </c>
      <c r="AO60" s="17">
        <f>'Restating Adj'!AF60</f>
        <v>0</v>
      </c>
      <c r="AP60" s="25">
        <f>'Restating Adj'!AG60</f>
        <v>0</v>
      </c>
      <c r="AQ60" s="28">
        <f>'Pro Forma Adj'!P60</f>
        <v>0</v>
      </c>
      <c r="AR60" s="28">
        <f>'Restating Adj'!AH60</f>
        <v>0</v>
      </c>
      <c r="AS60" s="28">
        <f>'Restating Adj'!AI60</f>
        <v>0</v>
      </c>
      <c r="AT60" s="30">
        <f>'Pro Forma Adj'!Q60</f>
        <v>0</v>
      </c>
      <c r="AU60" s="237">
        <f>'Pro Forma Adj'!R60</f>
        <v>0</v>
      </c>
      <c r="AV60" s="262">
        <f>'Pro Forma Adj'!S60</f>
        <v>0</v>
      </c>
      <c r="AW60" s="138">
        <f>'Restating Adj'!AJ60</f>
        <v>0</v>
      </c>
      <c r="AX60" s="25">
        <f>'Restating Adj'!AK60</f>
        <v>0</v>
      </c>
      <c r="AY60" s="25">
        <f>'Restating Adj'!AL60</f>
        <v>0</v>
      </c>
      <c r="AZ60" s="28">
        <f>'Restating Adj'!AM60</f>
        <v>0</v>
      </c>
      <c r="BA60" s="25">
        <f>'Restating Adj'!AN60+'Pro Forma Adj'!T60</f>
        <v>0</v>
      </c>
      <c r="BB60" s="25">
        <f>'Pro Forma Adj'!U60</f>
        <v>0</v>
      </c>
      <c r="BC60" s="25">
        <f>'Pro Forma Adj'!V60</f>
        <v>0</v>
      </c>
      <c r="BD60" s="25">
        <f>'Pro Forma Adj'!W60</f>
        <v>0</v>
      </c>
      <c r="BE60" s="17">
        <f>'Restating Adj'!AO60+'Pro Forma Adj'!X60</f>
        <v>0</v>
      </c>
      <c r="BF60" s="30">
        <f>'Restating Adj'!AP60+'Pro Forma Adj'!Y60</f>
        <v>0</v>
      </c>
      <c r="BI60" s="301">
        <f>B60-(Summary!D57+Summary!H57)</f>
        <v>0</v>
      </c>
    </row>
    <row r="61" spans="1:61">
      <c r="A61" s="61" t="s">
        <v>111</v>
      </c>
      <c r="B61" s="80">
        <f t="shared" si="57"/>
        <v>23142.536575635779</v>
      </c>
      <c r="C61" s="26">
        <f>'Restating Adj'!C61</f>
        <v>0</v>
      </c>
      <c r="D61" s="28">
        <f>'Restating Adj'!D61</f>
        <v>0</v>
      </c>
      <c r="E61" s="28">
        <f>'Pro Forma Adj'!C61</f>
        <v>0</v>
      </c>
      <c r="F61" s="219">
        <f>'Restating Adj'!E61</f>
        <v>0</v>
      </c>
      <c r="G61" s="218">
        <f>'Restating Adj'!F61</f>
        <v>0</v>
      </c>
      <c r="H61" s="29">
        <f>'Restating Adj'!G61+'Pro Forma Adj'!D61</f>
        <v>0</v>
      </c>
      <c r="I61" s="26">
        <f>'Restating Adj'!H61</f>
        <v>0</v>
      </c>
      <c r="J61" s="28">
        <f>'Restating Adj'!I61</f>
        <v>0</v>
      </c>
      <c r="K61" s="28">
        <f>'Pro Forma Adj'!E61</f>
        <v>0</v>
      </c>
      <c r="L61" s="28">
        <f>'Pro Forma Adj'!F61</f>
        <v>0</v>
      </c>
      <c r="M61" s="219">
        <f>'Restating Adj'!J61</f>
        <v>0</v>
      </c>
      <c r="N61" s="28">
        <f>'Restating Adj'!K61</f>
        <v>0</v>
      </c>
      <c r="O61" s="25">
        <f>'Restating Adj'!L61</f>
        <v>0</v>
      </c>
      <c r="P61" s="29">
        <f>'Pro Forma Adj'!G61</f>
        <v>0</v>
      </c>
      <c r="Q61" s="26">
        <f>'Restating Adj'!M61</f>
        <v>0</v>
      </c>
      <c r="R61" s="219">
        <f>'Pro Forma Adj'!H61</f>
        <v>0</v>
      </c>
      <c r="S61" s="28">
        <f>'Restating Adj'!N61</f>
        <v>0</v>
      </c>
      <c r="T61" s="28">
        <f>'Restating Adj'!O61</f>
        <v>0</v>
      </c>
      <c r="U61" s="28">
        <f>'Pro Forma Adj'!I61</f>
        <v>0</v>
      </c>
      <c r="V61" s="30">
        <f>'Restating Adj'!P61</f>
        <v>0</v>
      </c>
      <c r="W61" s="77">
        <f>'Restating Adj'!Q61+'Pro Forma Adj'!J61</f>
        <v>0</v>
      </c>
      <c r="X61" s="237">
        <f>'Restating Adj'!R61+'Pro Forma Adj'!K61</f>
        <v>0</v>
      </c>
      <c r="Y61" s="28">
        <f>'Restating Adj'!S61</f>
        <v>0</v>
      </c>
      <c r="Z61" s="28">
        <f>'Pro Forma Adj'!L61</f>
        <v>0</v>
      </c>
      <c r="AA61" s="28">
        <f>'Restating Adj'!T61</f>
        <v>0</v>
      </c>
      <c r="AB61" s="28">
        <f>'Restating Adj'!U61</f>
        <v>0</v>
      </c>
      <c r="AC61" s="28">
        <f>'Restating Adj'!V61</f>
        <v>0</v>
      </c>
      <c r="AD61" s="28">
        <f>'Pro Forma Adj'!M61</f>
        <v>0</v>
      </c>
      <c r="AE61" s="28">
        <f>'Restating Adj'!W61</f>
        <v>0</v>
      </c>
      <c r="AF61" s="28">
        <f>'Restating Adj'!X61</f>
        <v>0</v>
      </c>
      <c r="AG61" s="28">
        <f>'Restating Adj'!Y61</f>
        <v>0</v>
      </c>
      <c r="AH61" s="28">
        <f>'Restating Adj'!Z61</f>
        <v>0</v>
      </c>
      <c r="AI61" s="29">
        <f>'Pro Forma Adj'!N61</f>
        <v>0</v>
      </c>
      <c r="AJ61" s="237">
        <f>'Restating Adj'!AA61+'Pro Forma Adj'!O61</f>
        <v>0</v>
      </c>
      <c r="AK61" s="25">
        <f>'Restating Adj'!AB61</f>
        <v>0</v>
      </c>
      <c r="AL61" s="25">
        <f>'Restating Adj'!AC61</f>
        <v>0</v>
      </c>
      <c r="AM61" s="28">
        <f>'Restating Adj'!AD61</f>
        <v>23142.536575635779</v>
      </c>
      <c r="AN61" s="25">
        <f>'Restating Adj'!AE61</f>
        <v>0</v>
      </c>
      <c r="AO61" s="17">
        <f>'Restating Adj'!AF61</f>
        <v>0</v>
      </c>
      <c r="AP61" s="25">
        <f>'Restating Adj'!AG61</f>
        <v>0</v>
      </c>
      <c r="AQ61" s="28">
        <f>'Pro Forma Adj'!P61</f>
        <v>0</v>
      </c>
      <c r="AR61" s="28">
        <f>'Restating Adj'!AH61</f>
        <v>0</v>
      </c>
      <c r="AS61" s="28">
        <f>'Restating Adj'!AI61</f>
        <v>0</v>
      </c>
      <c r="AT61" s="30">
        <f>'Pro Forma Adj'!Q61</f>
        <v>0</v>
      </c>
      <c r="AU61" s="237">
        <f>'Pro Forma Adj'!R61</f>
        <v>0</v>
      </c>
      <c r="AV61" s="262">
        <f>'Pro Forma Adj'!S61</f>
        <v>0</v>
      </c>
      <c r="AW61" s="138">
        <f>'Restating Adj'!AJ61</f>
        <v>0</v>
      </c>
      <c r="AX61" s="25">
        <f>'Restating Adj'!AK61</f>
        <v>0</v>
      </c>
      <c r="AY61" s="25">
        <f>'Restating Adj'!AL61</f>
        <v>0</v>
      </c>
      <c r="AZ61" s="28">
        <f>'Restating Adj'!AM61</f>
        <v>0</v>
      </c>
      <c r="BA61" s="25">
        <f>'Restating Adj'!AN61+'Pro Forma Adj'!T61</f>
        <v>0</v>
      </c>
      <c r="BB61" s="25">
        <f>'Pro Forma Adj'!U61</f>
        <v>0</v>
      </c>
      <c r="BC61" s="25">
        <f>'Pro Forma Adj'!V61</f>
        <v>0</v>
      </c>
      <c r="BD61" s="25">
        <f>'Pro Forma Adj'!W61</f>
        <v>0</v>
      </c>
      <c r="BE61" s="17">
        <f>'Restating Adj'!AO61+'Pro Forma Adj'!X61</f>
        <v>0</v>
      </c>
      <c r="BF61" s="30">
        <f>'Restating Adj'!AP61+'Pro Forma Adj'!Y61</f>
        <v>0</v>
      </c>
      <c r="BI61" s="301">
        <f>B61-(Summary!D58+Summary!H58)</f>
        <v>0</v>
      </c>
    </row>
    <row r="62" spans="1:61">
      <c r="A62" s="61" t="s">
        <v>112</v>
      </c>
      <c r="B62" s="80">
        <f t="shared" si="57"/>
        <v>-2980495.6783333328</v>
      </c>
      <c r="C62" s="26">
        <f>'Restating Adj'!C62</f>
        <v>0</v>
      </c>
      <c r="D62" s="28">
        <f>'Restating Adj'!D62</f>
        <v>0</v>
      </c>
      <c r="E62" s="28">
        <f>'Pro Forma Adj'!C62</f>
        <v>0</v>
      </c>
      <c r="F62" s="219">
        <f>'Restating Adj'!E62</f>
        <v>0</v>
      </c>
      <c r="G62" s="218">
        <f>'Restating Adj'!F62</f>
        <v>0</v>
      </c>
      <c r="H62" s="29">
        <f>'Restating Adj'!G62+'Pro Forma Adj'!D62</f>
        <v>0</v>
      </c>
      <c r="I62" s="26">
        <f>'Restating Adj'!H62</f>
        <v>0</v>
      </c>
      <c r="J62" s="28">
        <f>'Restating Adj'!I62</f>
        <v>0</v>
      </c>
      <c r="K62" s="28">
        <f>'Pro Forma Adj'!E62</f>
        <v>0</v>
      </c>
      <c r="L62" s="28">
        <f>'Pro Forma Adj'!F62</f>
        <v>0</v>
      </c>
      <c r="M62" s="219">
        <f>'Restating Adj'!J62</f>
        <v>0</v>
      </c>
      <c r="N62" s="28">
        <f>'Restating Adj'!K62</f>
        <v>0</v>
      </c>
      <c r="O62" s="25">
        <f>'Restating Adj'!L62</f>
        <v>0</v>
      </c>
      <c r="P62" s="29">
        <f>'Pro Forma Adj'!G62</f>
        <v>0</v>
      </c>
      <c r="Q62" s="26">
        <f>'Restating Adj'!M62</f>
        <v>0</v>
      </c>
      <c r="R62" s="219">
        <f>'Pro Forma Adj'!H62</f>
        <v>0</v>
      </c>
      <c r="S62" s="28">
        <f>'Restating Adj'!N62</f>
        <v>0</v>
      </c>
      <c r="T62" s="28">
        <f>'Restating Adj'!O62</f>
        <v>0</v>
      </c>
      <c r="U62" s="28">
        <f>'Pro Forma Adj'!I62</f>
        <v>0</v>
      </c>
      <c r="V62" s="30">
        <f>'Restating Adj'!P62</f>
        <v>0</v>
      </c>
      <c r="W62" s="77">
        <f>'Restating Adj'!Q62+'Pro Forma Adj'!J62</f>
        <v>0</v>
      </c>
      <c r="X62" s="237">
        <f>'Restating Adj'!R62+'Pro Forma Adj'!K62</f>
        <v>0</v>
      </c>
      <c r="Y62" s="28">
        <f>'Restating Adj'!S62</f>
        <v>0</v>
      </c>
      <c r="Z62" s="28">
        <f>'Pro Forma Adj'!L62</f>
        <v>0</v>
      </c>
      <c r="AA62" s="28">
        <f>'Restating Adj'!T62</f>
        <v>0</v>
      </c>
      <c r="AB62" s="28">
        <f>'Restating Adj'!U62</f>
        <v>0</v>
      </c>
      <c r="AC62" s="28">
        <f>'Restating Adj'!V62</f>
        <v>0</v>
      </c>
      <c r="AD62" s="28">
        <f>'Pro Forma Adj'!M62</f>
        <v>0</v>
      </c>
      <c r="AE62" s="28">
        <f>'Restating Adj'!W62</f>
        <v>0</v>
      </c>
      <c r="AF62" s="28">
        <f>'Restating Adj'!X62</f>
        <v>0</v>
      </c>
      <c r="AG62" s="28">
        <f>'Restating Adj'!Y62</f>
        <v>0</v>
      </c>
      <c r="AH62" s="28">
        <f>'Restating Adj'!Z62</f>
        <v>0</v>
      </c>
      <c r="AI62" s="29">
        <f>'Pro Forma Adj'!N62</f>
        <v>0</v>
      </c>
      <c r="AJ62" s="237">
        <f>'Restating Adj'!AA62+'Pro Forma Adj'!O62</f>
        <v>0</v>
      </c>
      <c r="AK62" s="25">
        <f>'Restating Adj'!AB62</f>
        <v>0</v>
      </c>
      <c r="AL62" s="25">
        <f>'Restating Adj'!AC62</f>
        <v>0</v>
      </c>
      <c r="AM62" s="28">
        <f>'Restating Adj'!AD62</f>
        <v>0</v>
      </c>
      <c r="AN62" s="25">
        <f>'Restating Adj'!AE62</f>
        <v>0</v>
      </c>
      <c r="AO62" s="17">
        <f>'Restating Adj'!AF62</f>
        <v>0</v>
      </c>
      <c r="AP62" s="25">
        <f>'Restating Adj'!AG62</f>
        <v>0</v>
      </c>
      <c r="AQ62" s="28">
        <f>'Pro Forma Adj'!P62</f>
        <v>0</v>
      </c>
      <c r="AR62" s="28">
        <f>'Restating Adj'!AH62</f>
        <v>0</v>
      </c>
      <c r="AS62" s="28">
        <f>'Restating Adj'!AI62</f>
        <v>-2980495.6783333328</v>
      </c>
      <c r="AT62" s="30">
        <f>'Pro Forma Adj'!Q62</f>
        <v>0</v>
      </c>
      <c r="AU62" s="237">
        <f>'Pro Forma Adj'!R62</f>
        <v>0</v>
      </c>
      <c r="AV62" s="262">
        <f>'Pro Forma Adj'!S62</f>
        <v>0</v>
      </c>
      <c r="AW62" s="138">
        <f>'Restating Adj'!AJ62</f>
        <v>0</v>
      </c>
      <c r="AX62" s="25">
        <f>'Restating Adj'!AK62</f>
        <v>0</v>
      </c>
      <c r="AY62" s="25">
        <f>'Restating Adj'!AL62</f>
        <v>0</v>
      </c>
      <c r="AZ62" s="28">
        <f>'Restating Adj'!AM62</f>
        <v>0</v>
      </c>
      <c r="BA62" s="25">
        <f>'Restating Adj'!AN62+'Pro Forma Adj'!T62</f>
        <v>0</v>
      </c>
      <c r="BB62" s="25">
        <f>'Pro Forma Adj'!U62</f>
        <v>0</v>
      </c>
      <c r="BC62" s="25">
        <f>'Pro Forma Adj'!V62</f>
        <v>0</v>
      </c>
      <c r="BD62" s="25">
        <f>'Pro Forma Adj'!W62</f>
        <v>0</v>
      </c>
      <c r="BE62" s="17">
        <f>'Restating Adj'!AO62+'Pro Forma Adj'!X62</f>
        <v>0</v>
      </c>
      <c r="BF62" s="30">
        <f>'Restating Adj'!AP62+'Pro Forma Adj'!Y62</f>
        <v>0</v>
      </c>
      <c r="BI62" s="301">
        <f>B62-(Summary!D59+Summary!H59)</f>
        <v>0</v>
      </c>
    </row>
    <row r="63" spans="1:61">
      <c r="A63" s="61" t="s">
        <v>113</v>
      </c>
      <c r="B63" s="80">
        <f t="shared" si="57"/>
        <v>-2782869.795618529</v>
      </c>
      <c r="C63" s="26">
        <f>'Restating Adj'!C63</f>
        <v>0</v>
      </c>
      <c r="D63" s="28">
        <f>'Restating Adj'!D63</f>
        <v>0</v>
      </c>
      <c r="E63" s="28">
        <f>'Pro Forma Adj'!C63</f>
        <v>0</v>
      </c>
      <c r="F63" s="219">
        <f>'Restating Adj'!E63</f>
        <v>0</v>
      </c>
      <c r="G63" s="218">
        <f>'Restating Adj'!F63</f>
        <v>0</v>
      </c>
      <c r="H63" s="29">
        <f>'Restating Adj'!G63+'Pro Forma Adj'!D63</f>
        <v>0</v>
      </c>
      <c r="I63" s="26">
        <f>'Restating Adj'!H63</f>
        <v>0</v>
      </c>
      <c r="J63" s="28">
        <f>'Restating Adj'!I63</f>
        <v>0</v>
      </c>
      <c r="K63" s="28">
        <f>'Pro Forma Adj'!E63</f>
        <v>0</v>
      </c>
      <c r="L63" s="28">
        <f>'Pro Forma Adj'!F63</f>
        <v>0</v>
      </c>
      <c r="M63" s="219">
        <f>'Restating Adj'!J63</f>
        <v>0</v>
      </c>
      <c r="N63" s="28">
        <f>'Restating Adj'!K63</f>
        <v>0</v>
      </c>
      <c r="O63" s="25">
        <f>'Restating Adj'!L63</f>
        <v>0</v>
      </c>
      <c r="P63" s="29">
        <f>'Pro Forma Adj'!G63</f>
        <v>0</v>
      </c>
      <c r="Q63" s="26">
        <f>'Restating Adj'!M63</f>
        <v>0</v>
      </c>
      <c r="R63" s="219">
        <f>'Pro Forma Adj'!H63</f>
        <v>0</v>
      </c>
      <c r="S63" s="28">
        <f>'Restating Adj'!N63</f>
        <v>-212582.87396787116</v>
      </c>
      <c r="T63" s="28">
        <f>'Restating Adj'!O63</f>
        <v>0</v>
      </c>
      <c r="U63" s="28">
        <f>'Pro Forma Adj'!I63</f>
        <v>0</v>
      </c>
      <c r="V63" s="30">
        <f>'Restating Adj'!P63</f>
        <v>0</v>
      </c>
      <c r="W63" s="77">
        <f>'Restating Adj'!Q63+'Pro Forma Adj'!J63</f>
        <v>0</v>
      </c>
      <c r="X63" s="237">
        <f>'Restating Adj'!R63+'Pro Forma Adj'!K63</f>
        <v>0</v>
      </c>
      <c r="Y63" s="28">
        <f>'Restating Adj'!S63</f>
        <v>0</v>
      </c>
      <c r="Z63" s="28">
        <f>'Pro Forma Adj'!L63</f>
        <v>0</v>
      </c>
      <c r="AA63" s="28">
        <f>'Restating Adj'!T63</f>
        <v>0</v>
      </c>
      <c r="AB63" s="28">
        <f>'Restating Adj'!U63</f>
        <v>0</v>
      </c>
      <c r="AC63" s="28">
        <f>'Restating Adj'!V63</f>
        <v>0</v>
      </c>
      <c r="AD63" s="28">
        <f>'Pro Forma Adj'!M63</f>
        <v>0</v>
      </c>
      <c r="AE63" s="28">
        <f>'Restating Adj'!W63</f>
        <v>0</v>
      </c>
      <c r="AF63" s="28">
        <f>'Restating Adj'!X63</f>
        <v>0</v>
      </c>
      <c r="AG63" s="28">
        <f>'Restating Adj'!Y63</f>
        <v>0</v>
      </c>
      <c r="AH63" s="28">
        <f>'Restating Adj'!Z63</f>
        <v>0</v>
      </c>
      <c r="AI63" s="29">
        <f>'Pro Forma Adj'!N63</f>
        <v>0</v>
      </c>
      <c r="AJ63" s="237">
        <f>'Restating Adj'!AA63+'Pro Forma Adj'!O63</f>
        <v>0</v>
      </c>
      <c r="AK63" s="25">
        <f>'Restating Adj'!AB63</f>
        <v>0</v>
      </c>
      <c r="AL63" s="25">
        <f>'Restating Adj'!AC63</f>
        <v>0</v>
      </c>
      <c r="AM63" s="28">
        <f>'Restating Adj'!AD63</f>
        <v>0</v>
      </c>
      <c r="AN63" s="25">
        <f>'Restating Adj'!AE63</f>
        <v>0</v>
      </c>
      <c r="AO63" s="17">
        <f>'Restating Adj'!AF63</f>
        <v>0</v>
      </c>
      <c r="AP63" s="25">
        <f>'Restating Adj'!AG63</f>
        <v>0</v>
      </c>
      <c r="AQ63" s="28">
        <f>'Pro Forma Adj'!P63</f>
        <v>0</v>
      </c>
      <c r="AR63" s="28">
        <f>'Restating Adj'!AH63</f>
        <v>1185108.7951282924</v>
      </c>
      <c r="AS63" s="28">
        <f>'Restating Adj'!AI63</f>
        <v>0</v>
      </c>
      <c r="AT63" s="30">
        <f>'Pro Forma Adj'!Q63</f>
        <v>0</v>
      </c>
      <c r="AU63" s="237">
        <f>'Pro Forma Adj'!R63</f>
        <v>0</v>
      </c>
      <c r="AV63" s="262">
        <f>'Pro Forma Adj'!S63</f>
        <v>0</v>
      </c>
      <c r="AW63" s="138">
        <f>'Restating Adj'!AJ63</f>
        <v>-3762045.7344390564</v>
      </c>
      <c r="AX63" s="25">
        <f>'Restating Adj'!AK63</f>
        <v>0</v>
      </c>
      <c r="AY63" s="25">
        <f>'Restating Adj'!AL63</f>
        <v>0</v>
      </c>
      <c r="AZ63" s="28">
        <f>'Restating Adj'!AM63</f>
        <v>0</v>
      </c>
      <c r="BA63" s="25">
        <f>'Restating Adj'!AN63+'Pro Forma Adj'!T63</f>
        <v>0</v>
      </c>
      <c r="BB63" s="25">
        <f>'Pro Forma Adj'!U63</f>
        <v>0</v>
      </c>
      <c r="BC63" s="25">
        <f>'Pro Forma Adj'!V63</f>
        <v>0</v>
      </c>
      <c r="BD63" s="25">
        <f>'Pro Forma Adj'!W63</f>
        <v>6650.0176601060666</v>
      </c>
      <c r="BE63" s="17">
        <f>'Restating Adj'!AO63+'Pro Forma Adj'!X63</f>
        <v>0</v>
      </c>
      <c r="BF63" s="30">
        <f>'Restating Adj'!AP63+'Pro Forma Adj'!Y63</f>
        <v>0</v>
      </c>
      <c r="BI63" s="301">
        <f>B63-(Summary!D60+Summary!H60)</f>
        <v>0</v>
      </c>
    </row>
    <row r="64" spans="1:61">
      <c r="A64" s="61"/>
      <c r="B64" s="76">
        <f t="shared" si="57"/>
        <v>0</v>
      </c>
      <c r="C64" s="20">
        <f>'Restating Adj'!C64</f>
        <v>0</v>
      </c>
      <c r="D64" s="17">
        <f>'Restating Adj'!D64</f>
        <v>0</v>
      </c>
      <c r="E64" s="17">
        <f>'Pro Forma Adj'!C64</f>
        <v>0</v>
      </c>
      <c r="F64" s="216">
        <f>'Restating Adj'!E64</f>
        <v>0</v>
      </c>
      <c r="G64" s="216">
        <f>'Restating Adj'!F64</f>
        <v>0</v>
      </c>
      <c r="H64" s="22">
        <f>'Restating Adj'!G64+'Pro Forma Adj'!D64</f>
        <v>0</v>
      </c>
      <c r="I64" s="20">
        <f>'Restating Adj'!H64</f>
        <v>0</v>
      </c>
      <c r="J64" s="17">
        <f>'Restating Adj'!I64</f>
        <v>0</v>
      </c>
      <c r="K64" s="17">
        <f>'Pro Forma Adj'!E64</f>
        <v>0</v>
      </c>
      <c r="L64" s="17">
        <f>'Pro Forma Adj'!F64</f>
        <v>0</v>
      </c>
      <c r="M64" s="216">
        <f>'Restating Adj'!J64</f>
        <v>0</v>
      </c>
      <c r="N64" s="17">
        <f>'Restating Adj'!K64</f>
        <v>0</v>
      </c>
      <c r="O64" s="17">
        <f>'Restating Adj'!L64</f>
        <v>0</v>
      </c>
      <c r="P64" s="22">
        <f>'Pro Forma Adj'!G64</f>
        <v>0</v>
      </c>
      <c r="Q64" s="20">
        <f>'Restating Adj'!M64</f>
        <v>0</v>
      </c>
      <c r="R64" s="216">
        <f>'Pro Forma Adj'!H64</f>
        <v>0</v>
      </c>
      <c r="S64" s="17">
        <f>'Restating Adj'!N64</f>
        <v>0</v>
      </c>
      <c r="T64" s="17">
        <f>'Restating Adj'!O64</f>
        <v>0</v>
      </c>
      <c r="U64" s="17">
        <f>'Pro Forma Adj'!I64</f>
        <v>0</v>
      </c>
      <c r="V64" s="22">
        <f>'Restating Adj'!P64</f>
        <v>0</v>
      </c>
      <c r="W64" s="76">
        <f>'Restating Adj'!Q64+'Pro Forma Adj'!J64</f>
        <v>0</v>
      </c>
      <c r="X64" s="236">
        <f>'Restating Adj'!R64+'Pro Forma Adj'!K64</f>
        <v>0</v>
      </c>
      <c r="Y64" s="17">
        <f>'Restating Adj'!S64</f>
        <v>0</v>
      </c>
      <c r="Z64" s="17">
        <f>'Pro Forma Adj'!L64</f>
        <v>0</v>
      </c>
      <c r="AA64" s="17">
        <f>'Restating Adj'!T64</f>
        <v>0</v>
      </c>
      <c r="AB64" s="17">
        <f>'Restating Adj'!U64</f>
        <v>0</v>
      </c>
      <c r="AC64" s="17">
        <f>'Restating Adj'!V64</f>
        <v>0</v>
      </c>
      <c r="AD64" s="17">
        <f>'Pro Forma Adj'!M64</f>
        <v>0</v>
      </c>
      <c r="AE64" s="17">
        <f>'Restating Adj'!W64</f>
        <v>0</v>
      </c>
      <c r="AF64" s="17">
        <f>'Restating Adj'!X64</f>
        <v>0</v>
      </c>
      <c r="AG64" s="17">
        <f>'Restating Adj'!Y64</f>
        <v>0</v>
      </c>
      <c r="AH64" s="17">
        <f>'Restating Adj'!Z64</f>
        <v>0</v>
      </c>
      <c r="AI64" s="22">
        <f>'Pro Forma Adj'!N64</f>
        <v>0</v>
      </c>
      <c r="AJ64" s="236">
        <f>'Restating Adj'!AA64+'Pro Forma Adj'!O64</f>
        <v>0</v>
      </c>
      <c r="AK64" s="17">
        <f>'Restating Adj'!AB64</f>
        <v>0</v>
      </c>
      <c r="AL64" s="17">
        <f>'Restating Adj'!AC64</f>
        <v>0</v>
      </c>
      <c r="AM64" s="17">
        <f>'Restating Adj'!AD64</f>
        <v>0</v>
      </c>
      <c r="AN64" s="17">
        <f>'Restating Adj'!AE64</f>
        <v>0</v>
      </c>
      <c r="AO64" s="17">
        <f>'Restating Adj'!AF64</f>
        <v>0</v>
      </c>
      <c r="AP64" s="17">
        <f>'Restating Adj'!AG64</f>
        <v>0</v>
      </c>
      <c r="AQ64" s="17">
        <f>'Pro Forma Adj'!P64</f>
        <v>0</v>
      </c>
      <c r="AR64" s="17">
        <f>'Restating Adj'!AH64</f>
        <v>0</v>
      </c>
      <c r="AS64" s="17">
        <f>'Restating Adj'!AI64</f>
        <v>0</v>
      </c>
      <c r="AT64" s="22">
        <f>'Pro Forma Adj'!Q64</f>
        <v>0</v>
      </c>
      <c r="AU64" s="236">
        <f>'Pro Forma Adj'!R64</f>
        <v>0</v>
      </c>
      <c r="AV64" s="261">
        <f>'Pro Forma Adj'!S64</f>
        <v>0</v>
      </c>
      <c r="AW64" s="136">
        <f>'Restating Adj'!AJ64</f>
        <v>0</v>
      </c>
      <c r="AX64" s="17">
        <f>'Restating Adj'!AK64</f>
        <v>0</v>
      </c>
      <c r="AY64" s="17">
        <f>'Restating Adj'!AL64</f>
        <v>0</v>
      </c>
      <c r="AZ64" s="17">
        <f>'Restating Adj'!AM64</f>
        <v>0</v>
      </c>
      <c r="BA64" s="17">
        <f>'Restating Adj'!AN64+'Pro Forma Adj'!T64</f>
        <v>0</v>
      </c>
      <c r="BB64" s="17">
        <f>'Pro Forma Adj'!U64</f>
        <v>0</v>
      </c>
      <c r="BC64" s="17">
        <f>'Pro Forma Adj'!V64</f>
        <v>0</v>
      </c>
      <c r="BD64" s="17">
        <f>'Pro Forma Adj'!W64</f>
        <v>0</v>
      </c>
      <c r="BE64" s="17">
        <f>'Restating Adj'!AO64+'Pro Forma Adj'!X64</f>
        <v>0</v>
      </c>
      <c r="BF64" s="22">
        <f>'Restating Adj'!AP64+'Pro Forma Adj'!Y64</f>
        <v>0</v>
      </c>
      <c r="BI64" s="301">
        <f>B64-(Summary!D61+Summary!H61)</f>
        <v>0</v>
      </c>
    </row>
    <row r="65" spans="1:61">
      <c r="A65" s="61" t="s">
        <v>114</v>
      </c>
      <c r="B65" s="78">
        <f t="shared" si="57"/>
        <v>-25112356.11464195</v>
      </c>
      <c r="C65" s="33">
        <f t="shared" ref="C65:AS65" si="58">SUM(C57:C64)</f>
        <v>0</v>
      </c>
      <c r="D65" s="31">
        <f t="shared" si="58"/>
        <v>2751332</v>
      </c>
      <c r="E65" s="31">
        <f t="shared" ref="E65" si="59">SUM(E57:E64)</f>
        <v>0</v>
      </c>
      <c r="F65" s="220">
        <f t="shared" si="58"/>
        <v>0</v>
      </c>
      <c r="G65" s="220">
        <f t="shared" si="58"/>
        <v>0</v>
      </c>
      <c r="H65" s="34">
        <f t="shared" si="58"/>
        <v>0</v>
      </c>
      <c r="I65" s="33">
        <f t="shared" si="58"/>
        <v>0</v>
      </c>
      <c r="J65" s="31">
        <f t="shared" si="58"/>
        <v>0</v>
      </c>
      <c r="K65" s="31">
        <f t="shared" ref="K65:L65" si="60">SUM(K57:K64)</f>
        <v>0</v>
      </c>
      <c r="L65" s="31">
        <f t="shared" si="60"/>
        <v>0</v>
      </c>
      <c r="M65" s="220">
        <f t="shared" si="58"/>
        <v>0</v>
      </c>
      <c r="N65" s="31">
        <f t="shared" si="58"/>
        <v>472405.91201826412</v>
      </c>
      <c r="O65" s="31">
        <f t="shared" ref="O65:T65" si="61">SUM(O57:O64)</f>
        <v>0</v>
      </c>
      <c r="P65" s="34">
        <f t="shared" ref="P65" si="62">SUM(P57:P64)</f>
        <v>330671.29965366772</v>
      </c>
      <c r="Q65" s="33">
        <f t="shared" si="61"/>
        <v>0</v>
      </c>
      <c r="R65" s="220">
        <f t="shared" ref="R65" si="63">SUM(R57:R64)</f>
        <v>0</v>
      </c>
      <c r="S65" s="31">
        <f t="shared" si="61"/>
        <v>-212582.87396787116</v>
      </c>
      <c r="T65" s="31">
        <f t="shared" si="61"/>
        <v>0</v>
      </c>
      <c r="U65" s="31">
        <f t="shared" ref="U65" si="64">SUM(U57:U64)</f>
        <v>0</v>
      </c>
      <c r="V65" s="34">
        <f t="shared" si="58"/>
        <v>17965797.620484613</v>
      </c>
      <c r="W65" s="78">
        <f t="shared" si="58"/>
        <v>-264083.87465224485</v>
      </c>
      <c r="X65" s="238">
        <f t="shared" si="58"/>
        <v>0</v>
      </c>
      <c r="Y65" s="31">
        <f t="shared" ref="Y65" si="65">SUM(Y57:Y64)</f>
        <v>-5199034.9082336593</v>
      </c>
      <c r="Z65" s="31">
        <f t="shared" ref="Z65" si="66">SUM(Z57:Z64)</f>
        <v>0</v>
      </c>
      <c r="AA65" s="31">
        <f t="shared" si="58"/>
        <v>-510417.13577641395</v>
      </c>
      <c r="AB65" s="31">
        <f t="shared" si="58"/>
        <v>0</v>
      </c>
      <c r="AC65" s="31">
        <f t="shared" si="58"/>
        <v>0</v>
      </c>
      <c r="AD65" s="31">
        <f t="shared" ref="AD65" si="67">SUM(AD57:AD64)</f>
        <v>0</v>
      </c>
      <c r="AE65" s="31">
        <f t="shared" si="58"/>
        <v>1099614</v>
      </c>
      <c r="AF65" s="31">
        <f t="shared" ref="AF65:AG65" si="68">SUM(AF57:AF64)</f>
        <v>-262781</v>
      </c>
      <c r="AG65" s="31">
        <f t="shared" si="68"/>
        <v>0</v>
      </c>
      <c r="AH65" s="31">
        <f t="shared" si="58"/>
        <v>-9873199.076123938</v>
      </c>
      <c r="AI65" s="34">
        <f t="shared" ref="AI65" si="69">SUM(AI57:AI64)</f>
        <v>0</v>
      </c>
      <c r="AJ65" s="238">
        <f t="shared" si="58"/>
        <v>0</v>
      </c>
      <c r="AK65" s="31">
        <f t="shared" si="58"/>
        <v>-23449722.352869298</v>
      </c>
      <c r="AL65" s="31">
        <f t="shared" si="58"/>
        <v>105942.55956519302</v>
      </c>
      <c r="AM65" s="31">
        <f t="shared" si="58"/>
        <v>23142.536575635779</v>
      </c>
      <c r="AN65" s="31">
        <f t="shared" ref="AN65" si="70">SUM(AN57:AN64)</f>
        <v>0</v>
      </c>
      <c r="AO65" s="31">
        <f t="shared" si="58"/>
        <v>1697439.8920278733</v>
      </c>
      <c r="AP65" s="31">
        <f t="shared" si="58"/>
        <v>0</v>
      </c>
      <c r="AQ65" s="31">
        <f t="shared" ref="AQ65" si="71">SUM(AQ57:AQ64)</f>
        <v>386866.05491689674</v>
      </c>
      <c r="AR65" s="31">
        <f t="shared" si="58"/>
        <v>1016834.2860066789</v>
      </c>
      <c r="AS65" s="31">
        <f t="shared" si="58"/>
        <v>-2980495.6783333328</v>
      </c>
      <c r="AT65" s="34">
        <f t="shared" ref="AT65" si="72">SUM(AT57:AT64)</f>
        <v>-6261915</v>
      </c>
      <c r="AU65" s="238">
        <f t="shared" ref="AU65:AV65" si="73">SUM(AU57:AU64)</f>
        <v>0</v>
      </c>
      <c r="AV65" s="263">
        <f t="shared" si="73"/>
        <v>0</v>
      </c>
      <c r="AW65" s="139">
        <f t="shared" ref="AW65:BF65" si="74">SUM(AW57:AW64)</f>
        <v>-2334188.2834094297</v>
      </c>
      <c r="AX65" s="31">
        <f t="shared" si="74"/>
        <v>0</v>
      </c>
      <c r="AY65" s="31">
        <f t="shared" si="74"/>
        <v>0</v>
      </c>
      <c r="AZ65" s="31">
        <f t="shared" si="74"/>
        <v>0</v>
      </c>
      <c r="BA65" s="31">
        <f t="shared" si="74"/>
        <v>0</v>
      </c>
      <c r="BB65" s="31">
        <f t="shared" ref="BB65:BD65" si="75">SUM(BB57:BB64)</f>
        <v>0</v>
      </c>
      <c r="BC65" s="31">
        <f t="shared" si="75"/>
        <v>337916.75424200855</v>
      </c>
      <c r="BD65" s="31">
        <f t="shared" si="75"/>
        <v>48101.15323340008</v>
      </c>
      <c r="BE65" s="31">
        <f t="shared" si="74"/>
        <v>0</v>
      </c>
      <c r="BF65" s="34">
        <f t="shared" si="74"/>
        <v>0</v>
      </c>
      <c r="BI65" s="301">
        <f>B65-(Summary!D62+Summary!H62)</f>
        <v>0</v>
      </c>
    </row>
    <row r="66" spans="1:61">
      <c r="A66" s="61"/>
      <c r="B66" s="76"/>
      <c r="C66" s="20"/>
      <c r="D66" s="17"/>
      <c r="E66" s="17"/>
      <c r="F66" s="216"/>
      <c r="G66" s="216"/>
      <c r="H66" s="22"/>
      <c r="I66" s="20"/>
      <c r="J66" s="17"/>
      <c r="K66" s="17"/>
      <c r="L66" s="17"/>
      <c r="M66" s="216"/>
      <c r="N66" s="17"/>
      <c r="O66" s="17"/>
      <c r="P66" s="22"/>
      <c r="Q66" s="20"/>
      <c r="R66" s="216"/>
      <c r="S66" s="17"/>
      <c r="T66" s="17"/>
      <c r="U66" s="17"/>
      <c r="V66" s="22"/>
      <c r="W66" s="76"/>
      <c r="X66" s="236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22"/>
      <c r="AJ66" s="236"/>
      <c r="AK66" s="17"/>
      <c r="AL66" s="17"/>
      <c r="AM66" s="17"/>
      <c r="AN66" s="17"/>
      <c r="AO66" s="17"/>
      <c r="AP66" s="17"/>
      <c r="AQ66" s="17"/>
      <c r="AR66" s="17"/>
      <c r="AS66" s="17"/>
      <c r="AT66" s="22"/>
      <c r="AU66" s="236"/>
      <c r="AV66" s="261"/>
      <c r="AW66" s="136"/>
      <c r="AX66" s="17"/>
      <c r="AY66" s="17"/>
      <c r="AZ66" s="17"/>
      <c r="BA66" s="17"/>
      <c r="BB66" s="17"/>
      <c r="BC66" s="17"/>
      <c r="BD66" s="17"/>
      <c r="BE66" s="17"/>
      <c r="BF66" s="22"/>
      <c r="BI66" s="301">
        <f>B66-(Summary!D63+Summary!H63)</f>
        <v>0</v>
      </c>
    </row>
    <row r="67" spans="1:61" ht="13.5" thickBot="1">
      <c r="A67" s="61" t="s">
        <v>115</v>
      </c>
      <c r="B67" s="83">
        <f>SUM(C67:BF67)</f>
        <v>23699997.641378108</v>
      </c>
      <c r="C67" s="49">
        <f t="shared" ref="C67:BF67" si="76">C54+C65</f>
        <v>0</v>
      </c>
      <c r="D67" s="48">
        <f t="shared" si="76"/>
        <v>2751332</v>
      </c>
      <c r="E67" s="100">
        <f>E54+E65</f>
        <v>0</v>
      </c>
      <c r="F67" s="225">
        <f t="shared" si="76"/>
        <v>0</v>
      </c>
      <c r="G67" s="225">
        <f t="shared" si="76"/>
        <v>0</v>
      </c>
      <c r="H67" s="50">
        <f t="shared" si="76"/>
        <v>0</v>
      </c>
      <c r="I67" s="49">
        <f t="shared" si="76"/>
        <v>0</v>
      </c>
      <c r="J67" s="48">
        <f t="shared" si="76"/>
        <v>0</v>
      </c>
      <c r="K67" s="100">
        <f t="shared" si="76"/>
        <v>0</v>
      </c>
      <c r="L67" s="100">
        <f t="shared" si="76"/>
        <v>0</v>
      </c>
      <c r="M67" s="225">
        <f t="shared" si="76"/>
        <v>0</v>
      </c>
      <c r="N67" s="48">
        <f t="shared" si="76"/>
        <v>472405.91201826412</v>
      </c>
      <c r="O67" s="48">
        <f t="shared" si="76"/>
        <v>0</v>
      </c>
      <c r="P67" s="102">
        <f t="shared" si="76"/>
        <v>-306375.9820129982</v>
      </c>
      <c r="Q67" s="49">
        <f t="shared" si="76"/>
        <v>0</v>
      </c>
      <c r="R67" s="298">
        <f t="shared" si="76"/>
        <v>0</v>
      </c>
      <c r="S67" s="48">
        <f t="shared" si="76"/>
        <v>-212582.87396787116</v>
      </c>
      <c r="T67" s="48">
        <f t="shared" si="76"/>
        <v>0</v>
      </c>
      <c r="U67" s="100">
        <f t="shared" si="76"/>
        <v>0</v>
      </c>
      <c r="V67" s="50">
        <f t="shared" si="76"/>
        <v>-8160130.3493880853</v>
      </c>
      <c r="W67" s="83">
        <f t="shared" si="76"/>
        <v>-264083.87465224485</v>
      </c>
      <c r="X67" s="243">
        <f t="shared" si="76"/>
        <v>0</v>
      </c>
      <c r="Y67" s="48">
        <f t="shared" si="76"/>
        <v>-5199034.9082336593</v>
      </c>
      <c r="Z67" s="100">
        <f t="shared" si="76"/>
        <v>0</v>
      </c>
      <c r="AA67" s="48">
        <f t="shared" si="76"/>
        <v>-510417.13577641395</v>
      </c>
      <c r="AB67" s="48">
        <f t="shared" si="76"/>
        <v>0</v>
      </c>
      <c r="AC67" s="48">
        <f t="shared" si="76"/>
        <v>0</v>
      </c>
      <c r="AD67" s="100">
        <f t="shared" si="76"/>
        <v>0</v>
      </c>
      <c r="AE67" s="48">
        <f t="shared" si="76"/>
        <v>1099614</v>
      </c>
      <c r="AF67" s="48">
        <f t="shared" si="76"/>
        <v>-262781</v>
      </c>
      <c r="AG67" s="48">
        <f t="shared" si="76"/>
        <v>0</v>
      </c>
      <c r="AH67" s="48">
        <f t="shared" si="76"/>
        <v>-9873199.076123938</v>
      </c>
      <c r="AI67" s="102">
        <f t="shared" si="76"/>
        <v>0</v>
      </c>
      <c r="AJ67" s="243">
        <f t="shared" si="76"/>
        <v>0</v>
      </c>
      <c r="AK67" s="48">
        <f t="shared" si="76"/>
        <v>34717942.455849752</v>
      </c>
      <c r="AL67" s="48">
        <f t="shared" si="76"/>
        <v>261508.8034731535</v>
      </c>
      <c r="AM67" s="48">
        <f t="shared" si="76"/>
        <v>23142.536575635779</v>
      </c>
      <c r="AN67" s="48">
        <f t="shared" si="76"/>
        <v>-7864274.867827571</v>
      </c>
      <c r="AO67" s="48">
        <f t="shared" si="76"/>
        <v>1697439.8920278733</v>
      </c>
      <c r="AP67" s="48">
        <f t="shared" si="76"/>
        <v>-441006.12659999984</v>
      </c>
      <c r="AQ67" s="100">
        <f t="shared" si="76"/>
        <v>462824.43519392709</v>
      </c>
      <c r="AR67" s="48">
        <f t="shared" si="76"/>
        <v>748257.67764485441</v>
      </c>
      <c r="AS67" s="48">
        <f t="shared" si="76"/>
        <v>-2980495.6783333328</v>
      </c>
      <c r="AT67" s="102">
        <f t="shared" si="76"/>
        <v>9488085</v>
      </c>
      <c r="AU67" s="256">
        <f t="shared" si="76"/>
        <v>0</v>
      </c>
      <c r="AV67" s="267">
        <f t="shared" si="76"/>
        <v>0</v>
      </c>
      <c r="AW67" s="143">
        <f t="shared" si="76"/>
        <v>-2334188.2834094297</v>
      </c>
      <c r="AX67" s="48">
        <f t="shared" si="76"/>
        <v>0</v>
      </c>
      <c r="AY67" s="48">
        <f t="shared" si="76"/>
        <v>0</v>
      </c>
      <c r="AZ67" s="48">
        <f t="shared" si="76"/>
        <v>0</v>
      </c>
      <c r="BA67" s="48">
        <f t="shared" si="76"/>
        <v>0</v>
      </c>
      <c r="BB67" s="48">
        <f t="shared" si="76"/>
        <v>0</v>
      </c>
      <c r="BC67" s="48">
        <f t="shared" si="76"/>
        <v>-729159.52191333589</v>
      </c>
      <c r="BD67" s="48">
        <f t="shared" si="76"/>
        <v>-54719.499552415509</v>
      </c>
      <c r="BE67" s="48">
        <f t="shared" si="76"/>
        <v>11169894.106385941</v>
      </c>
      <c r="BF67" s="50">
        <f t="shared" si="76"/>
        <v>0</v>
      </c>
      <c r="BI67" s="301">
        <f>B67-(Summary!D64+Summary!H64)</f>
        <v>0</v>
      </c>
    </row>
    <row r="68" spans="1:61" ht="13.5" thickTop="1">
      <c r="A68" s="61"/>
      <c r="B68" s="76"/>
      <c r="C68" s="20"/>
      <c r="D68" s="17"/>
      <c r="E68" s="17"/>
      <c r="F68" s="216"/>
      <c r="G68" s="216"/>
      <c r="H68" s="22"/>
      <c r="I68" s="20"/>
      <c r="J68" s="17"/>
      <c r="K68" s="17"/>
      <c r="L68" s="17"/>
      <c r="M68" s="216"/>
      <c r="N68" s="17"/>
      <c r="O68" s="17"/>
      <c r="P68" s="22"/>
      <c r="Q68" s="20"/>
      <c r="R68" s="216"/>
      <c r="S68" s="17"/>
      <c r="T68" s="17"/>
      <c r="U68" s="17"/>
      <c r="V68" s="22"/>
      <c r="W68" s="76"/>
      <c r="X68" s="236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22"/>
      <c r="AJ68" s="236"/>
      <c r="AK68" s="17"/>
      <c r="AL68" s="17"/>
      <c r="AM68" s="17"/>
      <c r="AN68" s="17"/>
      <c r="AO68" s="17"/>
      <c r="AP68" s="17"/>
      <c r="AQ68" s="17"/>
      <c r="AR68" s="17"/>
      <c r="AS68" s="17"/>
      <c r="AT68" s="22"/>
      <c r="AU68" s="236"/>
      <c r="AV68" s="261"/>
      <c r="AW68" s="136"/>
      <c r="AX68" s="17"/>
      <c r="AY68" s="17"/>
      <c r="AZ68" s="17"/>
      <c r="BA68" s="17"/>
      <c r="BB68" s="17"/>
      <c r="BC68" s="17"/>
      <c r="BD68" s="17"/>
      <c r="BE68" s="17"/>
      <c r="BF68" s="22"/>
      <c r="BI68" s="301">
        <f>B68-(Summary!D65+Summary!H65)</f>
        <v>0</v>
      </c>
    </row>
    <row r="69" spans="1:61">
      <c r="A69" s="61"/>
      <c r="B69" s="76"/>
      <c r="C69" s="20"/>
      <c r="D69" s="17"/>
      <c r="E69" s="17"/>
      <c r="F69" s="216"/>
      <c r="G69" s="216"/>
      <c r="H69" s="22"/>
      <c r="I69" s="20"/>
      <c r="J69" s="17"/>
      <c r="K69" s="17"/>
      <c r="L69" s="17"/>
      <c r="M69" s="216"/>
      <c r="N69" s="17"/>
      <c r="O69" s="17"/>
      <c r="P69" s="22"/>
      <c r="Q69" s="20"/>
      <c r="R69" s="216"/>
      <c r="S69" s="17"/>
      <c r="T69" s="17"/>
      <c r="U69" s="17"/>
      <c r="V69" s="22"/>
      <c r="W69" s="76"/>
      <c r="X69" s="236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22"/>
      <c r="AJ69" s="236"/>
      <c r="AK69" s="17"/>
      <c r="AL69" s="17"/>
      <c r="AM69" s="17"/>
      <c r="AN69" s="17"/>
      <c r="AO69" s="17"/>
      <c r="AP69" s="17"/>
      <c r="AQ69" s="17"/>
      <c r="AR69" s="17"/>
      <c r="AS69" s="17"/>
      <c r="AT69" s="22"/>
      <c r="AU69" s="236"/>
      <c r="AV69" s="261"/>
      <c r="AW69" s="136"/>
      <c r="AX69" s="17"/>
      <c r="AY69" s="17"/>
      <c r="AZ69" s="17"/>
      <c r="BA69" s="17"/>
      <c r="BB69" s="17"/>
      <c r="BC69" s="17"/>
      <c r="BD69" s="17"/>
      <c r="BE69" s="17"/>
      <c r="BF69" s="22"/>
      <c r="BI69" s="301">
        <f>B69-(Summary!D66+Summary!H66)</f>
        <v>1.6915668341359442E-2</v>
      </c>
    </row>
    <row r="70" spans="1:61" s="67" customFormat="1">
      <c r="A70" s="61" t="s">
        <v>219</v>
      </c>
      <c r="B70" s="123">
        <f t="shared" ref="B70:BF70" si="77">(((B40+Unadj_Op_revenue)/(B67+Unadj_rate_base))-Weighted_cost_debt-Weighted_cost_pref)/Percent_common-Unadj_ROE</f>
        <v>-3.2467693553472794E-2</v>
      </c>
      <c r="C70" s="121">
        <f t="shared" si="77"/>
        <v>-1.1131849302527218E-2</v>
      </c>
      <c r="D70" s="120">
        <f t="shared" si="77"/>
        <v>-6.0899939575821682E-4</v>
      </c>
      <c r="E70" s="119">
        <f t="shared" ref="E70" si="78">(((E40+Restated_Op_revenue)/(E67+Restated_rate_base))-Weighted_cost_debt-Weighted_cost_pref)/Percent_common-Restated_ROE</f>
        <v>2.019620349530743E-2</v>
      </c>
      <c r="F70" s="226">
        <f t="shared" si="77"/>
        <v>0</v>
      </c>
      <c r="G70" s="226">
        <f t="shared" si="77"/>
        <v>0</v>
      </c>
      <c r="H70" s="122">
        <f t="shared" si="77"/>
        <v>1.5438400033661315E-4</v>
      </c>
      <c r="I70" s="121">
        <f t="shared" si="77"/>
        <v>7.3514794802442829E-5</v>
      </c>
      <c r="J70" s="120">
        <f t="shared" si="77"/>
        <v>-4.8023797780988309E-5</v>
      </c>
      <c r="K70" s="119">
        <f t="shared" ref="K70:L70" si="79">(((K40+Restated_Op_revenue)/(K67+Restated_rate_base))-Weighted_cost_debt-Weighted_cost_pref)/Percent_common-Restated_ROE</f>
        <v>-6.0886628238901452E-4</v>
      </c>
      <c r="L70" s="119">
        <f t="shared" si="79"/>
        <v>1.1896591839198264E-3</v>
      </c>
      <c r="M70" s="226">
        <f t="shared" si="77"/>
        <v>0</v>
      </c>
      <c r="N70" s="120">
        <f t="shared" si="77"/>
        <v>8.0919638028449509E-3</v>
      </c>
      <c r="O70" s="120">
        <f t="shared" si="77"/>
        <v>3.2647337254997078E-4</v>
      </c>
      <c r="P70" s="125">
        <f t="shared" ref="P70" si="80">(((P40+Restated_Op_revenue)/(P67+Restated_rate_base))-Weighted_cost_debt-Weighted_cost_pref)/Percent_common-Restated_ROE</f>
        <v>1.0355705511529145E-3</v>
      </c>
      <c r="Q70" s="121">
        <f t="shared" si="77"/>
        <v>1.8264188643311252E-2</v>
      </c>
      <c r="R70" s="226">
        <f t="shared" ref="R70" si="81">(((R40+Restated_Op_revenue)/(R67+Restated_rate_base))-Weighted_cost_debt-Weighted_cost_pref)/Percent_common-Restated_ROE</f>
        <v>0</v>
      </c>
      <c r="S70" s="120">
        <f t="shared" si="77"/>
        <v>-2.1949511710442349E-4</v>
      </c>
      <c r="T70" s="120">
        <f t="shared" si="77"/>
        <v>-1.3324658810226736E-2</v>
      </c>
      <c r="U70" s="119">
        <f t="shared" ref="U70" si="82">(((U40+Restated_Op_revenue)/(U67+Restated_rate_base))-Weighted_cost_debt-Weighted_cost_pref)/Percent_common-Restated_ROE</f>
        <v>1.9192331134334703E-3</v>
      </c>
      <c r="V70" s="122">
        <f t="shared" si="77"/>
        <v>2.0067484686028675E-3</v>
      </c>
      <c r="W70" s="123">
        <f t="shared" si="77"/>
        <v>4.1520585523632803E-5</v>
      </c>
      <c r="X70" s="244">
        <f t="shared" si="77"/>
        <v>0</v>
      </c>
      <c r="Y70" s="120">
        <f t="shared" si="77"/>
        <v>8.2282417315605871E-4</v>
      </c>
      <c r="Z70" s="119">
        <f t="shared" ref="Z70" si="83">(((Z40+Restated_Op_revenue)/(Z67+Restated_rate_base))-Weighted_cost_debt-Weighted_cost_pref)/Percent_common-Restated_ROE</f>
        <v>1.412670919338177E-2</v>
      </c>
      <c r="AA70" s="120">
        <f t="shared" si="77"/>
        <v>8.2582051627630437E-4</v>
      </c>
      <c r="AB70" s="120">
        <f t="shared" si="77"/>
        <v>-1.4133144257239619E-2</v>
      </c>
      <c r="AC70" s="120">
        <f t="shared" si="77"/>
        <v>1.9401949027818277E-4</v>
      </c>
      <c r="AD70" s="119">
        <f t="shared" ref="AD70" si="84">(((AD40+Restated_Op_revenue)/(AD67+Restated_rate_base))-Weighted_cost_debt-Weighted_cost_pref)/Percent_common-Restated_ROE</f>
        <v>6.4546272127925103E-4</v>
      </c>
      <c r="AE70" s="120">
        <f t="shared" si="77"/>
        <v>5.4369544618077664E-3</v>
      </c>
      <c r="AF70" s="120">
        <f t="shared" si="77"/>
        <v>-1.3016565127590002E-3</v>
      </c>
      <c r="AG70" s="120">
        <f t="shared" si="77"/>
        <v>-4.354362362333497E-4</v>
      </c>
      <c r="AH70" s="120">
        <f t="shared" si="77"/>
        <v>1.5724294060810856E-3</v>
      </c>
      <c r="AI70" s="125">
        <f t="shared" ref="AI70" si="85">(((AI40+Restated_Op_revenue)/(AI67+Restated_rate_base))-Weighted_cost_debt-Weighted_cost_pref)/Percent_common-Restated_ROE</f>
        <v>5.2514911359338723E-5</v>
      </c>
      <c r="AJ70" s="244">
        <f t="shared" si="77"/>
        <v>0</v>
      </c>
      <c r="AK70" s="120">
        <f t="shared" si="77"/>
        <v>-5.2156252819073393E-3</v>
      </c>
      <c r="AL70" s="120">
        <f t="shared" si="77"/>
        <v>-1.3569495251591901E-4</v>
      </c>
      <c r="AM70" s="120">
        <f t="shared" si="77"/>
        <v>-3.6371943421265041E-6</v>
      </c>
      <c r="AN70" s="120">
        <f t="shared" si="77"/>
        <v>1.2490992837847076E-3</v>
      </c>
      <c r="AO70" s="120">
        <f t="shared" si="77"/>
        <v>-2.3089401124271047E-4</v>
      </c>
      <c r="AP70" s="120">
        <f t="shared" si="77"/>
        <v>1.1533581428649353E-4</v>
      </c>
      <c r="AQ70" s="119">
        <f t="shared" ref="AQ70" si="86">(((AQ40+Restated_Op_revenue)/(AQ67+Restated_rate_base))-Weighted_cost_debt-Weighted_cost_pref)/Percent_common-Restated_ROE</f>
        <v>2.1279231758516287E-4</v>
      </c>
      <c r="AR70" s="120">
        <f t="shared" si="77"/>
        <v>1.3759452187354915E-4</v>
      </c>
      <c r="AS70" s="120">
        <f t="shared" si="77"/>
        <v>4.1362371613809512E-4</v>
      </c>
      <c r="AT70" s="125">
        <f t="shared" ref="AT70" si="87">(((AT40+Restated_Op_revenue)/(AT67+Restated_rate_base))-Weighted_cost_debt-Weighted_cost_pref)/Percent_common-Restated_ROE</f>
        <v>-5.8380181349617435E-3</v>
      </c>
      <c r="AU70" s="244">
        <f t="shared" ref="AU70:AV70" si="88">(((AU40+Restated_Op_revenue)/(AU67+Restated_rate_base))-Weighted_cost_debt-Weighted_cost_pref)/Percent_common-Restated_ROE</f>
        <v>0</v>
      </c>
      <c r="AV70" s="268">
        <f t="shared" si="88"/>
        <v>0</v>
      </c>
      <c r="AW70" s="121">
        <f t="shared" si="77"/>
        <v>1.2188112548242869E-3</v>
      </c>
      <c r="AX70" s="120">
        <f t="shared" si="77"/>
        <v>2.8172302681295225E-4</v>
      </c>
      <c r="AY70" s="120">
        <f t="shared" si="77"/>
        <v>1.527786724604685E-4</v>
      </c>
      <c r="AZ70" s="120">
        <f t="shared" si="77"/>
        <v>3.0098008324541681E-6</v>
      </c>
      <c r="BA70" s="120">
        <f t="shared" si="77"/>
        <v>9.5048851924231514E-4</v>
      </c>
      <c r="BB70" s="120">
        <f t="shared" si="77"/>
        <v>-5.7731386924769847E-2</v>
      </c>
      <c r="BC70" s="120">
        <f t="shared" si="77"/>
        <v>2.4410619193880601E-4</v>
      </c>
      <c r="BD70" s="120">
        <f t="shared" si="77"/>
        <v>3.5906283906698977E-4</v>
      </c>
      <c r="BE70" s="120">
        <f t="shared" si="77"/>
        <v>-1.7298542540661113E-3</v>
      </c>
      <c r="BF70" s="122">
        <f t="shared" si="77"/>
        <v>-3.1337522792843076E-3</v>
      </c>
      <c r="BI70" s="301">
        <f>B70-(Summary!D67+Summary!H67)</f>
        <v>2.2898349882893854E-16</v>
      </c>
    </row>
    <row r="71" spans="1:61" s="67" customFormat="1">
      <c r="A71" s="61" t="s">
        <v>62</v>
      </c>
      <c r="B71" s="131">
        <f>SUM(C71:BF71)</f>
        <v>21987614.091414347</v>
      </c>
      <c r="C71" s="55">
        <f t="shared" ref="C71:BF71" si="89">-(C40-(C67*Overall_ROR))/gross_up_factor</f>
        <v>7030213.959153383</v>
      </c>
      <c r="D71" s="53">
        <f t="shared" si="89"/>
        <v>483091.63596178865</v>
      </c>
      <c r="E71" s="17">
        <f t="shared" si="89"/>
        <v>-13004776.44302123</v>
      </c>
      <c r="F71" s="227">
        <f t="shared" si="89"/>
        <v>0</v>
      </c>
      <c r="G71" s="227">
        <f t="shared" si="89"/>
        <v>0</v>
      </c>
      <c r="H71" s="56">
        <f t="shared" si="89"/>
        <v>-97499.752713147536</v>
      </c>
      <c r="I71" s="55">
        <f t="shared" si="89"/>
        <v>-46427.572147146006</v>
      </c>
      <c r="J71" s="53">
        <f t="shared" si="89"/>
        <v>30328.974490774675</v>
      </c>
      <c r="K71" s="17">
        <f t="shared" si="89"/>
        <v>392062.29467841587</v>
      </c>
      <c r="L71" s="17">
        <f t="shared" si="89"/>
        <v>-766047.52640065202</v>
      </c>
      <c r="M71" s="227">
        <f t="shared" si="89"/>
        <v>0</v>
      </c>
      <c r="N71" s="53">
        <f t="shared" si="89"/>
        <v>-5096948.0382828731</v>
      </c>
      <c r="O71" s="53">
        <f t="shared" si="89"/>
        <v>-206181.16528685074</v>
      </c>
      <c r="P71" s="22">
        <f t="shared" si="89"/>
        <v>-681856.41923157114</v>
      </c>
      <c r="Q71" s="55">
        <f t="shared" si="89"/>
        <v>-11534575.295020124</v>
      </c>
      <c r="R71" s="216">
        <f t="shared" si="89"/>
        <v>0</v>
      </c>
      <c r="S71" s="53">
        <f t="shared" si="89"/>
        <v>131080.25851868655</v>
      </c>
      <c r="T71" s="53">
        <f t="shared" si="89"/>
        <v>8415062.0281344783</v>
      </c>
      <c r="U71" s="17">
        <f t="shared" si="89"/>
        <v>-1235836.1108831805</v>
      </c>
      <c r="V71" s="56">
        <f t="shared" si="89"/>
        <v>-1541494.5509187784</v>
      </c>
      <c r="W71" s="76">
        <f t="shared" si="89"/>
        <v>-35530.4174130432</v>
      </c>
      <c r="X71" s="245">
        <f t="shared" si="89"/>
        <v>0</v>
      </c>
      <c r="Y71" s="53">
        <f t="shared" si="89"/>
        <v>-699489.43561122671</v>
      </c>
      <c r="Z71" s="17">
        <f t="shared" si="89"/>
        <v>-9096496.5261014886</v>
      </c>
      <c r="AA71" s="53">
        <f t="shared" si="89"/>
        <v>-539193.95230767201</v>
      </c>
      <c r="AB71" s="53">
        <f t="shared" si="89"/>
        <v>8925653.3522617277</v>
      </c>
      <c r="AC71" s="53">
        <f t="shared" si="89"/>
        <v>-122531.17086232291</v>
      </c>
      <c r="AD71" s="17">
        <f t="shared" si="89"/>
        <v>-415627.54081435117</v>
      </c>
      <c r="AE71" s="53">
        <f t="shared" si="89"/>
        <v>-3399884.1588694588</v>
      </c>
      <c r="AF71" s="53">
        <f t="shared" si="89"/>
        <v>812489.61831322196</v>
      </c>
      <c r="AG71" s="53">
        <f t="shared" si="89"/>
        <v>274995.62948574225</v>
      </c>
      <c r="AH71" s="53">
        <f t="shared" si="89"/>
        <v>-1328361.6231346978</v>
      </c>
      <c r="AI71" s="22">
        <f t="shared" si="89"/>
        <v>-33815.498160934389</v>
      </c>
      <c r="AJ71" s="245">
        <f t="shared" si="89"/>
        <v>0</v>
      </c>
      <c r="AK71" s="53">
        <f t="shared" si="89"/>
        <v>4671027.2969250008</v>
      </c>
      <c r="AL71" s="53">
        <f t="shared" si="89"/>
        <v>94953.530942363694</v>
      </c>
      <c r="AM71" s="53">
        <f t="shared" si="89"/>
        <v>3113.6470775118155</v>
      </c>
      <c r="AN71" s="53">
        <f t="shared" si="89"/>
        <v>-1058076.6018855576</v>
      </c>
      <c r="AO71" s="53">
        <f t="shared" si="89"/>
        <v>206039.29690771762</v>
      </c>
      <c r="AP71" s="53">
        <f t="shared" si="89"/>
        <v>-88356.558944376317</v>
      </c>
      <c r="AQ71" s="17">
        <f t="shared" si="89"/>
        <v>-113996.72030122725</v>
      </c>
      <c r="AR71" s="53">
        <f t="shared" si="89"/>
        <v>-60582.190535537506</v>
      </c>
      <c r="AS71" s="53">
        <f t="shared" si="89"/>
        <v>-365345.14783452702</v>
      </c>
      <c r="AT71" s="22">
        <f t="shared" si="89"/>
        <v>4279499.7241401561</v>
      </c>
      <c r="AU71" s="236">
        <f t="shared" si="89"/>
        <v>0</v>
      </c>
      <c r="AV71" s="261">
        <f t="shared" si="89"/>
        <v>0</v>
      </c>
      <c r="AW71" s="144">
        <f t="shared" si="89"/>
        <v>-849695.00061774498</v>
      </c>
      <c r="AX71" s="53">
        <f t="shared" si="89"/>
        <v>-177919.50842037977</v>
      </c>
      <c r="AY71" s="53">
        <f t="shared" si="89"/>
        <v>-96485.923102511573</v>
      </c>
      <c r="AZ71" s="53">
        <f t="shared" si="89"/>
        <v>-1900.8111995895986</v>
      </c>
      <c r="BA71" s="53">
        <f t="shared" si="89"/>
        <v>-600272.01899645478</v>
      </c>
      <c r="BB71" s="53">
        <f t="shared" si="89"/>
        <v>36459710.440713584</v>
      </c>
      <c r="BC71" s="53">
        <f t="shared" si="89"/>
        <v>-179740.36969845428</v>
      </c>
      <c r="BD71" s="53">
        <f t="shared" si="89"/>
        <v>-228676.89468198246</v>
      </c>
      <c r="BE71" s="53">
        <f t="shared" si="89"/>
        <v>1502821.7856239716</v>
      </c>
      <c r="BF71" s="56">
        <f t="shared" si="89"/>
        <v>1979091.5614849182</v>
      </c>
      <c r="BI71" s="301">
        <f>B71-(Summary!D68+Summary!H68)</f>
        <v>0</v>
      </c>
    </row>
    <row r="72" spans="1:61" s="67" customFormat="1">
      <c r="A72" s="61"/>
      <c r="B72" s="84"/>
      <c r="C72" s="71"/>
      <c r="D72" s="69"/>
      <c r="E72" s="105"/>
      <c r="F72" s="228"/>
      <c r="G72" s="228"/>
      <c r="H72" s="72"/>
      <c r="I72" s="71"/>
      <c r="J72" s="69"/>
      <c r="K72" s="105"/>
      <c r="L72" s="105"/>
      <c r="M72" s="228"/>
      <c r="N72" s="69"/>
      <c r="O72" s="69"/>
      <c r="P72" s="106"/>
      <c r="Q72" s="71"/>
      <c r="R72" s="228"/>
      <c r="S72" s="69"/>
      <c r="T72" s="69"/>
      <c r="U72" s="105"/>
      <c r="V72" s="72"/>
      <c r="W72" s="84"/>
      <c r="X72" s="246"/>
      <c r="Y72" s="69"/>
      <c r="Z72" s="105"/>
      <c r="AA72" s="69"/>
      <c r="AB72" s="69"/>
      <c r="AC72" s="69"/>
      <c r="AD72" s="105"/>
      <c r="AE72" s="69"/>
      <c r="AF72" s="69"/>
      <c r="AG72" s="69"/>
      <c r="AH72" s="69"/>
      <c r="AI72" s="106"/>
      <c r="AJ72" s="246"/>
      <c r="AK72" s="69"/>
      <c r="AL72" s="69"/>
      <c r="AM72" s="69"/>
      <c r="AN72" s="69"/>
      <c r="AO72" s="69"/>
      <c r="AP72" s="69"/>
      <c r="AQ72" s="105"/>
      <c r="AR72" s="69"/>
      <c r="AS72" s="69"/>
      <c r="AT72" s="106"/>
      <c r="AU72" s="246"/>
      <c r="AV72" s="269"/>
      <c r="AW72" s="71"/>
      <c r="AX72" s="69"/>
      <c r="AY72" s="69"/>
      <c r="AZ72" s="69"/>
      <c r="BA72" s="69"/>
      <c r="BB72" s="69"/>
      <c r="BC72" s="69"/>
      <c r="BD72" s="69"/>
      <c r="BE72" s="69"/>
      <c r="BF72" s="72"/>
      <c r="BI72" s="301">
        <f>B72-(Summary!D69+Summary!H69)</f>
        <v>0</v>
      </c>
    </row>
    <row r="73" spans="1:61">
      <c r="A73" s="61" t="s">
        <v>117</v>
      </c>
      <c r="B73" s="76"/>
      <c r="C73" s="20"/>
      <c r="D73" s="17"/>
      <c r="E73" s="17"/>
      <c r="F73" s="216"/>
      <c r="G73" s="216"/>
      <c r="H73" s="22"/>
      <c r="I73" s="20"/>
      <c r="J73" s="17"/>
      <c r="K73" s="17"/>
      <c r="L73" s="17"/>
      <c r="M73" s="216"/>
      <c r="N73" s="17"/>
      <c r="O73" s="17"/>
      <c r="P73" s="22"/>
      <c r="Q73" s="20"/>
      <c r="R73" s="216"/>
      <c r="S73" s="17"/>
      <c r="T73" s="17"/>
      <c r="U73" s="17"/>
      <c r="V73" s="22"/>
      <c r="W73" s="76"/>
      <c r="X73" s="236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22"/>
      <c r="AJ73" s="236"/>
      <c r="AK73" s="17"/>
      <c r="AL73" s="17"/>
      <c r="AM73" s="17"/>
      <c r="AN73" s="17"/>
      <c r="AO73" s="17"/>
      <c r="AP73" s="17"/>
      <c r="AQ73" s="17"/>
      <c r="AR73" s="17"/>
      <c r="AS73" s="17"/>
      <c r="AT73" s="22"/>
      <c r="AU73" s="236"/>
      <c r="AV73" s="261"/>
      <c r="AW73" s="136"/>
      <c r="AX73" s="17"/>
      <c r="AY73" s="17"/>
      <c r="AZ73" s="17"/>
      <c r="BA73" s="17"/>
      <c r="BB73" s="17"/>
      <c r="BC73" s="17"/>
      <c r="BD73" s="17"/>
      <c r="BE73" s="17"/>
      <c r="BF73" s="22"/>
      <c r="BI73" s="301">
        <f>B73-(Summary!D70+Summary!H70)</f>
        <v>0</v>
      </c>
    </row>
    <row r="74" spans="1:61">
      <c r="A74" s="61" t="s">
        <v>118</v>
      </c>
      <c r="B74" s="131">
        <f t="shared" ref="B74:B80" si="90">SUM(C74:BF74)</f>
        <v>-19078936.959986512</v>
      </c>
      <c r="C74" s="55">
        <f t="shared" ref="C74:BF74" si="91">C16-C29-C30-C31-C32-C37</f>
        <v>-6704444.6599999983</v>
      </c>
      <c r="D74" s="53">
        <f t="shared" si="91"/>
        <v>-33120.929999989981</v>
      </c>
      <c r="E74" s="17">
        <f t="shared" si="91"/>
        <v>12402155.109999999</v>
      </c>
      <c r="F74" s="227">
        <f t="shared" si="91"/>
        <v>0</v>
      </c>
      <c r="G74" s="227">
        <f t="shared" si="91"/>
        <v>0</v>
      </c>
      <c r="H74" s="56">
        <f t="shared" si="91"/>
        <v>92981.764172039839</v>
      </c>
      <c r="I74" s="55">
        <f>I16-I29-I30-I31-I32-I37</f>
        <v>44276.189880881328</v>
      </c>
      <c r="J74" s="53">
        <f t="shared" si="91"/>
        <v>-28923.57647283293</v>
      </c>
      <c r="K74" s="17">
        <f t="shared" si="91"/>
        <v>-373894.73111577908</v>
      </c>
      <c r="L74" s="17">
        <f t="shared" si="91"/>
        <v>776572.64858778729</v>
      </c>
      <c r="M74" s="227">
        <f t="shared" si="91"/>
        <v>0</v>
      </c>
      <c r="N74" s="53">
        <f t="shared" si="91"/>
        <v>4858459</v>
      </c>
      <c r="O74" s="53">
        <f t="shared" si="91"/>
        <v>196627.0472892508</v>
      </c>
      <c r="P74" s="22">
        <f t="shared" si="91"/>
        <v>637047.3400000002</v>
      </c>
      <c r="Q74" s="55">
        <f t="shared" si="91"/>
        <v>11000080.821349347</v>
      </c>
      <c r="R74" s="216">
        <f t="shared" si="91"/>
        <v>0</v>
      </c>
      <c r="S74" s="53">
        <f t="shared" si="91"/>
        <v>-152282.21898382137</v>
      </c>
      <c r="T74" s="53">
        <f t="shared" si="91"/>
        <v>-8025121</v>
      </c>
      <c r="U74" s="17">
        <f t="shared" si="91"/>
        <v>1178569.3667911782</v>
      </c>
      <c r="V74" s="56">
        <f t="shared" si="91"/>
        <v>439356.46083514317</v>
      </c>
      <c r="W74" s="76">
        <f t="shared" si="91"/>
        <v>0</v>
      </c>
      <c r="X74" s="245">
        <f t="shared" si="91"/>
        <v>0</v>
      </c>
      <c r="Y74" s="53">
        <f t="shared" si="91"/>
        <v>0</v>
      </c>
      <c r="Z74" s="17">
        <f t="shared" si="91"/>
        <v>0</v>
      </c>
      <c r="AA74" s="53">
        <f t="shared" si="91"/>
        <v>0</v>
      </c>
      <c r="AB74" s="53">
        <f t="shared" si="91"/>
        <v>0</v>
      </c>
      <c r="AC74" s="53">
        <f t="shared" si="91"/>
        <v>0</v>
      </c>
      <c r="AD74" s="17">
        <f t="shared" si="91"/>
        <v>396368</v>
      </c>
      <c r="AE74" s="53">
        <f t="shared" si="91"/>
        <v>0</v>
      </c>
      <c r="AF74" s="53">
        <f t="shared" si="91"/>
        <v>0</v>
      </c>
      <c r="AG74" s="53">
        <f t="shared" si="91"/>
        <v>0</v>
      </c>
      <c r="AH74" s="53">
        <f t="shared" si="91"/>
        <v>0</v>
      </c>
      <c r="AI74" s="22">
        <f t="shared" si="91"/>
        <v>32248.540000000008</v>
      </c>
      <c r="AJ74" s="245">
        <f t="shared" si="91"/>
        <v>0</v>
      </c>
      <c r="AK74" s="53">
        <f t="shared" si="91"/>
        <v>0</v>
      </c>
      <c r="AL74" s="53">
        <f t="shared" si="91"/>
        <v>-54303.537524919564</v>
      </c>
      <c r="AM74" s="53">
        <f t="shared" si="91"/>
        <v>0</v>
      </c>
      <c r="AN74" s="53">
        <f t="shared" si="91"/>
        <v>0</v>
      </c>
      <c r="AO74" s="53">
        <f t="shared" si="91"/>
        <v>0</v>
      </c>
      <c r="AP74" s="53">
        <f t="shared" si="91"/>
        <v>17990.552800000001</v>
      </c>
      <c r="AQ74" s="17">
        <f t="shared" si="91"/>
        <v>182288.98018681514</v>
      </c>
      <c r="AR74" s="53">
        <f t="shared" si="91"/>
        <v>169568.97296169098</v>
      </c>
      <c r="AS74" s="53">
        <f t="shared" si="91"/>
        <v>-34004.906666666662</v>
      </c>
      <c r="AT74" s="22">
        <f t="shared" si="91"/>
        <v>-3000000</v>
      </c>
      <c r="AU74" s="236">
        <f t="shared" si="91"/>
        <v>0</v>
      </c>
      <c r="AV74" s="261">
        <f t="shared" si="91"/>
        <v>0</v>
      </c>
      <c r="AW74" s="144">
        <f t="shared" si="91"/>
        <v>547918.25463305868</v>
      </c>
      <c r="AX74" s="53">
        <f t="shared" si="91"/>
        <v>169674.9921225</v>
      </c>
      <c r="AY74" s="53">
        <f t="shared" si="91"/>
        <v>92014.913865822877</v>
      </c>
      <c r="AZ74" s="53">
        <f t="shared" si="91"/>
        <v>1812.7305329255391</v>
      </c>
      <c r="BA74" s="53">
        <f t="shared" si="91"/>
        <v>572456.33713157289</v>
      </c>
      <c r="BB74" s="53">
        <f t="shared" si="91"/>
        <v>-34770223.550753132</v>
      </c>
      <c r="BC74" s="53">
        <f t="shared" si="91"/>
        <v>77854.701909393276</v>
      </c>
      <c r="BD74" s="53">
        <f t="shared" si="91"/>
        <v>211059.42648122436</v>
      </c>
      <c r="BE74" s="53">
        <f t="shared" si="91"/>
        <v>0</v>
      </c>
      <c r="BF74" s="56">
        <f t="shared" si="91"/>
        <v>0</v>
      </c>
      <c r="BI74" s="301">
        <f>B74-(Summary!D71+Summary!H71)</f>
        <v>0</v>
      </c>
    </row>
    <row r="75" spans="1:61">
      <c r="A75" s="61" t="s">
        <v>119</v>
      </c>
      <c r="B75" s="76">
        <f t="shared" si="90"/>
        <v>0</v>
      </c>
      <c r="C75" s="20"/>
      <c r="D75" s="17"/>
      <c r="E75" s="17"/>
      <c r="F75" s="216"/>
      <c r="G75" s="216"/>
      <c r="H75" s="22"/>
      <c r="I75" s="20"/>
      <c r="J75" s="17"/>
      <c r="K75" s="17"/>
      <c r="L75" s="17"/>
      <c r="M75" s="216"/>
      <c r="N75" s="17"/>
      <c r="O75" s="17"/>
      <c r="P75" s="22"/>
      <c r="Q75" s="20"/>
      <c r="R75" s="216"/>
      <c r="S75" s="17"/>
      <c r="T75" s="17"/>
      <c r="U75" s="17"/>
      <c r="V75" s="22"/>
      <c r="W75" s="76"/>
      <c r="X75" s="236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22"/>
      <c r="AJ75" s="236"/>
      <c r="AK75" s="17"/>
      <c r="AL75" s="17"/>
      <c r="AM75" s="17"/>
      <c r="AN75" s="17"/>
      <c r="AO75" s="17"/>
      <c r="AP75" s="17"/>
      <c r="AQ75" s="17"/>
      <c r="AR75" s="17"/>
      <c r="AS75" s="17"/>
      <c r="AT75" s="22"/>
      <c r="AU75" s="236"/>
      <c r="AV75" s="261"/>
      <c r="AW75" s="136"/>
      <c r="AX75" s="17"/>
      <c r="AY75" s="17"/>
      <c r="AZ75" s="17"/>
      <c r="BA75" s="17"/>
      <c r="BB75" s="17"/>
      <c r="BC75" s="17"/>
      <c r="BD75" s="17"/>
      <c r="BE75" s="17"/>
      <c r="BF75" s="22"/>
      <c r="BI75" s="301">
        <f>B75-(Summary!D72+Summary!H72)</f>
        <v>0</v>
      </c>
    </row>
    <row r="76" spans="1:61">
      <c r="A76" s="61" t="s">
        <v>120</v>
      </c>
      <c r="B76" s="80">
        <f t="shared" si="90"/>
        <v>217013.20626896209</v>
      </c>
      <c r="C76" s="27">
        <f>'Restating Adj'!C76</f>
        <v>0</v>
      </c>
      <c r="D76" s="25">
        <f>'Restating Adj'!D76</f>
        <v>0</v>
      </c>
      <c r="E76" s="25">
        <f>'Pro Forma Adj'!C76</f>
        <v>0</v>
      </c>
      <c r="F76" s="218">
        <f>'Restating Adj'!E76</f>
        <v>0</v>
      </c>
      <c r="G76" s="218">
        <f>'Restating Adj'!F76</f>
        <v>0</v>
      </c>
      <c r="H76" s="30">
        <f>'Restating Adj'!G76+'Pro Forma Adj'!D76</f>
        <v>0</v>
      </c>
      <c r="I76" s="27">
        <f>'Restating Adj'!H76</f>
        <v>0</v>
      </c>
      <c r="J76" s="25">
        <f>'Restating Adj'!I76</f>
        <v>0</v>
      </c>
      <c r="K76" s="25">
        <f>'Pro Forma Adj'!E76</f>
        <v>0</v>
      </c>
      <c r="L76" s="25">
        <f>'Pro Forma Adj'!F76</f>
        <v>0</v>
      </c>
      <c r="M76" s="218">
        <f>'Restating Adj'!J76</f>
        <v>0</v>
      </c>
      <c r="N76" s="25">
        <f>'Restating Adj'!K76</f>
        <v>0</v>
      </c>
      <c r="O76" s="25">
        <f>'Restating Adj'!L76</f>
        <v>0</v>
      </c>
      <c r="P76" s="30">
        <f>'Pro Forma Adj'!G76</f>
        <v>0</v>
      </c>
      <c r="Q76" s="27">
        <f>'Restating Adj'!M76</f>
        <v>0</v>
      </c>
      <c r="R76" s="218">
        <f>'Pro Forma Adj'!H76</f>
        <v>0</v>
      </c>
      <c r="S76" s="25">
        <f>'Restating Adj'!N76</f>
        <v>0</v>
      </c>
      <c r="T76" s="25">
        <f>'Restating Adj'!O76</f>
        <v>0</v>
      </c>
      <c r="U76" s="25">
        <f>'Pro Forma Adj'!I76</f>
        <v>0</v>
      </c>
      <c r="V76" s="30">
        <f>'Restating Adj'!P76</f>
        <v>0</v>
      </c>
      <c r="W76" s="80">
        <f>'Restating Adj'!Q76+'Pro Forma Adj'!J76</f>
        <v>0</v>
      </c>
      <c r="X76" s="239">
        <f>'Restating Adj'!R76+'Pro Forma Adj'!K76</f>
        <v>0</v>
      </c>
      <c r="Y76" s="25">
        <f>'Restating Adj'!S76</f>
        <v>0</v>
      </c>
      <c r="Z76" s="25">
        <f>'Pro Forma Adj'!L76</f>
        <v>0</v>
      </c>
      <c r="AA76" s="25">
        <f>'Restating Adj'!T76</f>
        <v>0</v>
      </c>
      <c r="AB76" s="25">
        <f>'Restating Adj'!U76</f>
        <v>0</v>
      </c>
      <c r="AC76" s="25">
        <f>'Restating Adj'!V76</f>
        <v>217013.20626896209</v>
      </c>
      <c r="AD76" s="25">
        <f>'Pro Forma Adj'!M76</f>
        <v>0</v>
      </c>
      <c r="AE76" s="25">
        <f>'Restating Adj'!W76</f>
        <v>0</v>
      </c>
      <c r="AF76" s="25">
        <f>'Restating Adj'!X76</f>
        <v>0</v>
      </c>
      <c r="AG76" s="25">
        <f>'Restating Adj'!Y76</f>
        <v>0</v>
      </c>
      <c r="AH76" s="25">
        <f>'Restating Adj'!Z76</f>
        <v>0</v>
      </c>
      <c r="AI76" s="30">
        <f>'Pro Forma Adj'!N76</f>
        <v>0</v>
      </c>
      <c r="AJ76" s="239">
        <f>'Restating Adj'!AA76+'Pro Forma Adj'!O76</f>
        <v>0</v>
      </c>
      <c r="AK76" s="25">
        <f>'Restating Adj'!AB76</f>
        <v>0</v>
      </c>
      <c r="AL76" s="25">
        <f>'Restating Adj'!AC76</f>
        <v>0</v>
      </c>
      <c r="AM76" s="25">
        <f>'Restating Adj'!AD76</f>
        <v>0</v>
      </c>
      <c r="AN76" s="25">
        <f>'Restating Adj'!AE76</f>
        <v>0</v>
      </c>
      <c r="AO76" s="17">
        <f>'Restating Adj'!AF76</f>
        <v>0</v>
      </c>
      <c r="AP76" s="25">
        <f>'Restating Adj'!AG76</f>
        <v>0</v>
      </c>
      <c r="AQ76" s="25">
        <f>'Pro Forma Adj'!P76</f>
        <v>0</v>
      </c>
      <c r="AR76" s="25">
        <f>'Restating Adj'!AH76</f>
        <v>0</v>
      </c>
      <c r="AS76" s="25">
        <f>'Restating Adj'!AI76</f>
        <v>0</v>
      </c>
      <c r="AT76" s="30">
        <f>'Pro Forma Adj'!Q76</f>
        <v>0</v>
      </c>
      <c r="AU76" s="239">
        <f>'Pro Forma Adj'!R76</f>
        <v>0</v>
      </c>
      <c r="AV76" s="262">
        <f>'Pro Forma Adj'!S76</f>
        <v>0</v>
      </c>
      <c r="AW76" s="137">
        <f>'Restating Adj'!AJ76</f>
        <v>0</v>
      </c>
      <c r="AX76" s="25">
        <f>'Restating Adj'!AK76</f>
        <v>0</v>
      </c>
      <c r="AY76" s="25">
        <f>'Restating Adj'!AL76</f>
        <v>0</v>
      </c>
      <c r="AZ76" s="25">
        <f>'Restating Adj'!AM76</f>
        <v>0</v>
      </c>
      <c r="BA76" s="25">
        <f>'Restating Adj'!AN76+'Pro Forma Adj'!T76</f>
        <v>0</v>
      </c>
      <c r="BB76" s="25">
        <f>'Pro Forma Adj'!U76</f>
        <v>0</v>
      </c>
      <c r="BC76" s="25">
        <f>'Pro Forma Adj'!V76</f>
        <v>0</v>
      </c>
      <c r="BD76" s="25">
        <f>'Pro Forma Adj'!W76</f>
        <v>0</v>
      </c>
      <c r="BE76" s="17">
        <f>'Restating Adj'!AO76+'Pro Forma Adj'!X76</f>
        <v>0</v>
      </c>
      <c r="BF76" s="30">
        <f>'Restating Adj'!AP76+'Pro Forma Adj'!Y76</f>
        <v>0</v>
      </c>
      <c r="BI76" s="301">
        <f>B76-(Summary!D73+Summary!H73)</f>
        <v>0</v>
      </c>
    </row>
    <row r="77" spans="1:61">
      <c r="A77" s="61" t="s">
        <v>121</v>
      </c>
      <c r="B77" s="80">
        <f t="shared" si="90"/>
        <v>-3505140.7918093465</v>
      </c>
      <c r="C77" s="27">
        <f>'Restating Adj'!C77</f>
        <v>0</v>
      </c>
      <c r="D77" s="25">
        <f>'Restating Adj'!D77</f>
        <v>0</v>
      </c>
      <c r="E77" s="25">
        <f>'Pro Forma Adj'!C77</f>
        <v>0</v>
      </c>
      <c r="F77" s="218">
        <f>'Restating Adj'!E77</f>
        <v>0</v>
      </c>
      <c r="G77" s="218">
        <f>'Restating Adj'!F77</f>
        <v>0</v>
      </c>
      <c r="H77" s="30">
        <f>'Restating Adj'!G77+'Pro Forma Adj'!D77</f>
        <v>0</v>
      </c>
      <c r="I77" s="27">
        <f>'Restating Adj'!H77</f>
        <v>0</v>
      </c>
      <c r="J77" s="25">
        <f>'Restating Adj'!I77</f>
        <v>0</v>
      </c>
      <c r="K77" s="25">
        <f>'Pro Forma Adj'!E77</f>
        <v>0</v>
      </c>
      <c r="L77" s="25">
        <f>'Pro Forma Adj'!F77</f>
        <v>0</v>
      </c>
      <c r="M77" s="218">
        <f>'Restating Adj'!J77</f>
        <v>0</v>
      </c>
      <c r="N77" s="25">
        <f>'Restating Adj'!K77</f>
        <v>0</v>
      </c>
      <c r="O77" s="25">
        <f>'Restating Adj'!L77</f>
        <v>0</v>
      </c>
      <c r="P77" s="30">
        <f>'Pro Forma Adj'!G77</f>
        <v>0</v>
      </c>
      <c r="Q77" s="27">
        <f>'Restating Adj'!M77</f>
        <v>0</v>
      </c>
      <c r="R77" s="218">
        <f>'Pro Forma Adj'!H77</f>
        <v>0</v>
      </c>
      <c r="S77" s="25">
        <f>'Restating Adj'!N77</f>
        <v>0</v>
      </c>
      <c r="T77" s="25">
        <f>'Restating Adj'!O77</f>
        <v>0</v>
      </c>
      <c r="U77" s="25">
        <f>'Pro Forma Adj'!I77</f>
        <v>0</v>
      </c>
      <c r="V77" s="30">
        <f>'Restating Adj'!P77</f>
        <v>0</v>
      </c>
      <c r="W77" s="80">
        <f>'Restating Adj'!Q77+'Pro Forma Adj'!J77</f>
        <v>0</v>
      </c>
      <c r="X77" s="239">
        <f>'Restating Adj'!R77+'Pro Forma Adj'!K77</f>
        <v>0</v>
      </c>
      <c r="Y77" s="25">
        <f>'Restating Adj'!S77</f>
        <v>0</v>
      </c>
      <c r="Z77" s="25">
        <f>'Pro Forma Adj'!L77</f>
        <v>0</v>
      </c>
      <c r="AA77" s="25">
        <f>'Restating Adj'!T77</f>
        <v>0</v>
      </c>
      <c r="AB77" s="25">
        <f>'Restating Adj'!U77</f>
        <v>0</v>
      </c>
      <c r="AC77" s="25">
        <f>'Restating Adj'!V77</f>
        <v>0</v>
      </c>
      <c r="AD77" s="25">
        <f>'Pro Forma Adj'!M77</f>
        <v>0</v>
      </c>
      <c r="AE77" s="25">
        <f>'Restating Adj'!W77</f>
        <v>0</v>
      </c>
      <c r="AF77" s="25">
        <f>'Restating Adj'!X77</f>
        <v>0</v>
      </c>
      <c r="AG77" s="25">
        <f>'Restating Adj'!Y77</f>
        <v>0</v>
      </c>
      <c r="AH77" s="25">
        <f>'Restating Adj'!Z77</f>
        <v>0</v>
      </c>
      <c r="AI77" s="30">
        <f>'Pro Forma Adj'!N77</f>
        <v>0</v>
      </c>
      <c r="AJ77" s="239">
        <f>'Restating Adj'!AA77+'Pro Forma Adj'!O77</f>
        <v>0</v>
      </c>
      <c r="AK77" s="25">
        <f>'Restating Adj'!AB77</f>
        <v>0</v>
      </c>
      <c r="AL77" s="25">
        <f>'Restating Adj'!AC77</f>
        <v>0</v>
      </c>
      <c r="AM77" s="25">
        <f>'Restating Adj'!AD77</f>
        <v>0</v>
      </c>
      <c r="AN77" s="25">
        <f>'Restating Adj'!AE77</f>
        <v>0</v>
      </c>
      <c r="AO77" s="17">
        <f>'Restating Adj'!AF77</f>
        <v>0</v>
      </c>
      <c r="AP77" s="25">
        <f>'Restating Adj'!AG77</f>
        <v>0</v>
      </c>
      <c r="AQ77" s="25">
        <f>'Pro Forma Adj'!P77</f>
        <v>0</v>
      </c>
      <c r="AR77" s="25">
        <f>'Restating Adj'!AH77</f>
        <v>0</v>
      </c>
      <c r="AS77" s="25">
        <f>'Restating Adj'!AI77</f>
        <v>0</v>
      </c>
      <c r="AT77" s="30">
        <f>'Pro Forma Adj'!Q77</f>
        <v>0</v>
      </c>
      <c r="AU77" s="239">
        <f>'Pro Forma Adj'!R77</f>
        <v>0</v>
      </c>
      <c r="AV77" s="262">
        <f>'Pro Forma Adj'!S77</f>
        <v>0</v>
      </c>
      <c r="AW77" s="137">
        <f>'Restating Adj'!AJ77</f>
        <v>0</v>
      </c>
      <c r="AX77" s="25">
        <f>'Restating Adj'!AK77</f>
        <v>0</v>
      </c>
      <c r="AY77" s="25">
        <f>'Restating Adj'!AL77</f>
        <v>0</v>
      </c>
      <c r="AZ77" s="25">
        <f>'Restating Adj'!AM77</f>
        <v>0</v>
      </c>
      <c r="BA77" s="25">
        <f>'Restating Adj'!AN77+'Pro Forma Adj'!T77</f>
        <v>0</v>
      </c>
      <c r="BB77" s="25">
        <f>'Pro Forma Adj'!U77</f>
        <v>0</v>
      </c>
      <c r="BC77" s="25">
        <f>'Pro Forma Adj'!V77</f>
        <v>0</v>
      </c>
      <c r="BD77" s="25">
        <f>'Pro Forma Adj'!W77</f>
        <v>0</v>
      </c>
      <c r="BE77" s="17">
        <f>'Restating Adj'!AO77+'Pro Forma Adj'!X77</f>
        <v>0</v>
      </c>
      <c r="BF77" s="56">
        <f>'Restating Adj'!AP77+'Pro Forma Adj'!Y77</f>
        <v>-3505140.7918093465</v>
      </c>
      <c r="BI77" s="301">
        <f>B77-(Summary!D74+Summary!H74)</f>
        <v>0</v>
      </c>
    </row>
    <row r="78" spans="1:61">
      <c r="A78" s="61" t="s">
        <v>122</v>
      </c>
      <c r="B78" s="80">
        <f t="shared" si="90"/>
        <v>-516262.97429441469</v>
      </c>
      <c r="C78" s="27">
        <f>'Restating Adj'!C78</f>
        <v>0</v>
      </c>
      <c r="D78" s="25">
        <f>'Restating Adj'!D78</f>
        <v>-1653038</v>
      </c>
      <c r="E78" s="25">
        <f>'Pro Forma Adj'!C78</f>
        <v>0</v>
      </c>
      <c r="F78" s="218">
        <f>'Restating Adj'!E78</f>
        <v>0</v>
      </c>
      <c r="G78" s="218">
        <f>'Restating Adj'!F78</f>
        <v>0</v>
      </c>
      <c r="H78" s="30">
        <f>'Restating Adj'!G78+'Pro Forma Adj'!D78</f>
        <v>0</v>
      </c>
      <c r="I78" s="27">
        <f>'Restating Adj'!H78</f>
        <v>0</v>
      </c>
      <c r="J78" s="25">
        <f>'Restating Adj'!I78</f>
        <v>0</v>
      </c>
      <c r="K78" s="25">
        <f>'Pro Forma Adj'!E78</f>
        <v>0</v>
      </c>
      <c r="L78" s="25">
        <f>'Pro Forma Adj'!F78</f>
        <v>0</v>
      </c>
      <c r="M78" s="218">
        <f>'Restating Adj'!J78</f>
        <v>0</v>
      </c>
      <c r="N78" s="25">
        <f>'Restating Adj'!K78</f>
        <v>0</v>
      </c>
      <c r="O78" s="25">
        <f>'Restating Adj'!L78</f>
        <v>0</v>
      </c>
      <c r="P78" s="30">
        <f>'Pro Forma Adj'!G78</f>
        <v>-637047</v>
      </c>
      <c r="Q78" s="27">
        <f>'Restating Adj'!M78</f>
        <v>0</v>
      </c>
      <c r="R78" s="218">
        <f>'Pro Forma Adj'!H78</f>
        <v>0</v>
      </c>
      <c r="S78" s="25">
        <f>'Restating Adj'!N78</f>
        <v>0</v>
      </c>
      <c r="T78" s="25">
        <f>'Restating Adj'!O78</f>
        <v>0</v>
      </c>
      <c r="U78" s="25">
        <f>'Pro Forma Adj'!I78</f>
        <v>0</v>
      </c>
      <c r="V78" s="30">
        <f>'Restating Adj'!P78</f>
        <v>-449420.00153080252</v>
      </c>
      <c r="W78" s="80">
        <f>'Restating Adj'!Q78+'Pro Forma Adj'!J78</f>
        <v>0</v>
      </c>
      <c r="X78" s="239">
        <f>'Restating Adj'!R78+'Pro Forma Adj'!K78</f>
        <v>0</v>
      </c>
      <c r="Y78" s="25">
        <f>'Restating Adj'!S78</f>
        <v>0</v>
      </c>
      <c r="Z78" s="25">
        <f>'Pro Forma Adj'!L78</f>
        <v>0</v>
      </c>
      <c r="AA78" s="25">
        <f>'Restating Adj'!T78</f>
        <v>0</v>
      </c>
      <c r="AB78" s="25">
        <f>'Restating Adj'!U78</f>
        <v>0</v>
      </c>
      <c r="AC78" s="25">
        <f>'Restating Adj'!V78</f>
        <v>0</v>
      </c>
      <c r="AD78" s="25">
        <f>'Pro Forma Adj'!M78</f>
        <v>0</v>
      </c>
      <c r="AE78" s="25">
        <f>'Restating Adj'!W78</f>
        <v>0</v>
      </c>
      <c r="AF78" s="25">
        <f>'Restating Adj'!X78</f>
        <v>0</v>
      </c>
      <c r="AG78" s="25">
        <f>'Restating Adj'!Y78</f>
        <v>0</v>
      </c>
      <c r="AH78" s="25">
        <f>'Restating Adj'!Z78</f>
        <v>0</v>
      </c>
      <c r="AI78" s="30">
        <f>'Pro Forma Adj'!N78</f>
        <v>0</v>
      </c>
      <c r="AJ78" s="239">
        <f>'Restating Adj'!AA78+'Pro Forma Adj'!O78</f>
        <v>0</v>
      </c>
      <c r="AK78" s="25">
        <f>'Restating Adj'!AB78</f>
        <v>0</v>
      </c>
      <c r="AL78" s="25">
        <f>'Restating Adj'!AC78</f>
        <v>-59375.233530133206</v>
      </c>
      <c r="AM78" s="25">
        <f>'Restating Adj'!AD78</f>
        <v>0</v>
      </c>
      <c r="AN78" s="25">
        <f>'Restating Adj'!AE78</f>
        <v>0</v>
      </c>
      <c r="AO78" s="17">
        <f>'Restating Adj'!AF78</f>
        <v>-69061.886393937762</v>
      </c>
      <c r="AP78" s="25">
        <f>'Restating Adj'!AG78</f>
        <v>-17990.552800000001</v>
      </c>
      <c r="AQ78" s="25">
        <f>'Pro Forma Adj'!P78</f>
        <v>-312646.46687769075</v>
      </c>
      <c r="AR78" s="25">
        <f>'Restating Adj'!AH78</f>
        <v>-347730.61460689106</v>
      </c>
      <c r="AS78" s="25">
        <f>'Restating Adj'!AI78</f>
        <v>0</v>
      </c>
      <c r="AT78" s="30">
        <f>'Pro Forma Adj'!Q78</f>
        <v>3000000</v>
      </c>
      <c r="AU78" s="239">
        <f>'Pro Forma Adj'!R78</f>
        <v>0</v>
      </c>
      <c r="AV78" s="262">
        <f>'Pro Forma Adj'!S78</f>
        <v>0</v>
      </c>
      <c r="AW78" s="137">
        <f>'Restating Adj'!AJ78</f>
        <v>30046.781445040437</v>
      </c>
      <c r="AX78" s="25">
        <f>'Restating Adj'!AK78</f>
        <v>0</v>
      </c>
      <c r="AY78" s="25">
        <f>'Restating Adj'!AL78</f>
        <v>0</v>
      </c>
      <c r="AZ78" s="25">
        <f>'Restating Adj'!AM78</f>
        <v>0</v>
      </c>
      <c r="BA78" s="25">
        <f>'Restating Adj'!AN78+'Pro Forma Adj'!T78</f>
        <v>0</v>
      </c>
      <c r="BB78" s="25">
        <f>'Pro Forma Adj'!U78</f>
        <v>0</v>
      </c>
      <c r="BC78" s="25">
        <f>'Pro Forma Adj'!V78</f>
        <v>0</v>
      </c>
      <c r="BD78" s="25">
        <f>'Pro Forma Adj'!W78</f>
        <v>0</v>
      </c>
      <c r="BE78" s="17">
        <f>'Restating Adj'!AO78+'Pro Forma Adj'!X78</f>
        <v>0</v>
      </c>
      <c r="BF78" s="30">
        <f>'Restating Adj'!AP78+'Pro Forma Adj'!Y78</f>
        <v>0</v>
      </c>
      <c r="BI78" s="301">
        <f>B78-(Summary!D75+Summary!H75)</f>
        <v>0</v>
      </c>
    </row>
    <row r="79" spans="1:61">
      <c r="A79" s="61" t="s">
        <v>123</v>
      </c>
      <c r="B79" s="85">
        <f t="shared" si="90"/>
        <v>-226620.57445949689</v>
      </c>
      <c r="C79" s="58">
        <f>'Restating Adj'!C79</f>
        <v>0</v>
      </c>
      <c r="D79" s="40">
        <f>'Restating Adj'!D79</f>
        <v>-10607</v>
      </c>
      <c r="E79" s="17">
        <f>'Pro Forma Adj'!C79</f>
        <v>0</v>
      </c>
      <c r="F79" s="229">
        <f>'Restating Adj'!E79</f>
        <v>0</v>
      </c>
      <c r="G79" s="229">
        <f>'Restating Adj'!F79</f>
        <v>0</v>
      </c>
      <c r="H79" s="59">
        <f>'Restating Adj'!G79+'Pro Forma Adj'!D79</f>
        <v>0</v>
      </c>
      <c r="I79" s="58">
        <f>'Restating Adj'!H79</f>
        <v>0</v>
      </c>
      <c r="J79" s="38">
        <f>'Restating Adj'!I79</f>
        <v>0</v>
      </c>
      <c r="K79" s="17">
        <f>'Pro Forma Adj'!E79</f>
        <v>0</v>
      </c>
      <c r="L79" s="25">
        <f>'Pro Forma Adj'!F79</f>
        <v>1013713.3485877872</v>
      </c>
      <c r="M79" s="222">
        <f>'Restating Adj'!J79</f>
        <v>0</v>
      </c>
      <c r="N79" s="38">
        <f>'Restating Adj'!K79</f>
        <v>-1385852.3131956439</v>
      </c>
      <c r="O79" s="38">
        <f>'Restating Adj'!L79</f>
        <v>0</v>
      </c>
      <c r="P79" s="30">
        <f>'Pro Forma Adj'!G79</f>
        <v>-62223.490000068792</v>
      </c>
      <c r="Q79" s="58">
        <f>'Restating Adj'!M79</f>
        <v>0</v>
      </c>
      <c r="R79" s="216">
        <f>'Pro Forma Adj'!H79</f>
        <v>0</v>
      </c>
      <c r="S79" s="38">
        <f>'Restating Adj'!N79</f>
        <v>0</v>
      </c>
      <c r="T79" s="38">
        <f>'Restating Adj'!O79</f>
        <v>0</v>
      </c>
      <c r="U79" s="17">
        <f>'Pro Forma Adj'!I79</f>
        <v>0</v>
      </c>
      <c r="V79" s="73">
        <f>'Restating Adj'!P79</f>
        <v>-90396.065974144673</v>
      </c>
      <c r="W79" s="85">
        <f>'Restating Adj'!Q79+'Pro Forma Adj'!J79</f>
        <v>0</v>
      </c>
      <c r="X79" s="247">
        <f>'Restating Adj'!R79+'Pro Forma Adj'!K79</f>
        <v>0</v>
      </c>
      <c r="Y79" s="40">
        <f>'Restating Adj'!S79</f>
        <v>0</v>
      </c>
      <c r="Z79" s="40">
        <f>'Pro Forma Adj'!L79</f>
        <v>0</v>
      </c>
      <c r="AA79" s="40">
        <f>'Restating Adj'!T79</f>
        <v>0</v>
      </c>
      <c r="AB79" s="40">
        <f>'Restating Adj'!U79</f>
        <v>0</v>
      </c>
      <c r="AC79" s="40">
        <f>'Restating Adj'!V79</f>
        <v>0</v>
      </c>
      <c r="AD79" s="17">
        <f>'Pro Forma Adj'!M79</f>
        <v>0</v>
      </c>
      <c r="AE79" s="40">
        <f>'Restating Adj'!W79</f>
        <v>0</v>
      </c>
      <c r="AF79" s="40">
        <f>'Restating Adj'!X79</f>
        <v>0</v>
      </c>
      <c r="AG79" s="40">
        <f>'Restating Adj'!Y79</f>
        <v>0</v>
      </c>
      <c r="AH79" s="40">
        <f>'Restating Adj'!Z79</f>
        <v>0</v>
      </c>
      <c r="AI79" s="22">
        <f>'Pro Forma Adj'!N79</f>
        <v>0</v>
      </c>
      <c r="AJ79" s="247">
        <f>'Restating Adj'!AA79+'Pro Forma Adj'!O79</f>
        <v>0</v>
      </c>
      <c r="AK79" s="40">
        <f>'Restating Adj'!AB79</f>
        <v>0</v>
      </c>
      <c r="AL79" s="40">
        <f>'Restating Adj'!AC79</f>
        <v>0</v>
      </c>
      <c r="AM79" s="40">
        <f>'Restating Adj'!AD79</f>
        <v>0</v>
      </c>
      <c r="AN79" s="40">
        <f>'Restating Adj'!AE79</f>
        <v>0</v>
      </c>
      <c r="AO79" s="40">
        <f>'Restating Adj'!AF79</f>
        <v>-538286.5880295817</v>
      </c>
      <c r="AP79" s="40">
        <f>'Restating Adj'!AG79</f>
        <v>0</v>
      </c>
      <c r="AQ79" s="17">
        <f>'Pro Forma Adj'!P79</f>
        <v>0</v>
      </c>
      <c r="AR79" s="40">
        <f>'Restating Adj'!AH79</f>
        <v>0</v>
      </c>
      <c r="AS79" s="40">
        <f>'Restating Adj'!AI79</f>
        <v>0</v>
      </c>
      <c r="AT79" s="22">
        <f>'Pro Forma Adj'!Q79</f>
        <v>0</v>
      </c>
      <c r="AU79" s="236">
        <f>'Pro Forma Adj'!R79</f>
        <v>0</v>
      </c>
      <c r="AV79" s="261">
        <f>'Pro Forma Adj'!S79</f>
        <v>0</v>
      </c>
      <c r="AW79" s="145">
        <f>'Restating Adj'!AJ79</f>
        <v>847031.53415215481</v>
      </c>
      <c r="AX79" s="40">
        <f>'Restating Adj'!AK79</f>
        <v>0</v>
      </c>
      <c r="AY79" s="40">
        <f>'Restating Adj'!AL79</f>
        <v>0</v>
      </c>
      <c r="AZ79" s="40">
        <f>'Restating Adj'!AM79</f>
        <v>0</v>
      </c>
      <c r="BA79" s="40">
        <f>'Restating Adj'!AN79+'Pro Forma Adj'!T79</f>
        <v>0</v>
      </c>
      <c r="BB79" s="40">
        <f>'Pro Forma Adj'!U79</f>
        <v>0</v>
      </c>
      <c r="BC79" s="40">
        <f>'Pro Forma Adj'!V79</f>
        <v>0</v>
      </c>
      <c r="BD79" s="40">
        <f>'Pro Forma Adj'!W79</f>
        <v>0</v>
      </c>
      <c r="BE79" s="40">
        <f>'Restating Adj'!AO79+'Pro Forma Adj'!X79</f>
        <v>0</v>
      </c>
      <c r="BF79" s="59">
        <f>'Restating Adj'!AP79+'Pro Forma Adj'!Y79</f>
        <v>0</v>
      </c>
      <c r="BI79" s="301">
        <f>B79-(Summary!D76+Summary!H76)</f>
        <v>0</v>
      </c>
    </row>
    <row r="80" spans="1:61">
      <c r="A80" s="61" t="s">
        <v>124</v>
      </c>
      <c r="B80" s="86">
        <f t="shared" si="90"/>
        <v>-16080451.774281044</v>
      </c>
      <c r="C80" s="51">
        <f t="shared" ref="C80:BF80" si="92">C74-C76-C77+C78-C79</f>
        <v>-6704444.6599999983</v>
      </c>
      <c r="D80" s="41">
        <f t="shared" si="92"/>
        <v>-1675551.9299999899</v>
      </c>
      <c r="E80" s="109">
        <f t="shared" si="92"/>
        <v>12402155.109999999</v>
      </c>
      <c r="F80" s="230">
        <f t="shared" si="92"/>
        <v>0</v>
      </c>
      <c r="G80" s="230">
        <f t="shared" si="92"/>
        <v>0</v>
      </c>
      <c r="H80" s="52">
        <f t="shared" si="92"/>
        <v>92981.764172039839</v>
      </c>
      <c r="I80" s="51">
        <f t="shared" si="92"/>
        <v>44276.189880881328</v>
      </c>
      <c r="J80" s="41">
        <f t="shared" si="92"/>
        <v>-28923.57647283293</v>
      </c>
      <c r="K80" s="109">
        <f t="shared" si="92"/>
        <v>-373894.73111577908</v>
      </c>
      <c r="L80" s="109">
        <f t="shared" si="92"/>
        <v>-237140.69999999995</v>
      </c>
      <c r="M80" s="230">
        <f t="shared" si="92"/>
        <v>0</v>
      </c>
      <c r="N80" s="41">
        <f t="shared" si="92"/>
        <v>6244311.3131956439</v>
      </c>
      <c r="O80" s="41">
        <f t="shared" si="92"/>
        <v>196627.0472892508</v>
      </c>
      <c r="P80" s="111">
        <f t="shared" si="92"/>
        <v>62223.830000068992</v>
      </c>
      <c r="Q80" s="51">
        <f t="shared" si="92"/>
        <v>11000080.821349347</v>
      </c>
      <c r="R80" s="299">
        <f t="shared" si="92"/>
        <v>0</v>
      </c>
      <c r="S80" s="41">
        <f t="shared" si="92"/>
        <v>-152282.21898382137</v>
      </c>
      <c r="T80" s="41">
        <f t="shared" si="92"/>
        <v>-8025121</v>
      </c>
      <c r="U80" s="109">
        <f t="shared" si="92"/>
        <v>1178569.3667911782</v>
      </c>
      <c r="V80" s="52">
        <f t="shared" si="92"/>
        <v>80332.525278485322</v>
      </c>
      <c r="W80" s="86">
        <f t="shared" si="92"/>
        <v>0</v>
      </c>
      <c r="X80" s="248">
        <f t="shared" si="92"/>
        <v>0</v>
      </c>
      <c r="Y80" s="41">
        <f t="shared" si="92"/>
        <v>0</v>
      </c>
      <c r="Z80" s="41">
        <f t="shared" si="92"/>
        <v>0</v>
      </c>
      <c r="AA80" s="41">
        <f t="shared" si="92"/>
        <v>0</v>
      </c>
      <c r="AB80" s="41">
        <f t="shared" si="92"/>
        <v>0</v>
      </c>
      <c r="AC80" s="41">
        <f t="shared" si="92"/>
        <v>-217013.20626896209</v>
      </c>
      <c r="AD80" s="109">
        <f t="shared" si="92"/>
        <v>396368</v>
      </c>
      <c r="AE80" s="41">
        <f t="shared" si="92"/>
        <v>0</v>
      </c>
      <c r="AF80" s="41">
        <f t="shared" si="92"/>
        <v>0</v>
      </c>
      <c r="AG80" s="41">
        <f t="shared" si="92"/>
        <v>0</v>
      </c>
      <c r="AH80" s="41">
        <f t="shared" si="92"/>
        <v>0</v>
      </c>
      <c r="AI80" s="111">
        <f t="shared" si="92"/>
        <v>32248.540000000008</v>
      </c>
      <c r="AJ80" s="248">
        <f t="shared" si="92"/>
        <v>0</v>
      </c>
      <c r="AK80" s="41">
        <f t="shared" si="92"/>
        <v>0</v>
      </c>
      <c r="AL80" s="41">
        <f t="shared" si="92"/>
        <v>-113678.77105505277</v>
      </c>
      <c r="AM80" s="41">
        <f t="shared" si="92"/>
        <v>0</v>
      </c>
      <c r="AN80" s="41">
        <f t="shared" si="92"/>
        <v>0</v>
      </c>
      <c r="AO80" s="41">
        <f t="shared" si="92"/>
        <v>469224.70163564396</v>
      </c>
      <c r="AP80" s="41">
        <f t="shared" si="92"/>
        <v>0</v>
      </c>
      <c r="AQ80" s="109">
        <f t="shared" si="92"/>
        <v>-130357.48669087561</v>
      </c>
      <c r="AR80" s="41">
        <f t="shared" si="92"/>
        <v>-178161.64164520008</v>
      </c>
      <c r="AS80" s="41">
        <f t="shared" si="92"/>
        <v>-34004.906666666662</v>
      </c>
      <c r="AT80" s="111">
        <f t="shared" si="92"/>
        <v>0</v>
      </c>
      <c r="AU80" s="253">
        <f t="shared" si="92"/>
        <v>0</v>
      </c>
      <c r="AV80" s="270">
        <f t="shared" si="92"/>
        <v>0</v>
      </c>
      <c r="AW80" s="70">
        <f t="shared" si="92"/>
        <v>-269066.49807405565</v>
      </c>
      <c r="AX80" s="41">
        <f t="shared" si="92"/>
        <v>169674.9921225</v>
      </c>
      <c r="AY80" s="41">
        <f t="shared" si="92"/>
        <v>92014.913865822877</v>
      </c>
      <c r="AZ80" s="41">
        <f t="shared" si="92"/>
        <v>1812.7305329255391</v>
      </c>
      <c r="BA80" s="41">
        <f t="shared" si="92"/>
        <v>572456.33713157289</v>
      </c>
      <c r="BB80" s="41">
        <f t="shared" si="92"/>
        <v>-34770223.550753132</v>
      </c>
      <c r="BC80" s="41">
        <f t="shared" si="92"/>
        <v>77854.701909393276</v>
      </c>
      <c r="BD80" s="41">
        <f t="shared" si="92"/>
        <v>211059.42648122436</v>
      </c>
      <c r="BE80" s="41">
        <f t="shared" si="92"/>
        <v>0</v>
      </c>
      <c r="BF80" s="52">
        <f t="shared" si="92"/>
        <v>3505140.7918093465</v>
      </c>
      <c r="BI80" s="301">
        <f>B80-(Summary!D77+Summary!H77)</f>
        <v>0</v>
      </c>
    </row>
    <row r="81" spans="1:61">
      <c r="A81" s="61"/>
      <c r="B81" s="76"/>
      <c r="C81" s="20"/>
      <c r="D81" s="17"/>
      <c r="E81" s="17"/>
      <c r="F81" s="216"/>
      <c r="G81" s="216"/>
      <c r="H81" s="22"/>
      <c r="I81" s="20"/>
      <c r="J81" s="17"/>
      <c r="K81" s="17"/>
      <c r="L81" s="17"/>
      <c r="M81" s="216"/>
      <c r="N81" s="17"/>
      <c r="O81" s="17"/>
      <c r="P81" s="22"/>
      <c r="Q81" s="20"/>
      <c r="R81" s="216"/>
      <c r="S81" s="17"/>
      <c r="T81" s="17"/>
      <c r="U81" s="17"/>
      <c r="V81" s="22"/>
      <c r="W81" s="76"/>
      <c r="X81" s="236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22"/>
      <c r="AJ81" s="236"/>
      <c r="AK81" s="17"/>
      <c r="AL81" s="17"/>
      <c r="AM81" s="17"/>
      <c r="AN81" s="17"/>
      <c r="AO81" s="17"/>
      <c r="AP81" s="17"/>
      <c r="AQ81" s="17"/>
      <c r="AR81" s="17"/>
      <c r="AS81" s="17"/>
      <c r="AT81" s="22"/>
      <c r="AU81" s="236"/>
      <c r="AV81" s="261"/>
      <c r="AW81" s="136"/>
      <c r="AX81" s="17"/>
      <c r="AY81" s="17"/>
      <c r="AZ81" s="17"/>
      <c r="BA81" s="17"/>
      <c r="BB81" s="17"/>
      <c r="BC81" s="17"/>
      <c r="BD81" s="17"/>
      <c r="BE81" s="17"/>
      <c r="BF81" s="22"/>
      <c r="BI81" s="301">
        <f>B81-(Summary!D78+Summary!H78)</f>
        <v>0</v>
      </c>
    </row>
    <row r="82" spans="1:61">
      <c r="A82" s="61" t="s">
        <v>125</v>
      </c>
      <c r="B82" s="151"/>
      <c r="C82" s="20"/>
      <c r="D82" s="17"/>
      <c r="E82" s="17">
        <v>0</v>
      </c>
      <c r="F82" s="216"/>
      <c r="G82" s="216"/>
      <c r="H82" s="22"/>
      <c r="I82" s="20"/>
      <c r="J82" s="17"/>
      <c r="K82" s="17">
        <v>0</v>
      </c>
      <c r="L82" s="17">
        <v>0</v>
      </c>
      <c r="M82" s="216"/>
      <c r="N82" s="17"/>
      <c r="O82" s="17"/>
      <c r="P82" s="22">
        <v>0</v>
      </c>
      <c r="Q82" s="20"/>
      <c r="R82" s="216">
        <v>0</v>
      </c>
      <c r="S82" s="17"/>
      <c r="T82" s="17"/>
      <c r="U82" s="17">
        <v>0</v>
      </c>
      <c r="V82" s="22"/>
      <c r="W82" s="76"/>
      <c r="X82" s="249"/>
      <c r="Y82" s="57"/>
      <c r="Z82" s="17">
        <v>0</v>
      </c>
      <c r="AA82" s="57"/>
      <c r="AB82" s="57"/>
      <c r="AC82" s="57"/>
      <c r="AD82" s="17">
        <v>0</v>
      </c>
      <c r="AE82" s="57"/>
      <c r="AF82" s="57"/>
      <c r="AG82" s="57"/>
      <c r="AH82" s="57"/>
      <c r="AI82" s="22">
        <v>0</v>
      </c>
      <c r="AJ82" s="249"/>
      <c r="AK82" s="57"/>
      <c r="AL82" s="57"/>
      <c r="AM82" s="57"/>
      <c r="AN82" s="57"/>
      <c r="AO82" s="57"/>
      <c r="AP82" s="57"/>
      <c r="AQ82" s="17">
        <v>0</v>
      </c>
      <c r="AR82" s="57"/>
      <c r="AS82" s="57"/>
      <c r="AT82" s="22">
        <v>0</v>
      </c>
      <c r="AU82" s="236">
        <v>0</v>
      </c>
      <c r="AV82" s="261">
        <v>0</v>
      </c>
      <c r="AW82" s="146"/>
      <c r="AX82" s="57"/>
      <c r="AY82" s="57"/>
      <c r="AZ82" s="57"/>
      <c r="BA82" s="57"/>
      <c r="BB82" s="57"/>
      <c r="BC82" s="57"/>
      <c r="BD82" s="57"/>
      <c r="BE82" s="57"/>
      <c r="BF82" s="114"/>
      <c r="BI82" s="301">
        <f>B82-(Summary!D79+Summary!H79)</f>
        <v>0</v>
      </c>
    </row>
    <row r="83" spans="1:61">
      <c r="A83" s="61" t="s">
        <v>126</v>
      </c>
      <c r="B83" s="151">
        <f>SUM(C83:BF83)</f>
        <v>-16080451.774281044</v>
      </c>
      <c r="C83" s="20">
        <f>C80-C82</f>
        <v>-6704444.6599999983</v>
      </c>
      <c r="D83" s="17">
        <f t="shared" ref="D83:BF83" si="93">D80-D82</f>
        <v>-1675551.9299999899</v>
      </c>
      <c r="E83" s="17">
        <f>E80-E82</f>
        <v>12402155.109999999</v>
      </c>
      <c r="F83" s="216">
        <f t="shared" si="93"/>
        <v>0</v>
      </c>
      <c r="G83" s="216">
        <f t="shared" si="93"/>
        <v>0</v>
      </c>
      <c r="H83" s="22">
        <f t="shared" si="93"/>
        <v>92981.764172039839</v>
      </c>
      <c r="I83" s="20">
        <f t="shared" si="93"/>
        <v>44276.189880881328</v>
      </c>
      <c r="J83" s="17">
        <f t="shared" si="93"/>
        <v>-28923.57647283293</v>
      </c>
      <c r="K83" s="17">
        <f t="shared" si="93"/>
        <v>-373894.73111577908</v>
      </c>
      <c r="L83" s="17">
        <f t="shared" si="93"/>
        <v>-237140.69999999995</v>
      </c>
      <c r="M83" s="216">
        <f t="shared" si="93"/>
        <v>0</v>
      </c>
      <c r="N83" s="17">
        <f t="shared" si="93"/>
        <v>6244311.3131956439</v>
      </c>
      <c r="O83" s="17">
        <f t="shared" si="93"/>
        <v>196627.0472892508</v>
      </c>
      <c r="P83" s="22">
        <f t="shared" si="93"/>
        <v>62223.830000068992</v>
      </c>
      <c r="Q83" s="20">
        <f t="shared" si="93"/>
        <v>11000080.821349347</v>
      </c>
      <c r="R83" s="216">
        <f t="shared" si="93"/>
        <v>0</v>
      </c>
      <c r="S83" s="17">
        <f t="shared" si="93"/>
        <v>-152282.21898382137</v>
      </c>
      <c r="T83" s="17">
        <f t="shared" si="93"/>
        <v>-8025121</v>
      </c>
      <c r="U83" s="17">
        <f t="shared" si="93"/>
        <v>1178569.3667911782</v>
      </c>
      <c r="V83" s="22">
        <f t="shared" si="93"/>
        <v>80332.525278485322</v>
      </c>
      <c r="W83" s="76">
        <f t="shared" si="93"/>
        <v>0</v>
      </c>
      <c r="X83" s="249">
        <f t="shared" si="93"/>
        <v>0</v>
      </c>
      <c r="Y83" s="57">
        <f t="shared" si="93"/>
        <v>0</v>
      </c>
      <c r="Z83" s="17">
        <f t="shared" si="93"/>
        <v>0</v>
      </c>
      <c r="AA83" s="57">
        <f t="shared" si="93"/>
        <v>0</v>
      </c>
      <c r="AB83" s="57">
        <f t="shared" si="93"/>
        <v>0</v>
      </c>
      <c r="AC83" s="57">
        <f t="shared" si="93"/>
        <v>-217013.20626896209</v>
      </c>
      <c r="AD83" s="17">
        <f t="shared" si="93"/>
        <v>396368</v>
      </c>
      <c r="AE83" s="57">
        <f t="shared" si="93"/>
        <v>0</v>
      </c>
      <c r="AF83" s="57">
        <f t="shared" si="93"/>
        <v>0</v>
      </c>
      <c r="AG83" s="57">
        <f t="shared" si="93"/>
        <v>0</v>
      </c>
      <c r="AH83" s="57">
        <f t="shared" si="93"/>
        <v>0</v>
      </c>
      <c r="AI83" s="22">
        <f t="shared" si="93"/>
        <v>32248.540000000008</v>
      </c>
      <c r="AJ83" s="249">
        <f t="shared" si="93"/>
        <v>0</v>
      </c>
      <c r="AK83" s="57">
        <f t="shared" si="93"/>
        <v>0</v>
      </c>
      <c r="AL83" s="57">
        <f t="shared" si="93"/>
        <v>-113678.77105505277</v>
      </c>
      <c r="AM83" s="57">
        <f t="shared" si="93"/>
        <v>0</v>
      </c>
      <c r="AN83" s="57">
        <f t="shared" si="93"/>
        <v>0</v>
      </c>
      <c r="AO83" s="57">
        <f t="shared" si="93"/>
        <v>469224.70163564396</v>
      </c>
      <c r="AP83" s="57">
        <f t="shared" si="93"/>
        <v>0</v>
      </c>
      <c r="AQ83" s="17">
        <f t="shared" si="93"/>
        <v>-130357.48669087561</v>
      </c>
      <c r="AR83" s="57">
        <f t="shared" si="93"/>
        <v>-178161.64164520008</v>
      </c>
      <c r="AS83" s="57">
        <f t="shared" si="93"/>
        <v>-34004.906666666662</v>
      </c>
      <c r="AT83" s="22">
        <f t="shared" si="93"/>
        <v>0</v>
      </c>
      <c r="AU83" s="236">
        <f t="shared" si="93"/>
        <v>0</v>
      </c>
      <c r="AV83" s="261">
        <f t="shared" si="93"/>
        <v>0</v>
      </c>
      <c r="AW83" s="146">
        <f t="shared" si="93"/>
        <v>-269066.49807405565</v>
      </c>
      <c r="AX83" s="57">
        <f t="shared" si="93"/>
        <v>169674.9921225</v>
      </c>
      <c r="AY83" s="57">
        <f t="shared" si="93"/>
        <v>92014.913865822877</v>
      </c>
      <c r="AZ83" s="57">
        <f t="shared" si="93"/>
        <v>1812.7305329255391</v>
      </c>
      <c r="BA83" s="57">
        <f t="shared" si="93"/>
        <v>572456.33713157289</v>
      </c>
      <c r="BB83" s="57">
        <f t="shared" si="93"/>
        <v>-34770223.550753132</v>
      </c>
      <c r="BC83" s="57">
        <f t="shared" si="93"/>
        <v>77854.701909393276</v>
      </c>
      <c r="BD83" s="57">
        <f t="shared" si="93"/>
        <v>211059.42648122436</v>
      </c>
      <c r="BE83" s="57">
        <f t="shared" si="93"/>
        <v>0</v>
      </c>
      <c r="BF83" s="114">
        <f t="shared" si="93"/>
        <v>3505140.7918093465</v>
      </c>
      <c r="BI83" s="301">
        <f>B83-(Summary!D80+Summary!H80)</f>
        <v>0</v>
      </c>
    </row>
    <row r="84" spans="1:61">
      <c r="A84" s="61"/>
      <c r="B84" s="151"/>
      <c r="C84" s="20"/>
      <c r="D84" s="17"/>
      <c r="E84" s="17"/>
      <c r="F84" s="216"/>
      <c r="G84" s="216"/>
      <c r="H84" s="22"/>
      <c r="I84" s="20"/>
      <c r="J84" s="17"/>
      <c r="K84" s="17"/>
      <c r="L84" s="17"/>
      <c r="M84" s="216"/>
      <c r="N84" s="17"/>
      <c r="O84" s="17"/>
      <c r="P84" s="22"/>
      <c r="Q84" s="20"/>
      <c r="R84" s="216"/>
      <c r="S84" s="17"/>
      <c r="T84" s="17"/>
      <c r="U84" s="17"/>
      <c r="V84" s="22"/>
      <c r="W84" s="76"/>
      <c r="X84" s="249"/>
      <c r="Y84" s="57"/>
      <c r="Z84" s="17"/>
      <c r="AA84" s="57"/>
      <c r="AB84" s="57"/>
      <c r="AC84" s="57"/>
      <c r="AD84" s="17"/>
      <c r="AE84" s="57"/>
      <c r="AF84" s="57"/>
      <c r="AG84" s="57"/>
      <c r="AH84" s="57"/>
      <c r="AI84" s="22"/>
      <c r="AJ84" s="249"/>
      <c r="AK84" s="57"/>
      <c r="AL84" s="57"/>
      <c r="AM84" s="57"/>
      <c r="AN84" s="57"/>
      <c r="AO84" s="57"/>
      <c r="AP84" s="57"/>
      <c r="AQ84" s="17"/>
      <c r="AR84" s="57"/>
      <c r="AS84" s="57"/>
      <c r="AT84" s="22"/>
      <c r="AU84" s="236"/>
      <c r="AV84" s="261"/>
      <c r="AW84" s="146"/>
      <c r="AX84" s="57"/>
      <c r="AY84" s="57"/>
      <c r="AZ84" s="57"/>
      <c r="BA84" s="57"/>
      <c r="BB84" s="57"/>
      <c r="BC84" s="57"/>
      <c r="BD84" s="57"/>
      <c r="BE84" s="57"/>
      <c r="BF84" s="114"/>
      <c r="BI84" s="301">
        <f>B84-(Summary!D81+Summary!H81)</f>
        <v>0</v>
      </c>
    </row>
    <row r="85" spans="1:61">
      <c r="A85" s="61" t="s">
        <v>198</v>
      </c>
      <c r="B85" s="151">
        <f>SUM(C85:BF85)</f>
        <v>-5628158.1209983649</v>
      </c>
      <c r="C85" s="20">
        <f>C83*0.35</f>
        <v>-2346555.6309999991</v>
      </c>
      <c r="D85" s="17">
        <f t="shared" ref="D85:BF85" si="94">D83*0.35</f>
        <v>-586443.1754999964</v>
      </c>
      <c r="E85" s="17">
        <f>E83*0.35</f>
        <v>4340754.2884999998</v>
      </c>
      <c r="F85" s="216">
        <f t="shared" si="94"/>
        <v>0</v>
      </c>
      <c r="G85" s="216">
        <f t="shared" si="94"/>
        <v>0</v>
      </c>
      <c r="H85" s="22">
        <f t="shared" si="94"/>
        <v>32543.61746021394</v>
      </c>
      <c r="I85" s="20">
        <f t="shared" si="94"/>
        <v>15496.666458308464</v>
      </c>
      <c r="J85" s="17">
        <f t="shared" si="94"/>
        <v>-10123.251765491525</v>
      </c>
      <c r="K85" s="17">
        <f t="shared" si="94"/>
        <v>-130863.15589052267</v>
      </c>
      <c r="L85" s="17">
        <f t="shared" si="94"/>
        <v>-82999.244999999981</v>
      </c>
      <c r="M85" s="216">
        <f t="shared" si="94"/>
        <v>0</v>
      </c>
      <c r="N85" s="17">
        <f t="shared" si="94"/>
        <v>2185508.9596184753</v>
      </c>
      <c r="O85" s="17">
        <f t="shared" si="94"/>
        <v>68819.466551237769</v>
      </c>
      <c r="P85" s="22">
        <f t="shared" si="94"/>
        <v>21778.340500024147</v>
      </c>
      <c r="Q85" s="20">
        <f t="shared" si="94"/>
        <v>3850028.2874722714</v>
      </c>
      <c r="R85" s="216">
        <f t="shared" si="94"/>
        <v>0</v>
      </c>
      <c r="S85" s="17">
        <f t="shared" si="94"/>
        <v>-53298.776644337479</v>
      </c>
      <c r="T85" s="17">
        <f t="shared" si="94"/>
        <v>-2808792.3499999996</v>
      </c>
      <c r="U85" s="17">
        <f t="shared" si="94"/>
        <v>412499.27837691235</v>
      </c>
      <c r="V85" s="22">
        <f t="shared" si="94"/>
        <v>28116.38384746986</v>
      </c>
      <c r="W85" s="76">
        <f t="shared" si="94"/>
        <v>0</v>
      </c>
      <c r="X85" s="249">
        <f t="shared" si="94"/>
        <v>0</v>
      </c>
      <c r="Y85" s="57">
        <f t="shared" si="94"/>
        <v>0</v>
      </c>
      <c r="Z85" s="17">
        <f t="shared" si="94"/>
        <v>0</v>
      </c>
      <c r="AA85" s="57">
        <f t="shared" si="94"/>
        <v>0</v>
      </c>
      <c r="AB85" s="57">
        <f t="shared" si="94"/>
        <v>0</v>
      </c>
      <c r="AC85" s="57">
        <f t="shared" si="94"/>
        <v>-75954.622194136726</v>
      </c>
      <c r="AD85" s="17">
        <f t="shared" si="94"/>
        <v>138728.79999999999</v>
      </c>
      <c r="AE85" s="57">
        <f t="shared" si="94"/>
        <v>0</v>
      </c>
      <c r="AF85" s="57">
        <f t="shared" si="94"/>
        <v>0</v>
      </c>
      <c r="AG85" s="57">
        <f t="shared" si="94"/>
        <v>0</v>
      </c>
      <c r="AH85" s="57">
        <f t="shared" si="94"/>
        <v>0</v>
      </c>
      <c r="AI85" s="22">
        <f t="shared" si="94"/>
        <v>11286.989000000001</v>
      </c>
      <c r="AJ85" s="249">
        <f t="shared" si="94"/>
        <v>0</v>
      </c>
      <c r="AK85" s="57">
        <f t="shared" si="94"/>
        <v>0</v>
      </c>
      <c r="AL85" s="57">
        <f t="shared" si="94"/>
        <v>-39787.569869268467</v>
      </c>
      <c r="AM85" s="57">
        <f t="shared" si="94"/>
        <v>0</v>
      </c>
      <c r="AN85" s="57">
        <f t="shared" si="94"/>
        <v>0</v>
      </c>
      <c r="AO85" s="57">
        <f t="shared" si="94"/>
        <v>164228.64557247536</v>
      </c>
      <c r="AP85" s="57">
        <f t="shared" si="94"/>
        <v>0</v>
      </c>
      <c r="AQ85" s="17">
        <f t="shared" si="94"/>
        <v>-45625.120341806462</v>
      </c>
      <c r="AR85" s="57">
        <f t="shared" si="94"/>
        <v>-62356.574575820028</v>
      </c>
      <c r="AS85" s="57">
        <f t="shared" si="94"/>
        <v>-11901.71733333333</v>
      </c>
      <c r="AT85" s="22">
        <f t="shared" si="94"/>
        <v>0</v>
      </c>
      <c r="AU85" s="236">
        <f t="shared" si="94"/>
        <v>0</v>
      </c>
      <c r="AV85" s="261">
        <f t="shared" si="94"/>
        <v>0</v>
      </c>
      <c r="AW85" s="146">
        <f t="shared" si="94"/>
        <v>-94173.274325919469</v>
      </c>
      <c r="AX85" s="57">
        <f t="shared" si="94"/>
        <v>59386.247242874997</v>
      </c>
      <c r="AY85" s="57">
        <f t="shared" si="94"/>
        <v>32205.219853038005</v>
      </c>
      <c r="AZ85" s="57">
        <f t="shared" si="94"/>
        <v>634.45568652393865</v>
      </c>
      <c r="BA85" s="57">
        <f t="shared" si="94"/>
        <v>200359.71799605049</v>
      </c>
      <c r="BB85" s="57">
        <f t="shared" si="94"/>
        <v>-12169578.242763596</v>
      </c>
      <c r="BC85" s="57">
        <f t="shared" si="94"/>
        <v>27249.145668287645</v>
      </c>
      <c r="BD85" s="57">
        <f t="shared" si="94"/>
        <v>73870.799268428527</v>
      </c>
      <c r="BE85" s="57">
        <f t="shared" si="94"/>
        <v>0</v>
      </c>
      <c r="BF85" s="114">
        <f t="shared" si="94"/>
        <v>1226799.2771332711</v>
      </c>
      <c r="BI85" s="301">
        <f>B85-(Summary!D82+Summary!H82)</f>
        <v>0</v>
      </c>
    </row>
    <row r="86" spans="1:61">
      <c r="A86" s="61" t="s">
        <v>199</v>
      </c>
      <c r="B86" s="151">
        <f>SUM(C86:BF86)</f>
        <v>-5638736.2665997902</v>
      </c>
      <c r="C86" s="20">
        <f>'Restating Adj'!C86</f>
        <v>0</v>
      </c>
      <c r="D86" s="17">
        <f>'Restating Adj'!D86</f>
        <v>0</v>
      </c>
      <c r="E86" s="17">
        <f>'Pro Forma Adj'!C86</f>
        <v>0</v>
      </c>
      <c r="F86" s="216">
        <f>'Restating Adj'!E86</f>
        <v>0</v>
      </c>
      <c r="G86" s="216">
        <f>'Restating Adj'!F86</f>
        <v>0</v>
      </c>
      <c r="H86" s="22">
        <f>'Restating Adj'!G86+'Pro Forma Adj'!D86</f>
        <v>0</v>
      </c>
      <c r="I86" s="20">
        <f>'Restating Adj'!H86</f>
        <v>0</v>
      </c>
      <c r="J86" s="17">
        <f>'Restating Adj'!I86</f>
        <v>0</v>
      </c>
      <c r="K86" s="17">
        <f>'Pro Forma Adj'!E86</f>
        <v>0</v>
      </c>
      <c r="L86" s="17">
        <f>'Pro Forma Adj'!F86</f>
        <v>0</v>
      </c>
      <c r="M86" s="216">
        <f>'Restating Adj'!J86</f>
        <v>0</v>
      </c>
      <c r="N86" s="17">
        <f>'Restating Adj'!K86</f>
        <v>0</v>
      </c>
      <c r="O86" s="17">
        <f>'Restating Adj'!L86</f>
        <v>0</v>
      </c>
      <c r="P86" s="22">
        <f>'Pro Forma Adj'!G86</f>
        <v>0</v>
      </c>
      <c r="Q86" s="20">
        <f>'Restating Adj'!M86</f>
        <v>0</v>
      </c>
      <c r="R86" s="216">
        <f>'Pro Forma Adj'!H86</f>
        <v>0</v>
      </c>
      <c r="S86" s="17">
        <f>'Restating Adj'!N86</f>
        <v>0</v>
      </c>
      <c r="T86" s="17">
        <f>'Restating Adj'!O86</f>
        <v>0</v>
      </c>
      <c r="U86" s="17">
        <f>'Pro Forma Adj'!I86</f>
        <v>0</v>
      </c>
      <c r="V86" s="22">
        <f>'Restating Adj'!P86</f>
        <v>0</v>
      </c>
      <c r="W86" s="76">
        <f>'Restating Adj'!Q86+'Pro Forma Adj'!J86</f>
        <v>0</v>
      </c>
      <c r="X86" s="249">
        <f>'Restating Adj'!R86+'Pro Forma Adj'!K86</f>
        <v>0</v>
      </c>
      <c r="Y86" s="57">
        <f>'Restating Adj'!S86</f>
        <v>0</v>
      </c>
      <c r="Z86" s="25">
        <f>'Pro Forma Adj'!L86</f>
        <v>-5638736.2665997902</v>
      </c>
      <c r="AA86" s="57">
        <f>'Restating Adj'!T86</f>
        <v>0</v>
      </c>
      <c r="AB86" s="57">
        <f>'Restating Adj'!U86</f>
        <v>0</v>
      </c>
      <c r="AC86" s="57">
        <f>'Restating Adj'!V86</f>
        <v>0</v>
      </c>
      <c r="AD86" s="17">
        <f>'Pro Forma Adj'!M86</f>
        <v>0</v>
      </c>
      <c r="AE86" s="57">
        <f>'Restating Adj'!W86</f>
        <v>0</v>
      </c>
      <c r="AF86" s="57">
        <f>'Restating Adj'!Y86</f>
        <v>0</v>
      </c>
      <c r="AG86" s="57">
        <f>'Restating Adj'!Y86</f>
        <v>0</v>
      </c>
      <c r="AH86" s="57">
        <f>'Restating Adj'!Z86</f>
        <v>0</v>
      </c>
      <c r="AI86" s="22">
        <f>'Pro Forma Adj'!N86</f>
        <v>0</v>
      </c>
      <c r="AJ86" s="249">
        <f>'Restating Adj'!AA86+'Pro Forma Adj'!O86</f>
        <v>0</v>
      </c>
      <c r="AK86" s="57">
        <f>'Restating Adj'!AB86</f>
        <v>0</v>
      </c>
      <c r="AL86" s="57">
        <f>'Restating Adj'!AC86</f>
        <v>0</v>
      </c>
      <c r="AM86" s="57">
        <f>'Restating Adj'!AD86</f>
        <v>0</v>
      </c>
      <c r="AN86" s="57">
        <f>'Restating Adj'!AE86</f>
        <v>0</v>
      </c>
      <c r="AO86" s="57">
        <f>'Restating Adj'!AF86</f>
        <v>0</v>
      </c>
      <c r="AP86" s="57">
        <f>'Restating Adj'!AG86</f>
        <v>0</v>
      </c>
      <c r="AQ86" s="17">
        <f>'Pro Forma Adj'!P86</f>
        <v>0</v>
      </c>
      <c r="AR86" s="57">
        <f>'Restating Adj'!AH86</f>
        <v>0</v>
      </c>
      <c r="AS86" s="57">
        <f>'Restating Adj'!AI86</f>
        <v>0</v>
      </c>
      <c r="AT86" s="22">
        <f>'Pro Forma Adj'!Q86</f>
        <v>0</v>
      </c>
      <c r="AU86" s="236">
        <f>'Pro Forma Adj'!R86</f>
        <v>0</v>
      </c>
      <c r="AV86" s="261">
        <f>'Pro Forma Adj'!S86</f>
        <v>0</v>
      </c>
      <c r="AW86" s="146">
        <f>'Restating Adj'!AJ86</f>
        <v>0</v>
      </c>
      <c r="AX86" s="57">
        <f>'Restating Adj'!AK86</f>
        <v>0</v>
      </c>
      <c r="AY86" s="57">
        <f>'Restating Adj'!AL86</f>
        <v>0</v>
      </c>
      <c r="AZ86" s="57">
        <f>'Restating Adj'!AM86</f>
        <v>0</v>
      </c>
      <c r="BA86" s="57">
        <f>'Restating Adj'!AN86+'Pro Forma Adj'!T86</f>
        <v>0</v>
      </c>
      <c r="BB86" s="57">
        <f>'Pro Forma Adj'!U86</f>
        <v>0</v>
      </c>
      <c r="BC86" s="57">
        <f>'Pro Forma Adj'!V86</f>
        <v>0</v>
      </c>
      <c r="BD86" s="57">
        <f>'Pro Forma Adj'!W86</f>
        <v>0</v>
      </c>
      <c r="BE86" s="57">
        <f>'Restating Adj'!AO86+'Pro Forma Adj'!X86</f>
        <v>0</v>
      </c>
      <c r="BF86" s="114">
        <f>'Restating Adj'!AP86+'Pro Forma Adj'!Y86</f>
        <v>0</v>
      </c>
      <c r="BI86" s="301">
        <f>B86-(Summary!D83+Summary!H83)</f>
        <v>0</v>
      </c>
    </row>
    <row r="87" spans="1:61" s="57" customFormat="1" ht="13.5" thickBot="1">
      <c r="A87" s="61" t="s">
        <v>200</v>
      </c>
      <c r="B87" s="152">
        <f>SUM(C87:BF87)</f>
        <v>-11266894.387598155</v>
      </c>
      <c r="C87" s="115">
        <f>C85+C86</f>
        <v>-2346555.6309999991</v>
      </c>
      <c r="D87" s="116">
        <f t="shared" ref="D87:BF87" si="95">D85+D86</f>
        <v>-586443.1754999964</v>
      </c>
      <c r="E87" s="116">
        <f>E85+E86</f>
        <v>4340754.2884999998</v>
      </c>
      <c r="F87" s="231">
        <f t="shared" si="95"/>
        <v>0</v>
      </c>
      <c r="G87" s="231">
        <f t="shared" si="95"/>
        <v>0</v>
      </c>
      <c r="H87" s="117">
        <f t="shared" si="95"/>
        <v>32543.61746021394</v>
      </c>
      <c r="I87" s="115">
        <f t="shared" si="95"/>
        <v>15496.666458308464</v>
      </c>
      <c r="J87" s="116">
        <f t="shared" si="95"/>
        <v>-10123.251765491525</v>
      </c>
      <c r="K87" s="116">
        <f t="shared" si="95"/>
        <v>-130863.15589052267</v>
      </c>
      <c r="L87" s="116">
        <f t="shared" si="95"/>
        <v>-82999.244999999981</v>
      </c>
      <c r="M87" s="231">
        <f t="shared" si="95"/>
        <v>0</v>
      </c>
      <c r="N87" s="116">
        <f t="shared" si="95"/>
        <v>2185508.9596184753</v>
      </c>
      <c r="O87" s="116">
        <f t="shared" si="95"/>
        <v>68819.466551237769</v>
      </c>
      <c r="P87" s="117">
        <f t="shared" si="95"/>
        <v>21778.340500024147</v>
      </c>
      <c r="Q87" s="115">
        <f t="shared" si="95"/>
        <v>3850028.2874722714</v>
      </c>
      <c r="R87" s="231">
        <f t="shared" si="95"/>
        <v>0</v>
      </c>
      <c r="S87" s="116">
        <f t="shared" si="95"/>
        <v>-53298.776644337479</v>
      </c>
      <c r="T87" s="116">
        <f t="shared" si="95"/>
        <v>-2808792.3499999996</v>
      </c>
      <c r="U87" s="116">
        <f t="shared" si="95"/>
        <v>412499.27837691235</v>
      </c>
      <c r="V87" s="117">
        <f t="shared" si="95"/>
        <v>28116.38384746986</v>
      </c>
      <c r="W87" s="118">
        <f t="shared" si="95"/>
        <v>0</v>
      </c>
      <c r="X87" s="250">
        <f t="shared" si="95"/>
        <v>0</v>
      </c>
      <c r="Y87" s="62">
        <f t="shared" si="95"/>
        <v>0</v>
      </c>
      <c r="Z87" s="62">
        <f t="shared" si="95"/>
        <v>-5638736.2665997902</v>
      </c>
      <c r="AA87" s="62">
        <f t="shared" si="95"/>
        <v>0</v>
      </c>
      <c r="AB87" s="62">
        <f t="shared" si="95"/>
        <v>0</v>
      </c>
      <c r="AC87" s="62">
        <f t="shared" si="95"/>
        <v>-75954.622194136726</v>
      </c>
      <c r="AD87" s="116">
        <f t="shared" si="95"/>
        <v>138728.79999999999</v>
      </c>
      <c r="AE87" s="62">
        <f t="shared" si="95"/>
        <v>0</v>
      </c>
      <c r="AF87" s="62">
        <f t="shared" si="95"/>
        <v>0</v>
      </c>
      <c r="AG87" s="62">
        <f t="shared" si="95"/>
        <v>0</v>
      </c>
      <c r="AH87" s="62">
        <f t="shared" si="95"/>
        <v>0</v>
      </c>
      <c r="AI87" s="117">
        <f t="shared" si="95"/>
        <v>11286.989000000001</v>
      </c>
      <c r="AJ87" s="250">
        <f t="shared" si="95"/>
        <v>0</v>
      </c>
      <c r="AK87" s="62">
        <f t="shared" si="95"/>
        <v>0</v>
      </c>
      <c r="AL87" s="62">
        <f t="shared" si="95"/>
        <v>-39787.569869268467</v>
      </c>
      <c r="AM87" s="62">
        <f t="shared" si="95"/>
        <v>0</v>
      </c>
      <c r="AN87" s="62">
        <f t="shared" si="95"/>
        <v>0</v>
      </c>
      <c r="AO87" s="62">
        <f t="shared" si="95"/>
        <v>164228.64557247536</v>
      </c>
      <c r="AP87" s="62">
        <f t="shared" si="95"/>
        <v>0</v>
      </c>
      <c r="AQ87" s="116">
        <f t="shared" si="95"/>
        <v>-45625.120341806462</v>
      </c>
      <c r="AR87" s="62">
        <f t="shared" si="95"/>
        <v>-62356.574575820028</v>
      </c>
      <c r="AS87" s="62">
        <f t="shared" si="95"/>
        <v>-11901.71733333333</v>
      </c>
      <c r="AT87" s="117">
        <f t="shared" si="95"/>
        <v>0</v>
      </c>
      <c r="AU87" s="254">
        <f t="shared" si="95"/>
        <v>0</v>
      </c>
      <c r="AV87" s="271">
        <f t="shared" si="95"/>
        <v>0</v>
      </c>
      <c r="AW87" s="147">
        <f t="shared" si="95"/>
        <v>-94173.274325919469</v>
      </c>
      <c r="AX87" s="62">
        <f t="shared" si="95"/>
        <v>59386.247242874997</v>
      </c>
      <c r="AY87" s="62">
        <f t="shared" si="95"/>
        <v>32205.219853038005</v>
      </c>
      <c r="AZ87" s="62">
        <f t="shared" si="95"/>
        <v>634.45568652393865</v>
      </c>
      <c r="BA87" s="62">
        <f t="shared" si="95"/>
        <v>200359.71799605049</v>
      </c>
      <c r="BB87" s="62">
        <f t="shared" si="95"/>
        <v>-12169578.242763596</v>
      </c>
      <c r="BC87" s="62">
        <f t="shared" si="95"/>
        <v>27249.145668287645</v>
      </c>
      <c r="BD87" s="62">
        <f t="shared" si="95"/>
        <v>73870.799268428527</v>
      </c>
      <c r="BE87" s="62">
        <f t="shared" si="95"/>
        <v>0</v>
      </c>
      <c r="BF87" s="63">
        <f t="shared" si="95"/>
        <v>1226799.2771332711</v>
      </c>
      <c r="BI87" s="301">
        <f>B87-(Summary!D84+Summary!H84)</f>
        <v>0</v>
      </c>
    </row>
    <row r="88" spans="1:61" s="57" customFormat="1">
      <c r="A88" s="61"/>
      <c r="B88" s="41"/>
      <c r="C88" s="41"/>
      <c r="D88" s="41"/>
      <c r="E88" s="41"/>
      <c r="F88" s="65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65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65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65"/>
      <c r="AX88" s="41"/>
      <c r="AY88" s="41"/>
      <c r="AZ88" s="41"/>
      <c r="BA88" s="41"/>
      <c r="BB88" s="41"/>
      <c r="BC88" s="41"/>
      <c r="BD88" s="41"/>
      <c r="BE88" s="41"/>
      <c r="BF88" s="41"/>
      <c r="BI88" s="306"/>
    </row>
    <row r="89" spans="1:61" s="57" customFormat="1">
      <c r="A89" s="61"/>
      <c r="B89" s="61"/>
      <c r="C89" s="61"/>
      <c r="D89" s="61"/>
      <c r="E89" s="61"/>
      <c r="F89" s="66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6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6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6"/>
      <c r="AX89" s="61"/>
      <c r="AY89" s="61"/>
      <c r="AZ89" s="61"/>
      <c r="BA89" s="61"/>
      <c r="BB89" s="61"/>
      <c r="BC89" s="61"/>
      <c r="BD89" s="61"/>
      <c r="BE89" s="61"/>
      <c r="BF89" s="61"/>
      <c r="BI89" s="306"/>
    </row>
    <row r="90" spans="1:61" s="57" customFormat="1">
      <c r="A90" s="88"/>
      <c r="B90" s="17"/>
      <c r="C90" s="17"/>
      <c r="D90" s="17"/>
      <c r="E90" s="17"/>
      <c r="F90" s="64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64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64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64"/>
      <c r="AX90" s="17"/>
      <c r="AY90" s="17"/>
      <c r="AZ90" s="17"/>
      <c r="BA90" s="17"/>
      <c r="BB90" s="17"/>
      <c r="BC90" s="17"/>
      <c r="BD90" s="17"/>
      <c r="BE90" s="17"/>
      <c r="BF90" s="17"/>
      <c r="BI90" s="306"/>
    </row>
    <row r="91" spans="1:61" s="57" customFormat="1">
      <c r="A91" s="61"/>
      <c r="B91" s="17"/>
      <c r="C91" s="17"/>
      <c r="D91" s="17"/>
      <c r="E91" s="17"/>
      <c r="F91" s="64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64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64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64"/>
      <c r="AX91" s="17"/>
      <c r="AY91" s="17"/>
      <c r="AZ91" s="17"/>
      <c r="BA91" s="17"/>
      <c r="BB91" s="17"/>
      <c r="BC91" s="17"/>
      <c r="BD91" s="17"/>
      <c r="BE91" s="17"/>
      <c r="BF91" s="17"/>
      <c r="BI91" s="306"/>
    </row>
    <row r="92" spans="1:61" s="57" customFormat="1">
      <c r="A92" s="61"/>
      <c r="F92" s="2"/>
      <c r="X92" s="2"/>
      <c r="AJ92" s="2"/>
      <c r="AW92" s="2"/>
      <c r="BI92" s="306"/>
    </row>
    <row r="93" spans="1:61" s="57" customFormat="1">
      <c r="A93" s="113"/>
      <c r="F93" s="2"/>
      <c r="X93" s="2"/>
      <c r="AJ93" s="2"/>
      <c r="AW93" s="2"/>
      <c r="BI93" s="306"/>
    </row>
  </sheetData>
  <mergeCells count="6">
    <mergeCell ref="BC7:BF7"/>
    <mergeCell ref="X7:AD7"/>
    <mergeCell ref="AE7:AI7"/>
    <mergeCell ref="AJ7:AP7"/>
    <mergeCell ref="AQ7:AT7"/>
    <mergeCell ref="AW7:BB7"/>
  </mergeCells>
  <pageMargins left="0.45" right="0.25" top="0.75" bottom="0.5" header="0.4" footer="0.5"/>
  <pageSetup scale="60" fitToWidth="6" orientation="portrait" r:id="rId1"/>
  <headerFooter alignWithMargins="0">
    <oddHeader xml:space="preserve">&amp;L&amp;12PacifiCorp
Washington General Rate Case - December 2009
Summary of Total Adjustments (Rebuttal Position)&amp;10
&amp;R&amp;12Exhibit No.___(RBD-6) - Revised 12/10/10
Page 1.&amp;P+6&amp;10
</oddHeader>
  </headerFooter>
  <colBreaks count="9" manualBreakCount="9">
    <brk id="8" max="1048575" man="1"/>
    <brk id="16" min="4" max="87" man="1"/>
    <brk id="23" max="1048575" man="1"/>
    <brk id="30" min="4" max="87" man="1"/>
    <brk id="35" min="4" max="87" man="1"/>
    <brk id="42" min="4" max="87" man="1"/>
    <brk id="46" min="4" max="87" man="1"/>
    <brk id="48" min="4" max="87" man="1"/>
    <brk id="5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P93"/>
  <sheetViews>
    <sheetView zoomScale="85" zoomScaleNormal="85" zoomScaleSheetLayoutView="85" workbookViewId="0">
      <pane xSplit="1" ySplit="9" topLeftCell="AH10" activePane="bottomRight" state="frozen"/>
      <selection pane="topRight" activeCell="B1" sqref="B1"/>
      <selection pane="bottomLeft" activeCell="A7" sqref="A7"/>
      <selection pane="bottomRight" activeCell="AR6" sqref="AR6"/>
    </sheetView>
  </sheetViews>
  <sheetFormatPr defaultRowHeight="12.75"/>
  <cols>
    <col min="1" max="1" width="40.42578125" style="57" customWidth="1"/>
    <col min="2" max="4" width="13.7109375" style="3" customWidth="1"/>
    <col min="5" max="5" width="13.7109375" style="67" customWidth="1"/>
    <col min="6" max="17" width="13.7109375" style="3" customWidth="1"/>
    <col min="18" max="18" width="13.7109375" style="67" customWidth="1"/>
    <col min="19" max="26" width="13.7109375" style="3" customWidth="1"/>
    <col min="27" max="27" width="13.7109375" style="67" customWidth="1"/>
    <col min="28" max="35" width="13.7109375" style="3" customWidth="1"/>
    <col min="36" max="36" width="13.7109375" style="67" customWidth="1"/>
    <col min="37" max="42" width="13.7109375" style="3" customWidth="1"/>
    <col min="43" max="16384" width="9.140625" style="3"/>
  </cols>
  <sheetData>
    <row r="1" spans="1:42">
      <c r="A1" s="108" t="s">
        <v>60</v>
      </c>
    </row>
    <row r="2" spans="1:42" s="2" customFormat="1">
      <c r="A2" s="1" t="s">
        <v>216</v>
      </c>
    </row>
    <row r="3" spans="1:42" s="2" customFormat="1">
      <c r="A3" s="297" t="s">
        <v>283</v>
      </c>
    </row>
    <row r="4" spans="1:42" s="2" customFormat="1">
      <c r="A4" s="210"/>
    </row>
    <row r="5" spans="1:42" s="2" customFormat="1">
      <c r="A5" s="1"/>
    </row>
    <row r="6" spans="1:42" s="4" customFormat="1" ht="39" thickBot="1">
      <c r="A6" s="210"/>
      <c r="E6" s="212" t="s">
        <v>302</v>
      </c>
      <c r="F6" s="212" t="s">
        <v>303</v>
      </c>
      <c r="J6" s="212" t="s">
        <v>304</v>
      </c>
      <c r="R6" s="212" t="s">
        <v>306</v>
      </c>
      <c r="AA6" s="212" t="s">
        <v>305</v>
      </c>
      <c r="AJ6" s="212" t="s">
        <v>284</v>
      </c>
      <c r="AK6" s="212"/>
      <c r="AL6" s="212" t="s">
        <v>285</v>
      </c>
      <c r="AM6" s="211"/>
      <c r="AN6" s="212" t="s">
        <v>286</v>
      </c>
      <c r="AO6" s="212" t="s">
        <v>288</v>
      </c>
      <c r="AP6" s="212" t="s">
        <v>287</v>
      </c>
    </row>
    <row r="7" spans="1:42" s="5" customFormat="1" ht="13.5" thickBot="1">
      <c r="A7" s="108"/>
      <c r="B7" s="148"/>
      <c r="C7" s="6" t="s">
        <v>44</v>
      </c>
      <c r="D7" s="7"/>
      <c r="E7" s="8"/>
      <c r="F7" s="7"/>
      <c r="G7" s="9"/>
      <c r="H7" s="6" t="s">
        <v>45</v>
      </c>
      <c r="I7" s="7"/>
      <c r="J7" s="7"/>
      <c r="K7" s="7"/>
      <c r="L7" s="9"/>
      <c r="M7" s="6" t="s">
        <v>46</v>
      </c>
      <c r="N7" s="7"/>
      <c r="O7" s="7"/>
      <c r="P7" s="9"/>
      <c r="Q7" s="8" t="s">
        <v>57</v>
      </c>
      <c r="R7" s="6" t="s">
        <v>47</v>
      </c>
      <c r="S7" s="7"/>
      <c r="T7" s="7"/>
      <c r="U7" s="7"/>
      <c r="V7" s="7"/>
      <c r="W7" s="7"/>
      <c r="X7" s="7"/>
      <c r="Y7" s="7"/>
      <c r="Z7" s="9"/>
      <c r="AA7" s="310" t="s">
        <v>48</v>
      </c>
      <c r="AB7" s="311"/>
      <c r="AC7" s="311"/>
      <c r="AD7" s="311"/>
      <c r="AE7" s="311"/>
      <c r="AF7" s="311"/>
      <c r="AG7" s="311"/>
      <c r="AH7" s="313"/>
      <c r="AI7" s="314"/>
      <c r="AJ7" s="310" t="s">
        <v>274</v>
      </c>
      <c r="AK7" s="315"/>
      <c r="AL7" s="315"/>
      <c r="AM7" s="315"/>
      <c r="AN7" s="315"/>
      <c r="AO7" s="315"/>
      <c r="AP7" s="316"/>
    </row>
    <row r="8" spans="1:42">
      <c r="B8" s="74"/>
      <c r="C8" s="11" t="s">
        <v>0</v>
      </c>
      <c r="D8" s="10" t="s">
        <v>2</v>
      </c>
      <c r="E8" s="214" t="s">
        <v>4</v>
      </c>
      <c r="F8" s="214" t="s">
        <v>5</v>
      </c>
      <c r="G8" s="12" t="s">
        <v>6</v>
      </c>
      <c r="H8" s="127" t="s">
        <v>1</v>
      </c>
      <c r="I8" s="128" t="s">
        <v>7</v>
      </c>
      <c r="J8" s="232" t="s">
        <v>10</v>
      </c>
      <c r="K8" s="128" t="s">
        <v>11</v>
      </c>
      <c r="L8" s="129" t="s">
        <v>12</v>
      </c>
      <c r="M8" s="127" t="s">
        <v>13</v>
      </c>
      <c r="N8" s="128" t="s">
        <v>53</v>
      </c>
      <c r="O8" s="128" t="s">
        <v>49</v>
      </c>
      <c r="P8" s="129" t="s">
        <v>52</v>
      </c>
      <c r="Q8" s="74" t="s">
        <v>14</v>
      </c>
      <c r="R8" s="233" t="s">
        <v>15</v>
      </c>
      <c r="S8" s="10" t="s">
        <v>16</v>
      </c>
      <c r="T8" s="10" t="s">
        <v>18</v>
      </c>
      <c r="U8" s="10" t="s">
        <v>54</v>
      </c>
      <c r="V8" s="10" t="s">
        <v>55</v>
      </c>
      <c r="W8" s="10" t="s">
        <v>20</v>
      </c>
      <c r="X8" s="10" t="s">
        <v>21</v>
      </c>
      <c r="Y8" s="10" t="s">
        <v>22</v>
      </c>
      <c r="Z8" s="12" t="s">
        <v>23</v>
      </c>
      <c r="AA8" s="251" t="s">
        <v>25</v>
      </c>
      <c r="AB8" s="128" t="s">
        <v>26</v>
      </c>
      <c r="AC8" s="128" t="s">
        <v>27</v>
      </c>
      <c r="AD8" s="128" t="s">
        <v>28</v>
      </c>
      <c r="AE8" s="128" t="s">
        <v>29</v>
      </c>
      <c r="AF8" s="128" t="s">
        <v>56</v>
      </c>
      <c r="AG8" s="128" t="s">
        <v>30</v>
      </c>
      <c r="AH8" s="128" t="s">
        <v>32</v>
      </c>
      <c r="AI8" s="129" t="s">
        <v>33</v>
      </c>
      <c r="AJ8" s="134" t="s">
        <v>272</v>
      </c>
      <c r="AK8" s="128" t="s">
        <v>275</v>
      </c>
      <c r="AL8" s="128" t="s">
        <v>277</v>
      </c>
      <c r="AM8" s="128" t="s">
        <v>278</v>
      </c>
      <c r="AN8" s="128" t="s">
        <v>273</v>
      </c>
      <c r="AO8" s="128" t="s">
        <v>281</v>
      </c>
      <c r="AP8" s="129" t="s">
        <v>282</v>
      </c>
    </row>
    <row r="9" spans="1:42" s="5" customFormat="1" ht="63" customHeight="1">
      <c r="A9" s="108"/>
      <c r="B9" s="75" t="s">
        <v>43</v>
      </c>
      <c r="C9" s="14" t="s">
        <v>127</v>
      </c>
      <c r="D9" s="13" t="s">
        <v>128</v>
      </c>
      <c r="E9" s="215" t="s">
        <v>129</v>
      </c>
      <c r="F9" s="215" t="s">
        <v>130</v>
      </c>
      <c r="G9" s="15" t="s">
        <v>131</v>
      </c>
      <c r="H9" s="14" t="s">
        <v>132</v>
      </c>
      <c r="I9" s="13" t="s">
        <v>133</v>
      </c>
      <c r="J9" s="215" t="s">
        <v>134</v>
      </c>
      <c r="K9" s="68" t="s">
        <v>135</v>
      </c>
      <c r="L9" s="15" t="s">
        <v>136</v>
      </c>
      <c r="M9" s="14" t="s">
        <v>137</v>
      </c>
      <c r="N9" s="68" t="s">
        <v>138</v>
      </c>
      <c r="O9" s="68" t="s">
        <v>139</v>
      </c>
      <c r="P9" s="15" t="s">
        <v>140</v>
      </c>
      <c r="Q9" s="75" t="s">
        <v>141</v>
      </c>
      <c r="R9" s="234" t="s">
        <v>142</v>
      </c>
      <c r="S9" s="13" t="s">
        <v>143</v>
      </c>
      <c r="T9" s="13" t="s">
        <v>144</v>
      </c>
      <c r="U9" s="13" t="s">
        <v>145</v>
      </c>
      <c r="V9" s="13" t="s">
        <v>146</v>
      </c>
      <c r="W9" s="13" t="s">
        <v>147</v>
      </c>
      <c r="X9" s="13" t="s">
        <v>148</v>
      </c>
      <c r="Y9" s="13" t="s">
        <v>149</v>
      </c>
      <c r="Z9" s="15" t="s">
        <v>150</v>
      </c>
      <c r="AA9" s="252" t="s">
        <v>151</v>
      </c>
      <c r="AB9" s="16" t="s">
        <v>152</v>
      </c>
      <c r="AC9" s="16" t="s">
        <v>153</v>
      </c>
      <c r="AD9" s="13" t="s">
        <v>154</v>
      </c>
      <c r="AE9" s="16" t="s">
        <v>155</v>
      </c>
      <c r="AF9" s="13" t="s">
        <v>156</v>
      </c>
      <c r="AG9" s="16" t="s">
        <v>157</v>
      </c>
      <c r="AH9" s="13" t="s">
        <v>158</v>
      </c>
      <c r="AI9" s="15" t="s">
        <v>112</v>
      </c>
      <c r="AJ9" s="135" t="s">
        <v>129</v>
      </c>
      <c r="AK9" s="13" t="s">
        <v>276</v>
      </c>
      <c r="AL9" s="13" t="s">
        <v>134</v>
      </c>
      <c r="AM9" s="13" t="s">
        <v>279</v>
      </c>
      <c r="AN9" s="13" t="s">
        <v>280</v>
      </c>
      <c r="AO9" s="13" t="s">
        <v>151</v>
      </c>
      <c r="AP9" s="15" t="s">
        <v>335</v>
      </c>
    </row>
    <row r="10" spans="1:42">
      <c r="B10" s="149"/>
      <c r="C10" s="18"/>
      <c r="D10" s="17"/>
      <c r="E10" s="216"/>
      <c r="F10" s="217"/>
      <c r="G10" s="22"/>
      <c r="H10" s="20"/>
      <c r="I10" s="17"/>
      <c r="J10" s="217"/>
      <c r="K10" s="17"/>
      <c r="L10" s="23"/>
      <c r="M10" s="20"/>
      <c r="N10" s="17"/>
      <c r="O10" s="17"/>
      <c r="P10" s="23"/>
      <c r="Q10" s="76"/>
      <c r="R10" s="235"/>
      <c r="S10" s="19"/>
      <c r="T10" s="19"/>
      <c r="U10" s="17"/>
      <c r="V10" s="19"/>
      <c r="W10" s="17"/>
      <c r="X10" s="17"/>
      <c r="Y10" s="17"/>
      <c r="Z10" s="23"/>
      <c r="AA10" s="236"/>
      <c r="AB10" s="19"/>
      <c r="AC10" s="19"/>
      <c r="AD10" s="17"/>
      <c r="AE10" s="19"/>
      <c r="AF10" s="17"/>
      <c r="AG10" s="19"/>
      <c r="AH10" s="19"/>
      <c r="AI10" s="22"/>
      <c r="AJ10" s="136"/>
      <c r="AK10" s="19"/>
      <c r="AL10" s="19"/>
      <c r="AM10" s="17"/>
      <c r="AN10" s="19"/>
      <c r="AO10" s="17"/>
      <c r="AP10" s="23"/>
    </row>
    <row r="11" spans="1:42">
      <c r="A11" s="61" t="s">
        <v>65</v>
      </c>
      <c r="B11" s="76"/>
      <c r="C11" s="20"/>
      <c r="D11" s="17"/>
      <c r="E11" s="216"/>
      <c r="F11" s="216"/>
      <c r="G11" s="22"/>
      <c r="H11" s="20"/>
      <c r="I11" s="17"/>
      <c r="J11" s="216"/>
      <c r="K11" s="17"/>
      <c r="L11" s="22"/>
      <c r="M11" s="20"/>
      <c r="N11" s="17"/>
      <c r="O11" s="17"/>
      <c r="P11" s="22"/>
      <c r="Q11" s="76"/>
      <c r="R11" s="236"/>
      <c r="S11" s="17"/>
      <c r="T11" s="17"/>
      <c r="U11" s="17"/>
      <c r="V11" s="17"/>
      <c r="W11" s="17"/>
      <c r="X11" s="17"/>
      <c r="Y11" s="17"/>
      <c r="Z11" s="22"/>
      <c r="AA11" s="236"/>
      <c r="AB11" s="17"/>
      <c r="AC11" s="17"/>
      <c r="AD11" s="17"/>
      <c r="AE11" s="17"/>
      <c r="AF11" s="17"/>
      <c r="AG11" s="17"/>
      <c r="AH11" s="17"/>
      <c r="AI11" s="22"/>
      <c r="AJ11" s="136"/>
      <c r="AK11" s="17"/>
      <c r="AL11" s="17"/>
      <c r="AM11" s="17"/>
      <c r="AN11" s="17"/>
      <c r="AO11" s="17"/>
      <c r="AP11" s="22"/>
    </row>
    <row r="12" spans="1:42">
      <c r="A12" s="61" t="s">
        <v>66</v>
      </c>
      <c r="B12" s="80">
        <f>SUM(C12:AP12)</f>
        <v>-6737565.5899999887</v>
      </c>
      <c r="C12" s="26">
        <f>'[3]Lead Sheet 3.1'!$I$12</f>
        <v>-6704444.6599999983</v>
      </c>
      <c r="D12" s="25">
        <f>'[3]Lead Sheet 3.2'!$I$14</f>
        <v>-33120.929999989981</v>
      </c>
      <c r="E12" s="218"/>
      <c r="F12" s="218"/>
      <c r="G12" s="30"/>
      <c r="H12" s="27"/>
      <c r="I12" s="25"/>
      <c r="J12" s="219"/>
      <c r="K12" s="25"/>
      <c r="L12" s="30"/>
      <c r="M12" s="27"/>
      <c r="N12" s="25"/>
      <c r="O12" s="25"/>
      <c r="P12" s="30"/>
      <c r="Q12" s="77"/>
      <c r="R12" s="237"/>
      <c r="S12" s="28"/>
      <c r="T12" s="28"/>
      <c r="U12" s="28"/>
      <c r="V12" s="28"/>
      <c r="W12" s="28"/>
      <c r="X12" s="28"/>
      <c r="Y12" s="28"/>
      <c r="Z12" s="29"/>
      <c r="AA12" s="239"/>
      <c r="AB12" s="25"/>
      <c r="AC12" s="25"/>
      <c r="AD12" s="25"/>
      <c r="AE12" s="25"/>
      <c r="AF12" s="17"/>
      <c r="AG12" s="25"/>
      <c r="AH12" s="28"/>
      <c r="AI12" s="30"/>
      <c r="AJ12" s="137"/>
      <c r="AK12" s="25"/>
      <c r="AL12" s="25"/>
      <c r="AM12" s="25"/>
      <c r="AN12" s="25"/>
      <c r="AO12" s="17"/>
      <c r="AP12" s="30"/>
    </row>
    <row r="13" spans="1:42">
      <c r="A13" s="61" t="s">
        <v>67</v>
      </c>
      <c r="B13" s="80">
        <f>SUM(C13:AP13)</f>
        <v>0</v>
      </c>
      <c r="C13" s="26"/>
      <c r="D13" s="28"/>
      <c r="E13" s="219"/>
      <c r="F13" s="218"/>
      <c r="G13" s="29"/>
      <c r="H13" s="26"/>
      <c r="I13" s="28"/>
      <c r="J13" s="219"/>
      <c r="K13" s="28"/>
      <c r="L13" s="30"/>
      <c r="M13" s="26"/>
      <c r="N13" s="28"/>
      <c r="O13" s="28"/>
      <c r="P13" s="30"/>
      <c r="Q13" s="77"/>
      <c r="R13" s="237"/>
      <c r="S13" s="28"/>
      <c r="T13" s="28"/>
      <c r="U13" s="28"/>
      <c r="V13" s="28"/>
      <c r="W13" s="28"/>
      <c r="X13" s="28"/>
      <c r="Y13" s="28"/>
      <c r="Z13" s="29"/>
      <c r="AA13" s="237"/>
      <c r="AB13" s="25"/>
      <c r="AC13" s="25"/>
      <c r="AD13" s="28"/>
      <c r="AE13" s="25"/>
      <c r="AF13" s="17"/>
      <c r="AG13" s="25"/>
      <c r="AH13" s="28"/>
      <c r="AI13" s="29"/>
      <c r="AJ13" s="138"/>
      <c r="AK13" s="25"/>
      <c r="AL13" s="25"/>
      <c r="AM13" s="28"/>
      <c r="AN13" s="25"/>
      <c r="AO13" s="17"/>
      <c r="AP13" s="30"/>
    </row>
    <row r="14" spans="1:42">
      <c r="A14" s="61" t="s">
        <v>68</v>
      </c>
      <c r="B14" s="80">
        <f>SUM(C14:AP14)</f>
        <v>3803644.2032988709</v>
      </c>
      <c r="C14" s="26"/>
      <c r="D14" s="28"/>
      <c r="E14" s="219"/>
      <c r="F14" s="218"/>
      <c r="G14" s="29"/>
      <c r="H14" s="26"/>
      <c r="I14" s="28"/>
      <c r="J14" s="219"/>
      <c r="K14" s="28"/>
      <c r="L14" s="30"/>
      <c r="M14" s="26">
        <f>'[42]Lead Sheet - 5.1'!$I$13</f>
        <v>3803644.2032988709</v>
      </c>
      <c r="N14" s="28"/>
      <c r="O14" s="28"/>
      <c r="P14" s="30"/>
      <c r="Q14" s="77"/>
      <c r="R14" s="237"/>
      <c r="S14" s="28"/>
      <c r="T14" s="28"/>
      <c r="U14" s="28"/>
      <c r="V14" s="28"/>
      <c r="W14" s="28"/>
      <c r="X14" s="28"/>
      <c r="Y14" s="28"/>
      <c r="Z14" s="29"/>
      <c r="AA14" s="237"/>
      <c r="AB14" s="25"/>
      <c r="AC14" s="25"/>
      <c r="AD14" s="28"/>
      <c r="AE14" s="25"/>
      <c r="AF14" s="17"/>
      <c r="AG14" s="25"/>
      <c r="AH14" s="28"/>
      <c r="AI14" s="29"/>
      <c r="AJ14" s="138"/>
      <c r="AK14" s="25"/>
      <c r="AL14" s="25"/>
      <c r="AM14" s="28"/>
      <c r="AN14" s="25"/>
      <c r="AO14" s="17"/>
      <c r="AP14" s="30"/>
    </row>
    <row r="15" spans="1:42">
      <c r="A15" s="61" t="s">
        <v>69</v>
      </c>
      <c r="B15" s="80">
        <f>SUM(C15:AP15)</f>
        <v>-4108989.02950744</v>
      </c>
      <c r="C15" s="26"/>
      <c r="D15" s="28"/>
      <c r="E15" s="219"/>
      <c r="F15" s="218"/>
      <c r="G15" s="29">
        <f>'[4]Lead Sheet'!$I$10</f>
        <v>102649.47138948992</v>
      </c>
      <c r="H15" s="26"/>
      <c r="I15" s="28"/>
      <c r="J15" s="219"/>
      <c r="K15" s="28"/>
      <c r="L15" s="30"/>
      <c r="M15" s="26"/>
      <c r="N15" s="28"/>
      <c r="O15" s="28"/>
      <c r="P15" s="30"/>
      <c r="Q15" s="77"/>
      <c r="R15" s="237"/>
      <c r="S15" s="28"/>
      <c r="T15" s="28"/>
      <c r="U15" s="28"/>
      <c r="V15" s="28"/>
      <c r="W15" s="28"/>
      <c r="X15" s="28"/>
      <c r="Y15" s="28"/>
      <c r="Z15" s="29"/>
      <c r="AA15" s="237"/>
      <c r="AB15" s="25"/>
      <c r="AC15" s="25"/>
      <c r="AD15" s="28"/>
      <c r="AE15" s="25"/>
      <c r="AF15" s="17"/>
      <c r="AG15" s="25"/>
      <c r="AH15" s="28"/>
      <c r="AI15" s="29"/>
      <c r="AJ15" s="138"/>
      <c r="AK15" s="25"/>
      <c r="AL15" s="25"/>
      <c r="AM15" s="28"/>
      <c r="AN15" s="25">
        <f>'[5]Lead Sheet - Rebuttal'!$I$8</f>
        <v>-4211638.5008969298</v>
      </c>
      <c r="AO15" s="17"/>
      <c r="AP15" s="30"/>
    </row>
    <row r="16" spans="1:42">
      <c r="A16" s="61" t="s">
        <v>70</v>
      </c>
      <c r="B16" s="78">
        <f>SUM(C16:AP16)</f>
        <v>-7042910.4162085578</v>
      </c>
      <c r="C16" s="33">
        <f>SUM(C12:C15)</f>
        <v>-6704444.6599999983</v>
      </c>
      <c r="D16" s="31">
        <f t="shared" ref="D16:AP16" si="0">SUM(D12:D15)</f>
        <v>-33120.929999989981</v>
      </c>
      <c r="E16" s="220">
        <f t="shared" si="0"/>
        <v>0</v>
      </c>
      <c r="F16" s="220">
        <f t="shared" si="0"/>
        <v>0</v>
      </c>
      <c r="G16" s="34">
        <f t="shared" si="0"/>
        <v>102649.47138948992</v>
      </c>
      <c r="H16" s="33">
        <f t="shared" si="0"/>
        <v>0</v>
      </c>
      <c r="I16" s="31">
        <f t="shared" si="0"/>
        <v>0</v>
      </c>
      <c r="J16" s="220">
        <f t="shared" si="0"/>
        <v>0</v>
      </c>
      <c r="K16" s="31">
        <f t="shared" si="0"/>
        <v>0</v>
      </c>
      <c r="L16" s="34">
        <f t="shared" ref="L16" si="1">SUM(L12:L15)</f>
        <v>0</v>
      </c>
      <c r="M16" s="33">
        <f t="shared" ref="M16" si="2">SUM(M12:M15)</f>
        <v>3803644.2032988709</v>
      </c>
      <c r="N16" s="31">
        <f t="shared" ref="N16:O16" si="3">SUM(N12:N15)</f>
        <v>0</v>
      </c>
      <c r="O16" s="31">
        <f t="shared" si="3"/>
        <v>0</v>
      </c>
      <c r="P16" s="34">
        <f t="shared" si="0"/>
        <v>0</v>
      </c>
      <c r="Q16" s="78">
        <f t="shared" si="0"/>
        <v>0</v>
      </c>
      <c r="R16" s="238">
        <f t="shared" si="0"/>
        <v>0</v>
      </c>
      <c r="S16" s="31">
        <f t="shared" ref="S16" si="4">SUM(S12:S15)</f>
        <v>0</v>
      </c>
      <c r="T16" s="31">
        <f t="shared" si="0"/>
        <v>0</v>
      </c>
      <c r="U16" s="31">
        <f t="shared" si="0"/>
        <v>0</v>
      </c>
      <c r="V16" s="31">
        <f t="shared" si="0"/>
        <v>0</v>
      </c>
      <c r="W16" s="31">
        <f t="shared" si="0"/>
        <v>0</v>
      </c>
      <c r="X16" s="31">
        <f t="shared" ref="X16:Y16" si="5">SUM(X12:X15)</f>
        <v>0</v>
      </c>
      <c r="Y16" s="31">
        <f t="shared" si="5"/>
        <v>0</v>
      </c>
      <c r="Z16" s="34">
        <f t="shared" si="0"/>
        <v>0</v>
      </c>
      <c r="AA16" s="238">
        <f t="shared" si="0"/>
        <v>0</v>
      </c>
      <c r="AB16" s="31">
        <f t="shared" si="0"/>
        <v>0</v>
      </c>
      <c r="AC16" s="31">
        <f t="shared" si="0"/>
        <v>0</v>
      </c>
      <c r="AD16" s="31">
        <f t="shared" si="0"/>
        <v>0</v>
      </c>
      <c r="AE16" s="31">
        <f t="shared" ref="AE16" si="6">SUM(AE12:AE15)</f>
        <v>0</v>
      </c>
      <c r="AF16" s="31">
        <f t="shared" si="0"/>
        <v>0</v>
      </c>
      <c r="AG16" s="31">
        <f t="shared" si="0"/>
        <v>0</v>
      </c>
      <c r="AH16" s="31">
        <f t="shared" si="0"/>
        <v>0</v>
      </c>
      <c r="AI16" s="34">
        <f t="shared" si="0"/>
        <v>0</v>
      </c>
      <c r="AJ16" s="139">
        <f t="shared" si="0"/>
        <v>0</v>
      </c>
      <c r="AK16" s="31">
        <f t="shared" si="0"/>
        <v>0</v>
      </c>
      <c r="AL16" s="31">
        <f t="shared" si="0"/>
        <v>0</v>
      </c>
      <c r="AM16" s="31">
        <f t="shared" si="0"/>
        <v>0</v>
      </c>
      <c r="AN16" s="31">
        <f t="shared" si="0"/>
        <v>-4211638.5008969298</v>
      </c>
      <c r="AO16" s="31">
        <f t="shared" si="0"/>
        <v>0</v>
      </c>
      <c r="AP16" s="34">
        <f t="shared" si="0"/>
        <v>0</v>
      </c>
    </row>
    <row r="17" spans="1:42">
      <c r="A17" s="61"/>
      <c r="B17" s="76"/>
      <c r="C17" s="20"/>
      <c r="D17" s="17"/>
      <c r="E17" s="216"/>
      <c r="F17" s="216"/>
      <c r="G17" s="22"/>
      <c r="H17" s="20"/>
      <c r="I17" s="17"/>
      <c r="J17" s="216"/>
      <c r="K17" s="17"/>
      <c r="L17" s="22"/>
      <c r="M17" s="20"/>
      <c r="N17" s="17"/>
      <c r="O17" s="17"/>
      <c r="P17" s="22"/>
      <c r="Q17" s="76"/>
      <c r="R17" s="236"/>
      <c r="S17" s="17"/>
      <c r="T17" s="17"/>
      <c r="U17" s="17"/>
      <c r="V17" s="17"/>
      <c r="W17" s="17"/>
      <c r="X17" s="17"/>
      <c r="Y17" s="17"/>
      <c r="Z17" s="22"/>
      <c r="AA17" s="236"/>
      <c r="AB17" s="17"/>
      <c r="AC17" s="17"/>
      <c r="AD17" s="17"/>
      <c r="AE17" s="17"/>
      <c r="AF17" s="17"/>
      <c r="AG17" s="17"/>
      <c r="AH17" s="17"/>
      <c r="AI17" s="22"/>
      <c r="AJ17" s="136"/>
      <c r="AK17" s="17"/>
      <c r="AL17" s="17"/>
      <c r="AM17" s="17"/>
      <c r="AN17" s="17"/>
      <c r="AO17" s="17"/>
      <c r="AP17" s="22"/>
    </row>
    <row r="18" spans="1:42">
      <c r="A18" s="61" t="s">
        <v>71</v>
      </c>
      <c r="B18" s="76"/>
      <c r="C18" s="20"/>
      <c r="D18" s="17"/>
      <c r="E18" s="216"/>
      <c r="F18" s="216"/>
      <c r="G18" s="22"/>
      <c r="H18" s="20"/>
      <c r="I18" s="17"/>
      <c r="J18" s="216"/>
      <c r="K18" s="17"/>
      <c r="L18" s="22"/>
      <c r="M18" s="20"/>
      <c r="N18" s="17"/>
      <c r="O18" s="17"/>
      <c r="P18" s="22"/>
      <c r="Q18" s="76"/>
      <c r="R18" s="239"/>
      <c r="S18" s="17"/>
      <c r="T18" s="17"/>
      <c r="U18" s="17"/>
      <c r="V18" s="17"/>
      <c r="W18" s="17"/>
      <c r="X18" s="17"/>
      <c r="Y18" s="17"/>
      <c r="Z18" s="22"/>
      <c r="AA18" s="236"/>
      <c r="AB18" s="17"/>
      <c r="AC18" s="17"/>
      <c r="AD18" s="17"/>
      <c r="AE18" s="17"/>
      <c r="AF18" s="17"/>
      <c r="AG18" s="17"/>
      <c r="AH18" s="17"/>
      <c r="AI18" s="22"/>
      <c r="AJ18" s="136"/>
      <c r="AK18" s="17"/>
      <c r="AL18" s="17"/>
      <c r="AM18" s="17"/>
      <c r="AN18" s="17"/>
      <c r="AO18" s="17"/>
      <c r="AP18" s="22"/>
    </row>
    <row r="19" spans="1:42">
      <c r="A19" s="61" t="s">
        <v>72</v>
      </c>
      <c r="B19" s="80">
        <f t="shared" ref="B19:B40" si="7">SUM(C19:AP19)</f>
        <v>-1302039.490000973</v>
      </c>
      <c r="C19" s="26"/>
      <c r="D19" s="28"/>
      <c r="E19" s="219"/>
      <c r="F19" s="218"/>
      <c r="G19" s="29"/>
      <c r="H19" s="26"/>
      <c r="I19" s="28">
        <f>SUM('[6]Lead Sheet 4.2'!$I$9:$I$19)</f>
        <v>4568.3264503989094</v>
      </c>
      <c r="J19" s="219"/>
      <c r="K19" s="28"/>
      <c r="L19" s="30">
        <f>'[7]Lead Sheet'!$I$16</f>
        <v>-91.506246302488393</v>
      </c>
      <c r="M19" s="26">
        <f>'[42]Lead Sheet - 5.1'!$I$30</f>
        <v>-1306516.3102050694</v>
      </c>
      <c r="N19" s="28"/>
      <c r="O19" s="28"/>
      <c r="P19" s="29"/>
      <c r="Q19" s="77"/>
      <c r="R19" s="237"/>
      <c r="S19" s="28"/>
      <c r="T19" s="28"/>
      <c r="U19" s="28"/>
      <c r="V19" s="28"/>
      <c r="W19" s="28"/>
      <c r="X19" s="28"/>
      <c r="Y19" s="28"/>
      <c r="Z19" s="29"/>
      <c r="AA19" s="237"/>
      <c r="AB19" s="25"/>
      <c r="AC19" s="25"/>
      <c r="AD19" s="28"/>
      <c r="AE19" s="25"/>
      <c r="AF19" s="17"/>
      <c r="AG19" s="25"/>
      <c r="AH19" s="28"/>
      <c r="AI19" s="29"/>
      <c r="AJ19" s="138"/>
      <c r="AK19" s="25"/>
      <c r="AL19" s="25"/>
      <c r="AM19" s="28"/>
      <c r="AN19" s="25"/>
      <c r="AO19" s="17"/>
      <c r="AP19" s="30"/>
    </row>
    <row r="20" spans="1:42">
      <c r="A20" s="61" t="s">
        <v>73</v>
      </c>
      <c r="B20" s="80">
        <f t="shared" si="7"/>
        <v>0</v>
      </c>
      <c r="C20" s="26"/>
      <c r="D20" s="28"/>
      <c r="E20" s="219"/>
      <c r="F20" s="218"/>
      <c r="G20" s="29"/>
      <c r="H20" s="26"/>
      <c r="I20" s="28"/>
      <c r="J20" s="219"/>
      <c r="K20" s="28"/>
      <c r="L20" s="30"/>
      <c r="M20" s="26"/>
      <c r="N20" s="28"/>
      <c r="O20" s="28"/>
      <c r="P20" s="29"/>
      <c r="Q20" s="77"/>
      <c r="R20" s="237"/>
      <c r="S20" s="28"/>
      <c r="T20" s="28"/>
      <c r="U20" s="28"/>
      <c r="V20" s="28"/>
      <c r="W20" s="28"/>
      <c r="X20" s="28"/>
      <c r="Y20" s="28"/>
      <c r="Z20" s="29"/>
      <c r="AA20" s="237"/>
      <c r="AB20" s="25"/>
      <c r="AC20" s="25"/>
      <c r="AD20" s="28"/>
      <c r="AE20" s="25"/>
      <c r="AF20" s="17"/>
      <c r="AG20" s="25"/>
      <c r="AH20" s="28"/>
      <c r="AI20" s="29"/>
      <c r="AJ20" s="138"/>
      <c r="AK20" s="25"/>
      <c r="AL20" s="25"/>
      <c r="AM20" s="28"/>
      <c r="AN20" s="25"/>
      <c r="AO20" s="17"/>
      <c r="AP20" s="30"/>
    </row>
    <row r="21" spans="1:42">
      <c r="A21" s="61" t="s">
        <v>74</v>
      </c>
      <c r="B21" s="80">
        <f t="shared" si="7"/>
        <v>1964.8349516471831</v>
      </c>
      <c r="C21" s="26"/>
      <c r="D21" s="28"/>
      <c r="E21" s="219"/>
      <c r="F21" s="218"/>
      <c r="G21" s="29"/>
      <c r="H21" s="26"/>
      <c r="I21" s="28">
        <f>SUM('[6]Lead Sheet 4.2'!$I$20:$I$23)</f>
        <v>1964.8349516471831</v>
      </c>
      <c r="J21" s="219"/>
      <c r="K21" s="28"/>
      <c r="L21" s="114"/>
      <c r="M21" s="26"/>
      <c r="N21" s="28"/>
      <c r="O21" s="28"/>
      <c r="P21" s="29"/>
      <c r="Q21" s="77"/>
      <c r="R21" s="237"/>
      <c r="S21" s="28"/>
      <c r="T21" s="28"/>
      <c r="U21" s="28"/>
      <c r="V21" s="28"/>
      <c r="W21" s="28"/>
      <c r="X21" s="28"/>
      <c r="Y21" s="28"/>
      <c r="Z21" s="29"/>
      <c r="AA21" s="237"/>
      <c r="AB21" s="25"/>
      <c r="AC21" s="25"/>
      <c r="AD21" s="28"/>
      <c r="AE21" s="25"/>
      <c r="AF21" s="17"/>
      <c r="AG21" s="25"/>
      <c r="AH21" s="28"/>
      <c r="AI21" s="29"/>
      <c r="AJ21" s="138"/>
      <c r="AK21" s="25"/>
      <c r="AL21" s="25"/>
      <c r="AM21" s="28"/>
      <c r="AN21" s="25"/>
      <c r="AO21" s="17"/>
      <c r="AP21" s="30"/>
    </row>
    <row r="22" spans="1:42">
      <c r="A22" s="61" t="s">
        <v>75</v>
      </c>
      <c r="B22" s="80">
        <f t="shared" si="7"/>
        <v>2206561.8332285574</v>
      </c>
      <c r="C22" s="26"/>
      <c r="D22" s="28"/>
      <c r="E22" s="219"/>
      <c r="F22" s="218"/>
      <c r="G22" s="29"/>
      <c r="H22" s="26">
        <f>'[8]Lead Sheet'!$I$9</f>
        <v>-398.79035040746351</v>
      </c>
      <c r="I22" s="28">
        <f>SUM('[6]Lead Sheet 4.2'!$I$24:$I$32)</f>
        <v>2394.1585700828332</v>
      </c>
      <c r="J22" s="219"/>
      <c r="K22" s="28"/>
      <c r="L22" s="30">
        <f>'[7]Lead Sheet'!$I$13</f>
        <v>-82916.446129532909</v>
      </c>
      <c r="M22" s="26">
        <f>'[42]Lead Sheet - 5.1'!$I$21+'[42]Lead Sheet - 5.1'!$I$31</f>
        <v>-5889920.3078454062</v>
      </c>
      <c r="N22" s="28">
        <f>'[9]Lead Sheet WCA'!$I$13</f>
        <v>152282.21898382137</v>
      </c>
      <c r="O22" s="28">
        <f>'[10]Lead Sheet'!$I$12</f>
        <v>8025121</v>
      </c>
      <c r="P22" s="29"/>
      <c r="Q22" s="77">
        <v>0</v>
      </c>
      <c r="R22" s="237"/>
      <c r="S22" s="28"/>
      <c r="T22" s="28"/>
      <c r="U22" s="28"/>
      <c r="V22" s="28"/>
      <c r="W22" s="28"/>
      <c r="X22" s="28"/>
      <c r="Y22" s="28"/>
      <c r="Z22" s="29"/>
      <c r="AA22" s="237"/>
      <c r="AB22" s="25"/>
      <c r="AC22" s="25"/>
      <c r="AD22" s="28"/>
      <c r="AE22" s="25"/>
      <c r="AF22" s="17"/>
      <c r="AG22" s="25"/>
      <c r="AH22" s="28"/>
      <c r="AI22" s="29"/>
      <c r="AJ22" s="138"/>
      <c r="AK22" s="25"/>
      <c r="AL22" s="25"/>
      <c r="AM22" s="28"/>
      <c r="AN22" s="25"/>
      <c r="AO22" s="17"/>
      <c r="AP22" s="30"/>
    </row>
    <row r="23" spans="1:42">
      <c r="A23" s="61" t="s">
        <v>76</v>
      </c>
      <c r="B23" s="80">
        <f t="shared" si="7"/>
        <v>-119205.98724489645</v>
      </c>
      <c r="C23" s="26"/>
      <c r="D23" s="28"/>
      <c r="E23" s="219"/>
      <c r="F23" s="218"/>
      <c r="G23" s="29">
        <f>'[4]Lead Sheet'!$I$17</f>
        <v>-7394.9629479036066</v>
      </c>
      <c r="H23" s="26"/>
      <c r="I23" s="28">
        <f>SUM('[6]Lead Sheet 4.2'!$I$33:$I$40)</f>
        <v>1698.9163989500187</v>
      </c>
      <c r="J23" s="219"/>
      <c r="K23" s="28"/>
      <c r="L23" s="30">
        <f>'[7]Lead Sheet'!$I$10</f>
        <v>-113509.94069594286</v>
      </c>
      <c r="M23" s="26">
        <f>'[42]Lead Sheet - 5.1'!$I$27</f>
        <v>0</v>
      </c>
      <c r="N23" s="28"/>
      <c r="O23" s="28"/>
      <c r="P23" s="29"/>
      <c r="Q23" s="77"/>
      <c r="R23" s="237"/>
      <c r="S23" s="28"/>
      <c r="T23" s="28"/>
      <c r="U23" s="28"/>
      <c r="V23" s="28"/>
      <c r="W23" s="28"/>
      <c r="X23" s="28"/>
      <c r="Y23" s="28"/>
      <c r="Z23" s="29"/>
      <c r="AA23" s="237"/>
      <c r="AB23" s="25"/>
      <c r="AC23" s="25"/>
      <c r="AD23" s="28"/>
      <c r="AE23" s="25"/>
      <c r="AF23" s="17"/>
      <c r="AG23" s="25"/>
      <c r="AH23" s="28"/>
      <c r="AI23" s="29"/>
      <c r="AJ23" s="138"/>
      <c r="AK23" s="25"/>
      <c r="AL23" s="25"/>
      <c r="AM23" s="28"/>
      <c r="AN23" s="25"/>
      <c r="AO23" s="17"/>
      <c r="AP23" s="30"/>
    </row>
    <row r="24" spans="1:42">
      <c r="A24" s="61" t="s">
        <v>77</v>
      </c>
      <c r="B24" s="80">
        <f t="shared" si="7"/>
        <v>6969.4824389372116</v>
      </c>
      <c r="C24" s="26"/>
      <c r="D24" s="28"/>
      <c r="E24" s="219"/>
      <c r="F24" s="218"/>
      <c r="G24" s="29"/>
      <c r="H24" s="26"/>
      <c r="I24" s="28">
        <f>SUM('[6]Lead Sheet 4.2'!$I$41:$I$44)</f>
        <v>7078.6366564097307</v>
      </c>
      <c r="J24" s="219"/>
      <c r="K24" s="28"/>
      <c r="L24" s="30">
        <f>'[7]Lead Sheet'!$I$17+'[7]Lead Sheet'!$I$15</f>
        <v>-109.15421747251918</v>
      </c>
      <c r="M24" s="26"/>
      <c r="N24" s="28"/>
      <c r="O24" s="28"/>
      <c r="P24" s="29"/>
      <c r="Q24" s="77"/>
      <c r="R24" s="237"/>
      <c r="S24" s="28"/>
      <c r="T24" s="28"/>
      <c r="U24" s="28"/>
      <c r="V24" s="28"/>
      <c r="W24" s="28"/>
      <c r="X24" s="28"/>
      <c r="Y24" s="28"/>
      <c r="Z24" s="29"/>
      <c r="AA24" s="237"/>
      <c r="AB24" s="25"/>
      <c r="AC24" s="25"/>
      <c r="AD24" s="28"/>
      <c r="AE24" s="25"/>
      <c r="AF24" s="17"/>
      <c r="AG24" s="25"/>
      <c r="AH24" s="28"/>
      <c r="AI24" s="29"/>
      <c r="AJ24" s="138"/>
      <c r="AK24" s="25"/>
      <c r="AL24" s="25"/>
      <c r="AM24" s="28"/>
      <c r="AN24" s="25"/>
      <c r="AO24" s="17"/>
      <c r="AP24" s="30"/>
    </row>
    <row r="25" spans="1:42">
      <c r="A25" s="61" t="s">
        <v>78</v>
      </c>
      <c r="B25" s="80">
        <f t="shared" si="7"/>
        <v>4466.1128616715359</v>
      </c>
      <c r="C25" s="26"/>
      <c r="D25" s="28"/>
      <c r="E25" s="219"/>
      <c r="F25" s="218"/>
      <c r="G25" s="29"/>
      <c r="H25" s="26"/>
      <c r="I25" s="28">
        <f>SUM('[6]Lead Sheet 4.2'!$I$45:$I$46)</f>
        <v>4466.1128616715359</v>
      </c>
      <c r="J25" s="219"/>
      <c r="K25" s="28"/>
      <c r="L25" s="30"/>
      <c r="M25" s="26"/>
      <c r="N25" s="28"/>
      <c r="O25" s="28"/>
      <c r="P25" s="29"/>
      <c r="Q25" s="77"/>
      <c r="R25" s="237"/>
      <c r="S25" s="28"/>
      <c r="T25" s="28"/>
      <c r="U25" s="28"/>
      <c r="V25" s="28"/>
      <c r="W25" s="28"/>
      <c r="X25" s="28"/>
      <c r="Y25" s="28"/>
      <c r="Z25" s="29"/>
      <c r="AA25" s="237"/>
      <c r="AB25" s="25"/>
      <c r="AC25" s="25"/>
      <c r="AD25" s="28"/>
      <c r="AE25" s="25"/>
      <c r="AF25" s="17"/>
      <c r="AG25" s="25"/>
      <c r="AH25" s="28"/>
      <c r="AI25" s="29"/>
      <c r="AJ25" s="138"/>
      <c r="AK25" s="25"/>
      <c r="AL25" s="25"/>
      <c r="AM25" s="28"/>
      <c r="AN25" s="25"/>
      <c r="AO25" s="17"/>
      <c r="AP25" s="30"/>
    </row>
    <row r="26" spans="1:42">
      <c r="A26" s="61" t="s">
        <v>79</v>
      </c>
      <c r="B26" s="80">
        <f t="shared" si="7"/>
        <v>-4860648.457373553</v>
      </c>
      <c r="C26" s="26"/>
      <c r="D26" s="28"/>
      <c r="E26" s="219"/>
      <c r="F26" s="218"/>
      <c r="G26" s="29"/>
      <c r="H26" s="26">
        <f>'[8]Lead Sheet'!$I$11</f>
        <v>-605.43309650578158</v>
      </c>
      <c r="I26" s="28">
        <f>SUM('[6]Lead Sheet 4.2'!$I$47:$I$49)</f>
        <v>207.26347054315181</v>
      </c>
      <c r="J26" s="219"/>
      <c r="K26" s="28">
        <f>'[11]Lead Sheet '!$I$16</f>
        <v>-4858459</v>
      </c>
      <c r="L26" s="30"/>
      <c r="M26" s="26"/>
      <c r="N26" s="28"/>
      <c r="O26" s="28"/>
      <c r="P26" s="29"/>
      <c r="Q26" s="77"/>
      <c r="R26" s="237"/>
      <c r="S26" s="28"/>
      <c r="T26" s="28"/>
      <c r="U26" s="28"/>
      <c r="V26" s="28"/>
      <c r="W26" s="28"/>
      <c r="X26" s="28"/>
      <c r="Y26" s="28"/>
      <c r="Z26" s="29"/>
      <c r="AA26" s="237"/>
      <c r="AB26" s="25"/>
      <c r="AC26" s="25"/>
      <c r="AD26" s="28"/>
      <c r="AE26" s="25"/>
      <c r="AF26" s="17"/>
      <c r="AG26" s="25"/>
      <c r="AH26" s="28"/>
      <c r="AI26" s="29"/>
      <c r="AJ26" s="138"/>
      <c r="AK26" s="25"/>
      <c r="AL26" s="25"/>
      <c r="AM26" s="28">
        <f>[12]leadsheet!$I$9</f>
        <v>-1791.2877475899786</v>
      </c>
      <c r="AN26" s="25"/>
      <c r="AO26" s="17"/>
      <c r="AP26" s="30"/>
    </row>
    <row r="27" spans="1:42">
      <c r="A27" s="61" t="s">
        <v>80</v>
      </c>
      <c r="B27" s="80">
        <f t="shared" si="7"/>
        <v>0</v>
      </c>
      <c r="C27" s="26"/>
      <c r="D27" s="28"/>
      <c r="E27" s="219"/>
      <c r="F27" s="218"/>
      <c r="G27" s="29"/>
      <c r="H27" s="26"/>
      <c r="I27" s="28"/>
      <c r="J27" s="219"/>
      <c r="K27" s="28"/>
      <c r="L27" s="30"/>
      <c r="M27" s="26"/>
      <c r="N27" s="28"/>
      <c r="O27" s="28"/>
      <c r="P27" s="29"/>
      <c r="Q27" s="77"/>
      <c r="R27" s="237"/>
      <c r="S27" s="28"/>
      <c r="T27" s="28"/>
      <c r="U27" s="28"/>
      <c r="V27" s="28"/>
      <c r="W27" s="28"/>
      <c r="X27" s="28"/>
      <c r="Y27" s="28"/>
      <c r="Z27" s="29"/>
      <c r="AA27" s="237"/>
      <c r="AB27" s="25"/>
      <c r="AC27" s="25"/>
      <c r="AD27" s="28"/>
      <c r="AE27" s="25"/>
      <c r="AF27" s="17"/>
      <c r="AG27" s="25"/>
      <c r="AH27" s="28"/>
      <c r="AI27" s="29"/>
      <c r="AJ27" s="138"/>
      <c r="AK27" s="25"/>
      <c r="AL27" s="25"/>
      <c r="AM27" s="28"/>
      <c r="AN27" s="25"/>
      <c r="AO27" s="17"/>
      <c r="AP27" s="30"/>
    </row>
    <row r="28" spans="1:42">
      <c r="A28" s="61" t="s">
        <v>81</v>
      </c>
      <c r="B28" s="150">
        <f t="shared" si="7"/>
        <v>-244134.45056957737</v>
      </c>
      <c r="C28" s="37"/>
      <c r="D28" s="35"/>
      <c r="E28" s="221"/>
      <c r="F28" s="222"/>
      <c r="G28" s="39"/>
      <c r="H28" s="37">
        <f>'[8]Lead Sheet'!$I$12+'[8]Lead Sheet'!$I$10+'[8]Lead Sheet'!$I$17</f>
        <v>-43271.966433968082</v>
      </c>
      <c r="I28" s="35">
        <f>SUM('[6]Lead Sheet 4.2'!$I$50:$I$51)</f>
        <v>6545.3271131295669</v>
      </c>
      <c r="J28" s="221"/>
      <c r="K28" s="35"/>
      <c r="L28" s="39"/>
      <c r="M28" s="37"/>
      <c r="N28" s="35"/>
      <c r="O28" s="35"/>
      <c r="P28" s="39"/>
      <c r="Q28" s="79"/>
      <c r="R28" s="240"/>
      <c r="S28" s="35"/>
      <c r="T28" s="35"/>
      <c r="U28" s="35"/>
      <c r="V28" s="35"/>
      <c r="W28" s="35"/>
      <c r="X28" s="35"/>
      <c r="Y28" s="35"/>
      <c r="Z28" s="39"/>
      <c r="AA28" s="240"/>
      <c r="AB28" s="38"/>
      <c r="AC28" s="38">
        <f>'[13]Lead Sheet'!$I$13</f>
        <v>54303.537524919564</v>
      </c>
      <c r="AD28" s="35"/>
      <c r="AE28" s="35"/>
      <c r="AF28" s="40"/>
      <c r="AG28" s="38"/>
      <c r="AH28" s="35"/>
      <c r="AI28" s="39"/>
      <c r="AJ28" s="140"/>
      <c r="AK28" s="38">
        <f>'[14]Rebuttal Leadsheet'!$I$9</f>
        <v>-169674.9921225</v>
      </c>
      <c r="AL28" s="38">
        <f>'[15]Lead Sheet'!$I$9</f>
        <v>-92014.913865822877</v>
      </c>
      <c r="AM28" s="35">
        <f>[12]leadsheet!$I$11</f>
        <v>-21.442785335560455</v>
      </c>
      <c r="AN28" s="35"/>
      <c r="AO28" s="40"/>
      <c r="AP28" s="73"/>
    </row>
    <row r="29" spans="1:42">
      <c r="A29" s="61" t="s">
        <v>82</v>
      </c>
      <c r="B29" s="76">
        <f t="shared" si="7"/>
        <v>-4306066.1217081854</v>
      </c>
      <c r="C29" s="20">
        <f>SUM(C19:C28)</f>
        <v>0</v>
      </c>
      <c r="D29" s="17">
        <f t="shared" ref="D29:AP29" si="8">SUM(D19:D28)</f>
        <v>0</v>
      </c>
      <c r="E29" s="216">
        <f t="shared" si="8"/>
        <v>0</v>
      </c>
      <c r="F29" s="216">
        <f t="shared" si="8"/>
        <v>0</v>
      </c>
      <c r="G29" s="22">
        <f t="shared" si="8"/>
        <v>-7394.9629479036066</v>
      </c>
      <c r="H29" s="20">
        <f>SUM(H19:H28)</f>
        <v>-44276.189880881328</v>
      </c>
      <c r="I29" s="17">
        <f t="shared" si="8"/>
        <v>28923.57647283293</v>
      </c>
      <c r="J29" s="216">
        <f t="shared" si="8"/>
        <v>0</v>
      </c>
      <c r="K29" s="17">
        <f t="shared" si="8"/>
        <v>-4858459</v>
      </c>
      <c r="L29" s="22">
        <f t="shared" ref="L29" si="9">SUM(L19:L28)</f>
        <v>-196627.0472892508</v>
      </c>
      <c r="M29" s="20">
        <v>-7196436.6180504756</v>
      </c>
      <c r="N29" s="17">
        <f t="shared" ref="N29:O29" si="10">SUM(N19:N28)</f>
        <v>152282.21898382137</v>
      </c>
      <c r="O29" s="17">
        <f t="shared" si="10"/>
        <v>8025121</v>
      </c>
      <c r="P29" s="22">
        <f t="shared" si="8"/>
        <v>0</v>
      </c>
      <c r="Q29" s="76">
        <f t="shared" si="8"/>
        <v>0</v>
      </c>
      <c r="R29" s="236">
        <f t="shared" si="8"/>
        <v>0</v>
      </c>
      <c r="S29" s="17">
        <f t="shared" ref="S29" si="11">SUM(S19:S28)</f>
        <v>0</v>
      </c>
      <c r="T29" s="17">
        <f t="shared" si="8"/>
        <v>0</v>
      </c>
      <c r="U29" s="17">
        <f t="shared" si="8"/>
        <v>0</v>
      </c>
      <c r="V29" s="17">
        <f t="shared" si="8"/>
        <v>0</v>
      </c>
      <c r="W29" s="17">
        <f t="shared" si="8"/>
        <v>0</v>
      </c>
      <c r="X29" s="17">
        <f t="shared" ref="X29:Y29" si="12">SUM(X19:X28)</f>
        <v>0</v>
      </c>
      <c r="Y29" s="17">
        <f t="shared" si="12"/>
        <v>0</v>
      </c>
      <c r="Z29" s="22">
        <f t="shared" si="8"/>
        <v>0</v>
      </c>
      <c r="AA29" s="236">
        <f t="shared" si="8"/>
        <v>0</v>
      </c>
      <c r="AB29" s="17">
        <f t="shared" si="8"/>
        <v>0</v>
      </c>
      <c r="AC29" s="17">
        <f t="shared" si="8"/>
        <v>54303.537524919564</v>
      </c>
      <c r="AD29" s="17">
        <f t="shared" si="8"/>
        <v>0</v>
      </c>
      <c r="AE29" s="17">
        <f t="shared" ref="AE29" si="13">SUM(AE19:AE28)</f>
        <v>0</v>
      </c>
      <c r="AF29" s="17">
        <f t="shared" si="8"/>
        <v>0</v>
      </c>
      <c r="AG29" s="17">
        <f t="shared" si="8"/>
        <v>0</v>
      </c>
      <c r="AH29" s="17">
        <f t="shared" si="8"/>
        <v>0</v>
      </c>
      <c r="AI29" s="22">
        <f t="shared" si="8"/>
        <v>0</v>
      </c>
      <c r="AJ29" s="136">
        <f t="shared" si="8"/>
        <v>0</v>
      </c>
      <c r="AK29" s="17">
        <f t="shared" si="8"/>
        <v>-169674.9921225</v>
      </c>
      <c r="AL29" s="17">
        <f t="shared" si="8"/>
        <v>-92014.913865822877</v>
      </c>
      <c r="AM29" s="17">
        <f t="shared" si="8"/>
        <v>-1812.7305329255391</v>
      </c>
      <c r="AN29" s="17">
        <f t="shared" si="8"/>
        <v>0</v>
      </c>
      <c r="AO29" s="17">
        <f t="shared" si="8"/>
        <v>0</v>
      </c>
      <c r="AP29" s="22">
        <f t="shared" si="8"/>
        <v>0</v>
      </c>
    </row>
    <row r="30" spans="1:42">
      <c r="A30" s="61" t="s">
        <v>83</v>
      </c>
      <c r="B30" s="80">
        <f t="shared" si="7"/>
        <v>-415222.55433080252</v>
      </c>
      <c r="C30" s="26"/>
      <c r="D30" s="28"/>
      <c r="E30" s="219"/>
      <c r="F30" s="218"/>
      <c r="G30" s="29"/>
      <c r="H30" s="26"/>
      <c r="I30" s="28"/>
      <c r="J30" s="219"/>
      <c r="K30" s="28"/>
      <c r="L30" s="30"/>
      <c r="M30" s="26"/>
      <c r="N30" s="28"/>
      <c r="O30" s="28"/>
      <c r="P30" s="30">
        <f>SUM('[16]Lead Sheet'!$I$9:$I$10)</f>
        <v>-397232.00153080252</v>
      </c>
      <c r="Q30" s="76"/>
      <c r="R30" s="237"/>
      <c r="S30" s="28"/>
      <c r="T30" s="28"/>
      <c r="U30" s="28"/>
      <c r="V30" s="28"/>
      <c r="W30" s="28"/>
      <c r="X30" s="28"/>
      <c r="Y30" s="28"/>
      <c r="Z30" s="29"/>
      <c r="AA30" s="237"/>
      <c r="AB30" s="25"/>
      <c r="AC30" s="25"/>
      <c r="AD30" s="28"/>
      <c r="AE30" s="25"/>
      <c r="AF30" s="17"/>
      <c r="AG30" s="25">
        <f>'[17]Lead Sheet'!$I$9</f>
        <v>-17990.552800000001</v>
      </c>
      <c r="AH30" s="28"/>
      <c r="AI30" s="29"/>
      <c r="AJ30" s="138"/>
      <c r="AK30" s="25"/>
      <c r="AL30" s="25"/>
      <c r="AM30" s="28"/>
      <c r="AN30" s="25"/>
      <c r="AO30" s="17"/>
      <c r="AP30" s="30"/>
    </row>
    <row r="31" spans="1:42">
      <c r="A31" s="61" t="s">
        <v>84</v>
      </c>
      <c r="B31" s="80">
        <f t="shared" si="7"/>
        <v>-169568.97296169098</v>
      </c>
      <c r="C31" s="26"/>
      <c r="D31" s="28"/>
      <c r="E31" s="219"/>
      <c r="F31" s="218"/>
      <c r="G31" s="29"/>
      <c r="H31" s="26"/>
      <c r="I31" s="28"/>
      <c r="J31" s="219"/>
      <c r="K31" s="28"/>
      <c r="L31" s="30"/>
      <c r="M31" s="26"/>
      <c r="N31" s="28"/>
      <c r="O31" s="28"/>
      <c r="P31" s="30"/>
      <c r="Q31" s="76"/>
      <c r="R31" s="237"/>
      <c r="S31" s="28"/>
      <c r="T31" s="28"/>
      <c r="U31" s="28"/>
      <c r="V31" s="28"/>
      <c r="W31" s="28"/>
      <c r="X31" s="28"/>
      <c r="Y31" s="28"/>
      <c r="Z31" s="29"/>
      <c r="AA31" s="237"/>
      <c r="AB31" s="25"/>
      <c r="AC31" s="25"/>
      <c r="AD31" s="28"/>
      <c r="AE31" s="25"/>
      <c r="AF31" s="17"/>
      <c r="AG31" s="25"/>
      <c r="AH31" s="28">
        <f>SUM('[18]Lead Sheet'!$I$11)</f>
        <v>-169568.97296169098</v>
      </c>
      <c r="AI31" s="29"/>
      <c r="AJ31" s="138"/>
      <c r="AK31" s="25"/>
      <c r="AL31" s="25"/>
      <c r="AM31" s="28"/>
      <c r="AN31" s="25"/>
      <c r="AO31" s="17"/>
      <c r="AP31" s="30"/>
    </row>
    <row r="32" spans="1:42">
      <c r="A32" s="61" t="s">
        <v>85</v>
      </c>
      <c r="B32" s="80">
        <f t="shared" si="7"/>
        <v>-42124.459304340671</v>
      </c>
      <c r="C32" s="26"/>
      <c r="D32" s="28"/>
      <c r="E32" s="219"/>
      <c r="F32" s="218"/>
      <c r="G32" s="29"/>
      <c r="H32" s="26"/>
      <c r="I32" s="28"/>
      <c r="J32" s="219"/>
      <c r="K32" s="28"/>
      <c r="L32" s="30"/>
      <c r="M32" s="26"/>
      <c r="N32" s="28"/>
      <c r="O32" s="28"/>
      <c r="P32" s="30">
        <f>'[16]Lead Sheet'!$I$11</f>
        <v>-42124.459304340671</v>
      </c>
      <c r="Q32" s="76"/>
      <c r="R32" s="237"/>
      <c r="S32" s="28"/>
      <c r="T32" s="28"/>
      <c r="U32" s="28"/>
      <c r="V32" s="28"/>
      <c r="W32" s="28"/>
      <c r="X32" s="28"/>
      <c r="Y32" s="28"/>
      <c r="Z32" s="29"/>
      <c r="AA32" s="237"/>
      <c r="AB32" s="25"/>
      <c r="AC32" s="25"/>
      <c r="AD32" s="28"/>
      <c r="AE32" s="25"/>
      <c r="AF32" s="17"/>
      <c r="AG32" s="25"/>
      <c r="AH32" s="28"/>
      <c r="AI32" s="29"/>
      <c r="AJ32" s="138"/>
      <c r="AK32" s="25"/>
      <c r="AL32" s="25"/>
      <c r="AM32" s="28"/>
      <c r="AN32" s="25"/>
      <c r="AO32" s="17"/>
      <c r="AP32" s="30"/>
    </row>
    <row r="33" spans="1:42">
      <c r="A33" s="61" t="s">
        <v>86</v>
      </c>
      <c r="B33" s="80">
        <f t="shared" si="7"/>
        <v>194287.7542986616</v>
      </c>
      <c r="C33" s="26">
        <f>C87</f>
        <v>-2346555.6309999991</v>
      </c>
      <c r="D33" s="28">
        <f t="shared" ref="D33:AP33" si="14">D87</f>
        <v>-586443.1754999964</v>
      </c>
      <c r="E33" s="219">
        <f t="shared" si="14"/>
        <v>0</v>
      </c>
      <c r="F33" s="218">
        <f t="shared" si="14"/>
        <v>0</v>
      </c>
      <c r="G33" s="29">
        <f t="shared" si="14"/>
        <v>38515.552018087728</v>
      </c>
      <c r="H33" s="26">
        <f t="shared" si="14"/>
        <v>15496.666458308464</v>
      </c>
      <c r="I33" s="28">
        <f t="shared" si="14"/>
        <v>-10123.251765491525</v>
      </c>
      <c r="J33" s="219">
        <f t="shared" si="14"/>
        <v>0</v>
      </c>
      <c r="K33" s="28">
        <f t="shared" si="14"/>
        <v>2185508.9596184753</v>
      </c>
      <c r="L33" s="30">
        <f t="shared" si="14"/>
        <v>68819.466551237769</v>
      </c>
      <c r="M33" s="26">
        <f t="shared" si="14"/>
        <v>3850028.2874722714</v>
      </c>
      <c r="N33" s="28">
        <f t="shared" si="14"/>
        <v>-53298.776644337479</v>
      </c>
      <c r="O33" s="28">
        <f t="shared" si="14"/>
        <v>-2808792.3499999996</v>
      </c>
      <c r="P33" s="30">
        <f t="shared" si="14"/>
        <v>28116.38384746986</v>
      </c>
      <c r="Q33" s="76">
        <f t="shared" si="14"/>
        <v>0</v>
      </c>
      <c r="R33" s="237">
        <f t="shared" si="14"/>
        <v>0</v>
      </c>
      <c r="S33" s="28">
        <f t="shared" si="14"/>
        <v>0</v>
      </c>
      <c r="T33" s="28">
        <f t="shared" si="14"/>
        <v>0</v>
      </c>
      <c r="U33" s="28">
        <f t="shared" si="14"/>
        <v>0</v>
      </c>
      <c r="V33" s="28">
        <f t="shared" si="14"/>
        <v>-75954.622194136726</v>
      </c>
      <c r="W33" s="28">
        <f t="shared" si="14"/>
        <v>0</v>
      </c>
      <c r="X33" s="28">
        <f t="shared" si="14"/>
        <v>0</v>
      </c>
      <c r="Y33" s="28">
        <f t="shared" si="14"/>
        <v>0</v>
      </c>
      <c r="Z33" s="29">
        <f t="shared" si="14"/>
        <v>0</v>
      </c>
      <c r="AA33" s="237">
        <f t="shared" si="14"/>
        <v>0</v>
      </c>
      <c r="AB33" s="25">
        <f t="shared" si="14"/>
        <v>0</v>
      </c>
      <c r="AC33" s="25">
        <f t="shared" si="14"/>
        <v>-39787.569869268467</v>
      </c>
      <c r="AD33" s="28">
        <f t="shared" si="14"/>
        <v>0</v>
      </c>
      <c r="AE33" s="25"/>
      <c r="AF33" s="17">
        <f t="shared" si="14"/>
        <v>164228.64557247536</v>
      </c>
      <c r="AG33" s="25"/>
      <c r="AH33" s="28">
        <f t="shared" si="14"/>
        <v>-62356.574575820028</v>
      </c>
      <c r="AI33" s="29">
        <f t="shared" si="14"/>
        <v>-11901.71733333333</v>
      </c>
      <c r="AJ33" s="138">
        <f t="shared" si="14"/>
        <v>-94173.274325919469</v>
      </c>
      <c r="AK33" s="25">
        <f t="shared" si="14"/>
        <v>59386.247242874997</v>
      </c>
      <c r="AL33" s="25">
        <f t="shared" si="14"/>
        <v>32205.219853038005</v>
      </c>
      <c r="AM33" s="28">
        <f t="shared" si="14"/>
        <v>634.45568652393865</v>
      </c>
      <c r="AN33" s="25">
        <f t="shared" si="14"/>
        <v>-1474073.4753139254</v>
      </c>
      <c r="AO33" s="17">
        <f t="shared" si="14"/>
        <v>0</v>
      </c>
      <c r="AP33" s="30">
        <f t="shared" si="14"/>
        <v>1314808.2885001262</v>
      </c>
    </row>
    <row r="34" spans="1:42">
      <c r="A34" s="61" t="s">
        <v>87</v>
      </c>
      <c r="B34" s="80">
        <f t="shared" si="7"/>
        <v>0</v>
      </c>
      <c r="C34" s="27">
        <v>0</v>
      </c>
      <c r="D34" s="25">
        <v>0</v>
      </c>
      <c r="E34" s="218"/>
      <c r="F34" s="218">
        <v>0</v>
      </c>
      <c r="G34" s="30">
        <v>0</v>
      </c>
      <c r="H34" s="27">
        <v>0</v>
      </c>
      <c r="I34" s="25">
        <v>0</v>
      </c>
      <c r="J34" s="218">
        <v>0</v>
      </c>
      <c r="K34" s="25">
        <v>0</v>
      </c>
      <c r="L34" s="30">
        <v>0</v>
      </c>
      <c r="M34" s="27">
        <v>0</v>
      </c>
      <c r="N34" s="25">
        <v>0</v>
      </c>
      <c r="O34" s="25">
        <v>0</v>
      </c>
      <c r="P34" s="30">
        <v>0</v>
      </c>
      <c r="Q34" s="80">
        <v>0</v>
      </c>
      <c r="R34" s="239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30">
        <v>0</v>
      </c>
      <c r="AA34" s="239">
        <v>0</v>
      </c>
      <c r="AB34" s="25">
        <v>0</v>
      </c>
      <c r="AC34" s="25">
        <v>0</v>
      </c>
      <c r="AD34" s="25">
        <v>0</v>
      </c>
      <c r="AE34" s="25"/>
      <c r="AF34" s="17"/>
      <c r="AG34" s="25"/>
      <c r="AH34" s="25"/>
      <c r="AI34" s="30"/>
      <c r="AJ34" s="137"/>
      <c r="AK34" s="25"/>
      <c r="AL34" s="25"/>
      <c r="AM34" s="25"/>
      <c r="AN34" s="25"/>
      <c r="AO34" s="17"/>
      <c r="AP34" s="30"/>
    </row>
    <row r="35" spans="1:42">
      <c r="A35" s="61" t="s">
        <v>88</v>
      </c>
      <c r="B35" s="80">
        <f t="shared" si="7"/>
        <v>4258073.6394843711</v>
      </c>
      <c r="C35" s="26"/>
      <c r="D35" s="28">
        <f>'[3]Lead Sheet 3.2'!$I$20+'[3]Lead Sheet 3.2'!$I$26+'[3]Lead Sheet 3.2'!$I$27</f>
        <v>623320</v>
      </c>
      <c r="E35" s="219"/>
      <c r="F35" s="218"/>
      <c r="G35" s="29"/>
      <c r="H35" s="26"/>
      <c r="I35" s="28"/>
      <c r="J35" s="219"/>
      <c r="K35" s="28">
        <f>'[11]Lead Sheet '!$I$21</f>
        <v>-525944.76265158609</v>
      </c>
      <c r="L35" s="30"/>
      <c r="M35" s="26"/>
      <c r="N35" s="28"/>
      <c r="O35" s="28"/>
      <c r="P35" s="30">
        <f>SUM('[16]Lead Sheet'!$I$15,'[16]Lead Sheet'!$I$27)</f>
        <v>136253.30590310734</v>
      </c>
      <c r="Q35" s="77"/>
      <c r="R35" s="237"/>
      <c r="S35" s="28"/>
      <c r="T35" s="28">
        <f>'[19]Lead Sheet'!$I$9</f>
        <v>-291666.75803272682</v>
      </c>
      <c r="U35" s="28">
        <f>'[20]Lead Sheet'!$I$11</f>
        <v>5532834</v>
      </c>
      <c r="V35" s="28"/>
      <c r="W35" s="28">
        <f>'[21]Lead Sheet'!$I$10</f>
        <v>-2199228</v>
      </c>
      <c r="X35" s="28">
        <f>'[22]Lead Sheet'!$I$10</f>
        <v>525562</v>
      </c>
      <c r="Y35" s="28">
        <f>'[23]Lead Sheet'!$I$10</f>
        <v>170464.29080562192</v>
      </c>
      <c r="Z35" s="29"/>
      <c r="AA35" s="237"/>
      <c r="AB35" s="25"/>
      <c r="AC35" s="25">
        <f>SUM('[13]Lead Sheet'!$I$22,'[13]Lead Sheet'!$I$26:$I$27,'[13]Lead Sheet'!$I$32)</f>
        <v>22533.992895240313</v>
      </c>
      <c r="AD35" s="28"/>
      <c r="AE35" s="25"/>
      <c r="AF35" s="17">
        <f>SUM('[24]Lead Sheet '!$I$68,'[24]Lead Sheet '!$I$72,'[24]Lead Sheet '!$I$76,'[24]Lead Sheet '!$I$80,'[24]Lead Sheet '!$I$84,'[24]Lead Sheet '!$I$88)</f>
        <v>-178075.49320044401</v>
      </c>
      <c r="AG35" s="25"/>
      <c r="AH35" s="28">
        <f>SUM('[18]Lead Sheet'!$I$32:$I$33)</f>
        <v>131967.16895276116</v>
      </c>
      <c r="AI35" s="29"/>
      <c r="AJ35" s="138">
        <f>SUM('[25]Lead Sheet'!$I$22:$I$23)</f>
        <v>310053.89481239684</v>
      </c>
      <c r="AK35" s="25"/>
      <c r="AL35" s="25"/>
      <c r="AM35" s="28"/>
      <c r="AN35" s="25"/>
      <c r="AO35" s="17"/>
      <c r="AP35" s="30"/>
    </row>
    <row r="36" spans="1:42">
      <c r="A36" s="61" t="s">
        <v>89</v>
      </c>
      <c r="B36" s="80">
        <f t="shared" si="7"/>
        <v>0</v>
      </c>
      <c r="C36" s="26"/>
      <c r="D36" s="28"/>
      <c r="E36" s="219"/>
      <c r="F36" s="218"/>
      <c r="G36" s="29"/>
      <c r="H36" s="26"/>
      <c r="I36" s="28"/>
      <c r="J36" s="219"/>
      <c r="K36" s="28"/>
      <c r="L36" s="30"/>
      <c r="M36" s="26"/>
      <c r="N36" s="28"/>
      <c r="O36" s="28"/>
      <c r="P36" s="30"/>
      <c r="Q36" s="77"/>
      <c r="R36" s="237"/>
      <c r="S36" s="28"/>
      <c r="T36" s="28"/>
      <c r="U36" s="28"/>
      <c r="V36" s="28"/>
      <c r="W36" s="28"/>
      <c r="X36" s="28"/>
      <c r="Y36" s="28"/>
      <c r="Z36" s="29"/>
      <c r="AA36" s="237"/>
      <c r="AB36" s="25"/>
      <c r="AC36" s="25"/>
      <c r="AD36" s="28"/>
      <c r="AE36" s="25"/>
      <c r="AF36" s="17"/>
      <c r="AG36" s="25"/>
      <c r="AH36" s="28"/>
      <c r="AI36" s="29"/>
      <c r="AJ36" s="138"/>
      <c r="AK36" s="25"/>
      <c r="AL36" s="25"/>
      <c r="AM36" s="28"/>
      <c r="AN36" s="25"/>
      <c r="AO36" s="17"/>
      <c r="AP36" s="30"/>
    </row>
    <row r="37" spans="1:42">
      <c r="A37" s="61" t="s">
        <v>90</v>
      </c>
      <c r="B37" s="80">
        <f t="shared" si="7"/>
        <v>-513913.347966392</v>
      </c>
      <c r="C37" s="26"/>
      <c r="D37" s="28"/>
      <c r="E37" s="219"/>
      <c r="F37" s="218"/>
      <c r="G37" s="29"/>
      <c r="H37" s="26"/>
      <c r="I37" s="28"/>
      <c r="J37" s="219"/>
      <c r="K37" s="28"/>
      <c r="L37" s="29"/>
      <c r="M37" s="26"/>
      <c r="N37" s="28"/>
      <c r="O37" s="28"/>
      <c r="P37" s="29"/>
      <c r="Q37" s="77"/>
      <c r="R37" s="237"/>
      <c r="S37" s="28"/>
      <c r="T37" s="28"/>
      <c r="U37" s="28"/>
      <c r="V37" s="28"/>
      <c r="W37" s="28"/>
      <c r="X37" s="28"/>
      <c r="Y37" s="28"/>
      <c r="Z37" s="29"/>
      <c r="AA37" s="237"/>
      <c r="AB37" s="25"/>
      <c r="AC37" s="25"/>
      <c r="AD37" s="28"/>
      <c r="AE37" s="25"/>
      <c r="AF37" s="17"/>
      <c r="AG37" s="25"/>
      <c r="AH37" s="28"/>
      <c r="AI37" s="29">
        <f>'[26]Lead Sheet'!$I$10</f>
        <v>34004.906666666662</v>
      </c>
      <c r="AJ37" s="138">
        <f>'[25]Lead Sheet'!$I$11</f>
        <v>-547918.25463305868</v>
      </c>
      <c r="AK37" s="25"/>
      <c r="AL37" s="25"/>
      <c r="AM37" s="28"/>
      <c r="AN37" s="25"/>
      <c r="AO37" s="17"/>
      <c r="AP37" s="30"/>
    </row>
    <row r="38" spans="1:42">
      <c r="A38" s="61" t="s">
        <v>91</v>
      </c>
      <c r="B38" s="78">
        <f t="shared" si="7"/>
        <v>-994534.06248838012</v>
      </c>
      <c r="C38" s="33">
        <f>SUM(C29:C37)</f>
        <v>-2346555.6309999991</v>
      </c>
      <c r="D38" s="31">
        <f t="shared" ref="D38:AI38" si="15">SUM(D29:D37)</f>
        <v>36876.824500003597</v>
      </c>
      <c r="E38" s="220">
        <f t="shared" si="15"/>
        <v>0</v>
      </c>
      <c r="F38" s="220">
        <f t="shared" si="15"/>
        <v>0</v>
      </c>
      <c r="G38" s="34">
        <f t="shared" si="15"/>
        <v>31120.58907018412</v>
      </c>
      <c r="H38" s="33">
        <f t="shared" si="15"/>
        <v>-28779.523422572864</v>
      </c>
      <c r="I38" s="31">
        <f t="shared" si="15"/>
        <v>18800.324707341406</v>
      </c>
      <c r="J38" s="220">
        <f t="shared" si="15"/>
        <v>0</v>
      </c>
      <c r="K38" s="31">
        <f t="shared" si="15"/>
        <v>-3198894.8030331107</v>
      </c>
      <c r="L38" s="34">
        <f t="shared" ref="L38" si="16">SUM(L29:L37)</f>
        <v>-127807.58073801303</v>
      </c>
      <c r="M38" s="33">
        <f t="shared" ref="M38" si="17">SUM(M29:M37)</f>
        <v>-3346408.3305782042</v>
      </c>
      <c r="N38" s="31">
        <f t="shared" ref="N38:O38" si="18">SUM(N29:N37)</f>
        <v>98983.442339483881</v>
      </c>
      <c r="O38" s="31">
        <f t="shared" si="18"/>
        <v>5216328.6500000004</v>
      </c>
      <c r="P38" s="34">
        <f t="shared" si="15"/>
        <v>-274986.77108456596</v>
      </c>
      <c r="Q38" s="78">
        <f t="shared" si="15"/>
        <v>0</v>
      </c>
      <c r="R38" s="238">
        <f t="shared" si="15"/>
        <v>0</v>
      </c>
      <c r="S38" s="31">
        <f t="shared" ref="S38" si="19">SUM(S29:S37)</f>
        <v>0</v>
      </c>
      <c r="T38" s="31">
        <f t="shared" si="15"/>
        <v>-291666.75803272682</v>
      </c>
      <c r="U38" s="31">
        <f t="shared" si="15"/>
        <v>5532834</v>
      </c>
      <c r="V38" s="31">
        <f t="shared" si="15"/>
        <v>-75954.622194136726</v>
      </c>
      <c r="W38" s="31">
        <f t="shared" si="15"/>
        <v>-2199228</v>
      </c>
      <c r="X38" s="31">
        <f t="shared" ref="X38:Y38" si="20">SUM(X29:X37)</f>
        <v>525562</v>
      </c>
      <c r="Y38" s="31">
        <f t="shared" si="20"/>
        <v>170464.29080562192</v>
      </c>
      <c r="Z38" s="34">
        <f t="shared" si="15"/>
        <v>0</v>
      </c>
      <c r="AA38" s="238">
        <f t="shared" si="15"/>
        <v>0</v>
      </c>
      <c r="AB38" s="31">
        <f t="shared" si="15"/>
        <v>0</v>
      </c>
      <c r="AC38" s="31">
        <f t="shared" si="15"/>
        <v>37049.96055089141</v>
      </c>
      <c r="AD38" s="31">
        <f t="shared" si="15"/>
        <v>0</v>
      </c>
      <c r="AE38" s="31">
        <f t="shared" ref="AE38" si="21">SUM(AE29:AE37)</f>
        <v>0</v>
      </c>
      <c r="AF38" s="31">
        <f t="shared" si="15"/>
        <v>-13846.847627968644</v>
      </c>
      <c r="AG38" s="31">
        <f t="shared" si="15"/>
        <v>-17990.552800000001</v>
      </c>
      <c r="AH38" s="31">
        <f t="shared" si="15"/>
        <v>-99958.378584749851</v>
      </c>
      <c r="AI38" s="34">
        <f t="shared" si="15"/>
        <v>22103.189333333332</v>
      </c>
      <c r="AJ38" s="139">
        <f t="shared" ref="AJ38:AP38" si="22">SUM(AJ29:AJ37)</f>
        <v>-332037.63414658129</v>
      </c>
      <c r="AK38" s="31">
        <f t="shared" si="22"/>
        <v>-110288.74487962501</v>
      </c>
      <c r="AL38" s="31">
        <f t="shared" si="22"/>
        <v>-59809.694012784872</v>
      </c>
      <c r="AM38" s="31">
        <f t="shared" si="22"/>
        <v>-1178.2748464016004</v>
      </c>
      <c r="AN38" s="31">
        <f t="shared" si="22"/>
        <v>-1474073.4753139254</v>
      </c>
      <c r="AO38" s="31">
        <f t="shared" si="22"/>
        <v>0</v>
      </c>
      <c r="AP38" s="34">
        <f t="shared" si="22"/>
        <v>1314808.2885001262</v>
      </c>
    </row>
    <row r="39" spans="1:42">
      <c r="A39" s="61"/>
      <c r="B39" s="76">
        <f t="shared" si="7"/>
        <v>0</v>
      </c>
      <c r="C39" s="20"/>
      <c r="D39" s="17"/>
      <c r="E39" s="216"/>
      <c r="F39" s="216"/>
      <c r="G39" s="22"/>
      <c r="H39" s="20"/>
      <c r="I39" s="17"/>
      <c r="J39" s="216"/>
      <c r="K39" s="17"/>
      <c r="L39" s="22"/>
      <c r="M39" s="20"/>
      <c r="N39" s="17"/>
      <c r="O39" s="17"/>
      <c r="P39" s="22"/>
      <c r="Q39" s="76"/>
      <c r="R39" s="236"/>
      <c r="S39" s="17"/>
      <c r="T39" s="17"/>
      <c r="U39" s="17"/>
      <c r="V39" s="17"/>
      <c r="W39" s="17"/>
      <c r="X39" s="17"/>
      <c r="Y39" s="17"/>
      <c r="Z39" s="22"/>
      <c r="AA39" s="236"/>
      <c r="AB39" s="17"/>
      <c r="AC39" s="17"/>
      <c r="AD39" s="17"/>
      <c r="AE39" s="17"/>
      <c r="AF39" s="17"/>
      <c r="AG39" s="17"/>
      <c r="AH39" s="17"/>
      <c r="AI39" s="22"/>
      <c r="AJ39" s="136"/>
      <c r="AK39" s="17"/>
      <c r="AL39" s="17"/>
      <c r="AM39" s="17"/>
      <c r="AN39" s="17"/>
      <c r="AO39" s="17"/>
      <c r="AP39" s="22"/>
    </row>
    <row r="40" spans="1:42" ht="13.5" thickBot="1">
      <c r="A40" s="61" t="s">
        <v>92</v>
      </c>
      <c r="B40" s="81">
        <f t="shared" si="7"/>
        <v>-6048376.3537201779</v>
      </c>
      <c r="C40" s="43">
        <f t="shared" ref="C40:AI40" si="23">C16-C38</f>
        <v>-4357889.0289999992</v>
      </c>
      <c r="D40" s="42">
        <f t="shared" si="23"/>
        <v>-69997.754499993578</v>
      </c>
      <c r="E40" s="223">
        <f t="shared" si="23"/>
        <v>0</v>
      </c>
      <c r="F40" s="223">
        <f t="shared" si="23"/>
        <v>0</v>
      </c>
      <c r="G40" s="44">
        <f t="shared" si="23"/>
        <v>71528.882319305791</v>
      </c>
      <c r="H40" s="43">
        <f t="shared" si="23"/>
        <v>28779.523422572864</v>
      </c>
      <c r="I40" s="42">
        <f t="shared" si="23"/>
        <v>-18800.324707341406</v>
      </c>
      <c r="J40" s="223">
        <f t="shared" si="23"/>
        <v>0</v>
      </c>
      <c r="K40" s="42">
        <f t="shared" si="23"/>
        <v>3198894.8030331107</v>
      </c>
      <c r="L40" s="44">
        <f t="shared" ref="L40" si="24">L16-L38</f>
        <v>127807.58073801303</v>
      </c>
      <c r="M40" s="43">
        <f t="shared" si="23"/>
        <v>7150052.5338770747</v>
      </c>
      <c r="N40" s="42">
        <f t="shared" ref="N40:O40" si="25">N16-N38</f>
        <v>-98983.442339483881</v>
      </c>
      <c r="O40" s="42">
        <f t="shared" si="25"/>
        <v>-5216328.6500000004</v>
      </c>
      <c r="P40" s="44">
        <f t="shared" si="23"/>
        <v>274986.77108456596</v>
      </c>
      <c r="Q40" s="81">
        <f t="shared" si="23"/>
        <v>0</v>
      </c>
      <c r="R40" s="241">
        <f t="shared" si="23"/>
        <v>0</v>
      </c>
      <c r="S40" s="42">
        <f t="shared" ref="S40" si="26">S16-S38</f>
        <v>0</v>
      </c>
      <c r="T40" s="42">
        <f t="shared" si="23"/>
        <v>291666.75803272682</v>
      </c>
      <c r="U40" s="42">
        <f t="shared" si="23"/>
        <v>-5532834</v>
      </c>
      <c r="V40" s="42">
        <f t="shared" si="23"/>
        <v>75954.622194136726</v>
      </c>
      <c r="W40" s="42">
        <f t="shared" si="23"/>
        <v>2199228</v>
      </c>
      <c r="X40" s="42">
        <f t="shared" ref="X40:Y40" si="27">X16-X38</f>
        <v>-525562</v>
      </c>
      <c r="Y40" s="42">
        <f t="shared" si="27"/>
        <v>-170464.29080562192</v>
      </c>
      <c r="Z40" s="44">
        <f t="shared" si="23"/>
        <v>0</v>
      </c>
      <c r="AA40" s="241">
        <f t="shared" si="23"/>
        <v>0</v>
      </c>
      <c r="AB40" s="42">
        <f t="shared" si="23"/>
        <v>0</v>
      </c>
      <c r="AC40" s="42">
        <f t="shared" si="23"/>
        <v>-37049.96055089141</v>
      </c>
      <c r="AD40" s="42">
        <f t="shared" si="23"/>
        <v>0</v>
      </c>
      <c r="AE40" s="42">
        <f t="shared" ref="AE40" si="28">AE16-AE38</f>
        <v>0</v>
      </c>
      <c r="AF40" s="42">
        <f t="shared" si="23"/>
        <v>13846.847627968644</v>
      </c>
      <c r="AG40" s="42">
        <f t="shared" si="23"/>
        <v>17990.552800000001</v>
      </c>
      <c r="AH40" s="42">
        <f t="shared" si="23"/>
        <v>99958.378584749851</v>
      </c>
      <c r="AI40" s="44">
        <f t="shared" si="23"/>
        <v>-22103.189333333332</v>
      </c>
      <c r="AJ40" s="141">
        <f t="shared" ref="AJ40:AP40" si="29">AJ16-AJ38</f>
        <v>332037.63414658129</v>
      </c>
      <c r="AK40" s="42">
        <f t="shared" si="29"/>
        <v>110288.74487962501</v>
      </c>
      <c r="AL40" s="42">
        <f t="shared" si="29"/>
        <v>59809.694012784872</v>
      </c>
      <c r="AM40" s="42">
        <f t="shared" si="29"/>
        <v>1178.2748464016004</v>
      </c>
      <c r="AN40" s="42">
        <f t="shared" si="29"/>
        <v>-2737565.0255830046</v>
      </c>
      <c r="AO40" s="42">
        <f t="shared" si="29"/>
        <v>0</v>
      </c>
      <c r="AP40" s="44">
        <f t="shared" si="29"/>
        <v>-1314808.2885001262</v>
      </c>
    </row>
    <row r="41" spans="1:42" ht="13.5" thickTop="1">
      <c r="A41" s="61"/>
      <c r="B41" s="76"/>
      <c r="C41" s="20"/>
      <c r="D41" s="17"/>
      <c r="E41" s="216"/>
      <c r="F41" s="216"/>
      <c r="G41" s="22"/>
      <c r="H41" s="20"/>
      <c r="I41" s="17"/>
      <c r="J41" s="216"/>
      <c r="K41" s="17"/>
      <c r="L41" s="22"/>
      <c r="M41" s="20"/>
      <c r="N41" s="17"/>
      <c r="O41" s="17"/>
      <c r="P41" s="22"/>
      <c r="Q41" s="76"/>
      <c r="R41" s="236"/>
      <c r="S41" s="17"/>
      <c r="T41" s="17"/>
      <c r="U41" s="17"/>
      <c r="V41" s="17"/>
      <c r="W41" s="17"/>
      <c r="X41" s="17"/>
      <c r="Y41" s="17"/>
      <c r="Z41" s="22"/>
      <c r="AA41" s="236"/>
      <c r="AB41" s="17"/>
      <c r="AC41" s="17"/>
      <c r="AD41" s="17"/>
      <c r="AE41" s="17"/>
      <c r="AF41" s="17"/>
      <c r="AG41" s="17"/>
      <c r="AH41" s="17"/>
      <c r="AI41" s="22"/>
      <c r="AJ41" s="136"/>
      <c r="AK41" s="17"/>
      <c r="AL41" s="17"/>
      <c r="AM41" s="17"/>
      <c r="AN41" s="17"/>
      <c r="AO41" s="17"/>
      <c r="AP41" s="22"/>
    </row>
    <row r="42" spans="1:42">
      <c r="A42" s="61" t="s">
        <v>93</v>
      </c>
      <c r="B42" s="76"/>
      <c r="C42" s="20"/>
      <c r="D42" s="17"/>
      <c r="E42" s="216"/>
      <c r="F42" s="216"/>
      <c r="G42" s="22"/>
      <c r="H42" s="20"/>
      <c r="I42" s="17"/>
      <c r="J42" s="216"/>
      <c r="K42" s="17"/>
      <c r="L42" s="22"/>
      <c r="M42" s="20"/>
      <c r="N42" s="17"/>
      <c r="O42" s="17"/>
      <c r="P42" s="22"/>
      <c r="Q42" s="76"/>
      <c r="R42" s="236"/>
      <c r="S42" s="17"/>
      <c r="T42" s="17"/>
      <c r="U42" s="17"/>
      <c r="V42" s="17"/>
      <c r="W42" s="17"/>
      <c r="X42" s="17"/>
      <c r="Y42" s="17"/>
      <c r="Z42" s="22"/>
      <c r="AA42" s="236"/>
      <c r="AB42" s="17"/>
      <c r="AC42" s="17"/>
      <c r="AD42" s="17"/>
      <c r="AE42" s="17"/>
      <c r="AF42" s="17"/>
      <c r="AG42" s="17"/>
      <c r="AH42" s="17"/>
      <c r="AI42" s="22"/>
      <c r="AJ42" s="136"/>
      <c r="AK42" s="17"/>
      <c r="AL42" s="17"/>
      <c r="AM42" s="17"/>
      <c r="AN42" s="17"/>
      <c r="AO42" s="17"/>
      <c r="AP42" s="22"/>
    </row>
    <row r="43" spans="1:42">
      <c r="A43" s="61" t="s">
        <v>94</v>
      </c>
      <c r="B43" s="80">
        <f t="shared" ref="B43:B54" si="30">SUM(C43:AP43)</f>
        <v>27046917.071776655</v>
      </c>
      <c r="C43" s="26"/>
      <c r="D43" s="28"/>
      <c r="E43" s="219"/>
      <c r="F43" s="218"/>
      <c r="G43" s="29"/>
      <c r="H43" s="26"/>
      <c r="I43" s="28"/>
      <c r="J43" s="219"/>
      <c r="K43" s="28"/>
      <c r="L43" s="30"/>
      <c r="M43" s="26"/>
      <c r="N43" s="28"/>
      <c r="O43" s="28"/>
      <c r="P43" s="30">
        <f>SUM('[16]Lead Sheet'!$I$18:$I$19)</f>
        <v>-26125927.969872698</v>
      </c>
      <c r="Q43" s="77"/>
      <c r="R43" s="237"/>
      <c r="S43" s="28"/>
      <c r="T43" s="28"/>
      <c r="U43" s="28"/>
      <c r="V43" s="28"/>
      <c r="W43" s="28"/>
      <c r="X43" s="28"/>
      <c r="Y43" s="28"/>
      <c r="Z43" s="29"/>
      <c r="AA43" s="237"/>
      <c r="AB43" s="25">
        <f>'[27]Lead Sheet'!$I$10</f>
        <v>53613851.168249354</v>
      </c>
      <c r="AC43" s="25"/>
      <c r="AD43" s="28"/>
      <c r="AE43" s="25"/>
      <c r="AF43" s="17"/>
      <c r="AG43" s="25">
        <f>'[17]Lead Sheet'!$I$17</f>
        <v>-441006.12659999984</v>
      </c>
      <c r="AH43" s="28"/>
      <c r="AI43" s="29"/>
      <c r="AJ43" s="138"/>
      <c r="AK43" s="25"/>
      <c r="AL43" s="25"/>
      <c r="AM43" s="28"/>
      <c r="AN43" s="25"/>
      <c r="AO43" s="17"/>
      <c r="AP43" s="30"/>
    </row>
    <row r="44" spans="1:42">
      <c r="A44" s="61" t="s">
        <v>95</v>
      </c>
      <c r="B44" s="80">
        <f t="shared" si="30"/>
        <v>0</v>
      </c>
      <c r="C44" s="26"/>
      <c r="D44" s="28"/>
      <c r="E44" s="219"/>
      <c r="F44" s="218"/>
      <c r="G44" s="29"/>
      <c r="H44" s="26"/>
      <c r="I44" s="28"/>
      <c r="J44" s="219"/>
      <c r="K44" s="28"/>
      <c r="L44" s="30"/>
      <c r="M44" s="26"/>
      <c r="N44" s="28"/>
      <c r="O44" s="28"/>
      <c r="P44" s="30"/>
      <c r="Q44" s="77"/>
      <c r="R44" s="237"/>
      <c r="S44" s="28"/>
      <c r="T44" s="28"/>
      <c r="U44" s="28"/>
      <c r="V44" s="28"/>
      <c r="W44" s="28"/>
      <c r="X44" s="28"/>
      <c r="Y44" s="28"/>
      <c r="Z44" s="29"/>
      <c r="AA44" s="237"/>
      <c r="AB44" s="25"/>
      <c r="AC44" s="25"/>
      <c r="AD44" s="28"/>
      <c r="AE44" s="25"/>
      <c r="AF44" s="17"/>
      <c r="AG44" s="25"/>
      <c r="AH44" s="28"/>
      <c r="AI44" s="29"/>
      <c r="AJ44" s="138"/>
      <c r="AK44" s="25"/>
      <c r="AL44" s="25"/>
      <c r="AM44" s="28"/>
      <c r="AN44" s="25"/>
      <c r="AO44" s="17"/>
      <c r="AP44" s="30"/>
    </row>
    <row r="45" spans="1:42">
      <c r="A45" s="61" t="s">
        <v>96</v>
      </c>
      <c r="B45" s="80">
        <f t="shared" si="30"/>
        <v>-2197306.0259155687</v>
      </c>
      <c r="C45" s="26"/>
      <c r="D45" s="28"/>
      <c r="E45" s="219"/>
      <c r="F45" s="218"/>
      <c r="G45" s="29"/>
      <c r="H45" s="26"/>
      <c r="I45" s="28"/>
      <c r="J45" s="219"/>
      <c r="K45" s="28"/>
      <c r="L45" s="30"/>
      <c r="M45" s="26"/>
      <c r="N45" s="28"/>
      <c r="O45" s="28"/>
      <c r="P45" s="30"/>
      <c r="Q45" s="77"/>
      <c r="R45" s="237"/>
      <c r="S45" s="28"/>
      <c r="T45" s="28"/>
      <c r="U45" s="28"/>
      <c r="V45" s="28"/>
      <c r="W45" s="28"/>
      <c r="X45" s="28"/>
      <c r="Y45" s="28"/>
      <c r="Z45" s="29"/>
      <c r="AA45" s="237"/>
      <c r="AB45" s="25">
        <f>'[27]Lead Sheet'!$I$13</f>
        <v>514243.44230495289</v>
      </c>
      <c r="AC45" s="25">
        <f>SUM('[13]Lead Sheet'!$I$16:$I$18)</f>
        <v>155566.24390796048</v>
      </c>
      <c r="AD45" s="28"/>
      <c r="AE45" s="25">
        <f>SUM('[24]Lead Sheet '!$I$48,'[24]Lead Sheet '!$I$60)</f>
        <v>-2867115.7121284818</v>
      </c>
      <c r="AF45" s="17"/>
      <c r="AG45" s="25"/>
      <c r="AH45" s="28"/>
      <c r="AI45" s="29"/>
      <c r="AJ45" s="138"/>
      <c r="AK45" s="25"/>
      <c r="AL45" s="25"/>
      <c r="AM45" s="28"/>
      <c r="AN45" s="25"/>
      <c r="AO45" s="17"/>
      <c r="AP45" s="30"/>
    </row>
    <row r="46" spans="1:42">
      <c r="A46" s="61" t="s">
        <v>97</v>
      </c>
      <c r="B46" s="80">
        <f t="shared" si="30"/>
        <v>0</v>
      </c>
      <c r="C46" s="26"/>
      <c r="D46" s="28"/>
      <c r="E46" s="219"/>
      <c r="F46" s="218"/>
      <c r="G46" s="29"/>
      <c r="H46" s="26"/>
      <c r="I46" s="28"/>
      <c r="J46" s="219"/>
      <c r="K46" s="28"/>
      <c r="L46" s="30"/>
      <c r="M46" s="26"/>
      <c r="N46" s="28"/>
      <c r="O46" s="28"/>
      <c r="P46" s="30"/>
      <c r="Q46" s="77"/>
      <c r="R46" s="237"/>
      <c r="S46" s="28"/>
      <c r="T46" s="28"/>
      <c r="U46" s="28"/>
      <c r="V46" s="28"/>
      <c r="W46" s="28"/>
      <c r="X46" s="28"/>
      <c r="Y46" s="28"/>
      <c r="Z46" s="29"/>
      <c r="AA46" s="237"/>
      <c r="AB46" s="25"/>
      <c r="AC46" s="25"/>
      <c r="AD46" s="28"/>
      <c r="AE46" s="25"/>
      <c r="AF46" s="17"/>
      <c r="AG46" s="25"/>
      <c r="AH46" s="28"/>
      <c r="AI46" s="29"/>
      <c r="AJ46" s="138"/>
      <c r="AK46" s="25"/>
      <c r="AL46" s="25"/>
      <c r="AM46" s="28"/>
      <c r="AN46" s="25"/>
      <c r="AO46" s="17"/>
      <c r="AP46" s="30"/>
    </row>
    <row r="47" spans="1:42">
      <c r="A47" s="61" t="s">
        <v>98</v>
      </c>
      <c r="B47" s="80">
        <f t="shared" si="30"/>
        <v>0</v>
      </c>
      <c r="C47" s="26"/>
      <c r="D47" s="28"/>
      <c r="E47" s="219"/>
      <c r="F47" s="218"/>
      <c r="G47" s="29"/>
      <c r="H47" s="26"/>
      <c r="I47" s="28"/>
      <c r="J47" s="219"/>
      <c r="K47" s="28"/>
      <c r="L47" s="30"/>
      <c r="M47" s="26"/>
      <c r="N47" s="28"/>
      <c r="O47" s="28"/>
      <c r="P47" s="30"/>
      <c r="Q47" s="77"/>
      <c r="R47" s="237"/>
      <c r="S47" s="28"/>
      <c r="T47" s="28"/>
      <c r="U47" s="28"/>
      <c r="V47" s="28"/>
      <c r="W47" s="28"/>
      <c r="X47" s="28"/>
      <c r="Y47" s="28"/>
      <c r="Z47" s="29"/>
      <c r="AA47" s="237"/>
      <c r="AB47" s="25"/>
      <c r="AC47" s="25"/>
      <c r="AD47" s="28"/>
      <c r="AE47" s="25"/>
      <c r="AF47" s="17"/>
      <c r="AG47" s="25"/>
      <c r="AH47" s="28"/>
      <c r="AI47" s="29"/>
      <c r="AJ47" s="138"/>
      <c r="AK47" s="25"/>
      <c r="AL47" s="25"/>
      <c r="AM47" s="28"/>
      <c r="AN47" s="25"/>
      <c r="AO47" s="17"/>
      <c r="AP47" s="30"/>
    </row>
    <row r="48" spans="1:42">
      <c r="A48" s="61" t="s">
        <v>99</v>
      </c>
      <c r="B48" s="80">
        <f t="shared" si="30"/>
        <v>-2850427.9619466118</v>
      </c>
      <c r="C48" s="26"/>
      <c r="D48" s="28"/>
      <c r="E48" s="219"/>
      <c r="F48" s="218"/>
      <c r="G48" s="29"/>
      <c r="H48" s="26"/>
      <c r="I48" s="28"/>
      <c r="J48" s="219"/>
      <c r="K48" s="28"/>
      <c r="L48" s="30"/>
      <c r="M48" s="26"/>
      <c r="N48" s="28"/>
      <c r="O48" s="28"/>
      <c r="P48" s="30"/>
      <c r="Q48" s="77"/>
      <c r="R48" s="237"/>
      <c r="S48" s="28"/>
      <c r="T48" s="28"/>
      <c r="U48" s="28"/>
      <c r="V48" s="28"/>
      <c r="W48" s="28"/>
      <c r="X48" s="28"/>
      <c r="Y48" s="28"/>
      <c r="Z48" s="29"/>
      <c r="AA48" s="237"/>
      <c r="AB48" s="25"/>
      <c r="AC48" s="25"/>
      <c r="AD48" s="28"/>
      <c r="AE48" s="25">
        <f>'[24]Lead Sheet '!$I$40</f>
        <v>-2850427.9619466118</v>
      </c>
      <c r="AF48" s="17"/>
      <c r="AG48" s="25"/>
      <c r="AH48" s="28"/>
      <c r="AI48" s="29"/>
      <c r="AJ48" s="138"/>
      <c r="AK48" s="25"/>
      <c r="AL48" s="25"/>
      <c r="AM48" s="28"/>
      <c r="AN48" s="25"/>
      <c r="AO48" s="17"/>
      <c r="AP48" s="30"/>
    </row>
    <row r="49" spans="1:42">
      <c r="A49" s="61" t="s">
        <v>100</v>
      </c>
      <c r="B49" s="80">
        <f t="shared" si="30"/>
        <v>2033952.2560125524</v>
      </c>
      <c r="C49" s="26"/>
      <c r="D49" s="28"/>
      <c r="E49" s="219"/>
      <c r="F49" s="218"/>
      <c r="G49" s="29"/>
      <c r="H49" s="26"/>
      <c r="I49" s="28"/>
      <c r="J49" s="219"/>
      <c r="K49" s="28"/>
      <c r="L49" s="30"/>
      <c r="M49" s="26"/>
      <c r="N49" s="28"/>
      <c r="O49" s="28"/>
      <c r="P49" s="30"/>
      <c r="Q49" s="77"/>
      <c r="R49" s="237"/>
      <c r="S49" s="28"/>
      <c r="T49" s="28"/>
      <c r="U49" s="28"/>
      <c r="V49" s="28"/>
      <c r="W49" s="28"/>
      <c r="X49" s="28"/>
      <c r="Y49" s="28"/>
      <c r="Z49" s="29"/>
      <c r="AA49" s="237"/>
      <c r="AB49" s="25">
        <f>'[27]Lead Sheet'!$I$12</f>
        <v>2033952.2560125524</v>
      </c>
      <c r="AC49" s="25"/>
      <c r="AD49" s="28"/>
      <c r="AE49" s="25"/>
      <c r="AF49" s="17"/>
      <c r="AG49" s="25"/>
      <c r="AH49" s="28"/>
      <c r="AI49" s="29"/>
      <c r="AJ49" s="138"/>
      <c r="AK49" s="25"/>
      <c r="AL49" s="25"/>
      <c r="AM49" s="28"/>
      <c r="AN49" s="25"/>
      <c r="AO49" s="17"/>
      <c r="AP49" s="30"/>
    </row>
    <row r="50" spans="1:42">
      <c r="A50" s="61" t="s">
        <v>101</v>
      </c>
      <c r="B50" s="80">
        <f t="shared" si="30"/>
        <v>2018177.8990736436</v>
      </c>
      <c r="C50" s="26"/>
      <c r="D50" s="28"/>
      <c r="E50" s="219"/>
      <c r="F50" s="218"/>
      <c r="G50" s="29"/>
      <c r="H50" s="26"/>
      <c r="I50" s="28"/>
      <c r="J50" s="219"/>
      <c r="K50" s="28"/>
      <c r="L50" s="30"/>
      <c r="M50" s="26"/>
      <c r="N50" s="28"/>
      <c r="O50" s="28"/>
      <c r="P50" s="30"/>
      <c r="Q50" s="77"/>
      <c r="R50" s="237"/>
      <c r="S50" s="28"/>
      <c r="T50" s="28"/>
      <c r="U50" s="28"/>
      <c r="V50" s="28"/>
      <c r="W50" s="28"/>
      <c r="X50" s="28"/>
      <c r="Y50" s="28"/>
      <c r="Z50" s="29"/>
      <c r="AA50" s="237"/>
      <c r="AB50" s="25">
        <f>'[27]Lead Sheet'!$I$11</f>
        <v>2005617.942152187</v>
      </c>
      <c r="AC50" s="25"/>
      <c r="AD50" s="28"/>
      <c r="AE50" s="25">
        <f>'[24]Lead Sheet '!$I$63</f>
        <v>12559.956921456682</v>
      </c>
      <c r="AF50" s="17"/>
      <c r="AG50" s="25"/>
      <c r="AH50" s="28"/>
      <c r="AI50" s="29"/>
      <c r="AJ50" s="138"/>
      <c r="AK50" s="25"/>
      <c r="AL50" s="25"/>
      <c r="AM50" s="28"/>
      <c r="AN50" s="25"/>
      <c r="AO50" s="17"/>
      <c r="AP50" s="30"/>
    </row>
    <row r="51" spans="1:42">
      <c r="A51" s="61" t="s">
        <v>102</v>
      </c>
      <c r="B51" s="80">
        <f t="shared" si="30"/>
        <v>8646327.0520162769</v>
      </c>
      <c r="C51" s="26"/>
      <c r="D51" s="28"/>
      <c r="E51" s="219"/>
      <c r="F51" s="218"/>
      <c r="G51" s="29"/>
      <c r="H51" s="26"/>
      <c r="I51" s="28"/>
      <c r="J51" s="219"/>
      <c r="K51" s="28"/>
      <c r="L51" s="30"/>
      <c r="M51" s="26"/>
      <c r="N51" s="28"/>
      <c r="O51" s="28"/>
      <c r="P51" s="30"/>
      <c r="Q51" s="77"/>
      <c r="R51" s="237"/>
      <c r="S51" s="28"/>
      <c r="T51" s="28"/>
      <c r="U51" s="28"/>
      <c r="V51" s="28"/>
      <c r="W51" s="28"/>
      <c r="X51" s="28"/>
      <c r="Y51" s="28"/>
      <c r="Z51" s="29"/>
      <c r="AA51" s="237"/>
      <c r="AB51" s="25"/>
      <c r="AC51" s="25"/>
      <c r="AD51" s="28"/>
      <c r="AE51" s="25">
        <f>'[24]Lead Sheet '!$I$21</f>
        <v>-2159291.1506739343</v>
      </c>
      <c r="AF51" s="17"/>
      <c r="AG51" s="25"/>
      <c r="AH51" s="28"/>
      <c r="AI51" s="29"/>
      <c r="AJ51" s="138"/>
      <c r="AK51" s="25"/>
      <c r="AL51" s="25"/>
      <c r="AM51" s="28"/>
      <c r="AN51" s="25"/>
      <c r="AO51" s="25">
        <f>'CWC Calc'!$E$28</f>
        <v>10805618.20269021</v>
      </c>
      <c r="AP51" s="30"/>
    </row>
    <row r="52" spans="1:42">
      <c r="A52" s="61" t="s">
        <v>103</v>
      </c>
      <c r="B52" s="80">
        <f t="shared" si="30"/>
        <v>0</v>
      </c>
      <c r="C52" s="26"/>
      <c r="D52" s="28"/>
      <c r="E52" s="219"/>
      <c r="F52" s="218"/>
      <c r="G52" s="29"/>
      <c r="H52" s="26"/>
      <c r="I52" s="28"/>
      <c r="J52" s="219"/>
      <c r="K52" s="28"/>
      <c r="L52" s="30"/>
      <c r="M52" s="26"/>
      <c r="N52" s="28"/>
      <c r="O52" s="28"/>
      <c r="P52" s="30"/>
      <c r="Q52" s="77"/>
      <c r="R52" s="237"/>
      <c r="S52" s="28"/>
      <c r="T52" s="28"/>
      <c r="U52" s="28"/>
      <c r="V52" s="28"/>
      <c r="W52" s="28"/>
      <c r="X52" s="28"/>
      <c r="Y52" s="28"/>
      <c r="Z52" s="29"/>
      <c r="AA52" s="237"/>
      <c r="AB52" s="25"/>
      <c r="AC52" s="25"/>
      <c r="AD52" s="28"/>
      <c r="AE52" s="25"/>
      <c r="AF52" s="17"/>
      <c r="AG52" s="25"/>
      <c r="AH52" s="28"/>
      <c r="AI52" s="29"/>
      <c r="AJ52" s="138"/>
      <c r="AK52" s="25"/>
      <c r="AL52" s="25"/>
      <c r="AM52" s="28"/>
      <c r="AN52" s="25"/>
      <c r="AO52" s="17"/>
      <c r="AP52" s="30"/>
    </row>
    <row r="53" spans="1:42">
      <c r="A53" s="61" t="s">
        <v>104</v>
      </c>
      <c r="B53" s="80">
        <f t="shared" si="30"/>
        <v>-268576.60836182453</v>
      </c>
      <c r="C53" s="26"/>
      <c r="D53" s="28"/>
      <c r="E53" s="219"/>
      <c r="F53" s="218"/>
      <c r="G53" s="29"/>
      <c r="H53" s="26"/>
      <c r="I53" s="28"/>
      <c r="J53" s="219"/>
      <c r="K53" s="28"/>
      <c r="L53" s="30"/>
      <c r="M53" s="26"/>
      <c r="N53" s="28"/>
      <c r="O53" s="28"/>
      <c r="P53" s="30"/>
      <c r="Q53" s="77"/>
      <c r="R53" s="237"/>
      <c r="S53" s="28"/>
      <c r="T53" s="28"/>
      <c r="U53" s="28"/>
      <c r="V53" s="28"/>
      <c r="W53" s="28"/>
      <c r="X53" s="28"/>
      <c r="Y53" s="28"/>
      <c r="Z53" s="29"/>
      <c r="AA53" s="237"/>
      <c r="AB53" s="25"/>
      <c r="AC53" s="25"/>
      <c r="AD53" s="28"/>
      <c r="AE53" s="25"/>
      <c r="AF53" s="17"/>
      <c r="AG53" s="25"/>
      <c r="AH53" s="28">
        <f>SUM('[18]Lead Sheet'!$I$15:$I$17)</f>
        <v>-268576.60836182453</v>
      </c>
      <c r="AI53" s="29"/>
      <c r="AJ53" s="138"/>
      <c r="AK53" s="25"/>
      <c r="AL53" s="25"/>
      <c r="AM53" s="28"/>
      <c r="AN53" s="25"/>
      <c r="AO53" s="17"/>
      <c r="AP53" s="30"/>
    </row>
    <row r="54" spans="1:42">
      <c r="A54" s="61" t="s">
        <v>105</v>
      </c>
      <c r="B54" s="82">
        <f t="shared" si="30"/>
        <v>34429063.682655126</v>
      </c>
      <c r="C54" s="46">
        <f>SUM(C43:C53)</f>
        <v>0</v>
      </c>
      <c r="D54" s="45">
        <f t="shared" ref="D54:AP54" si="31">SUM(D43:D53)</f>
        <v>0</v>
      </c>
      <c r="E54" s="224">
        <f t="shared" si="31"/>
        <v>0</v>
      </c>
      <c r="F54" s="224">
        <f t="shared" si="31"/>
        <v>0</v>
      </c>
      <c r="G54" s="47">
        <f t="shared" si="31"/>
        <v>0</v>
      </c>
      <c r="H54" s="46">
        <f t="shared" si="31"/>
        <v>0</v>
      </c>
      <c r="I54" s="45">
        <f t="shared" si="31"/>
        <v>0</v>
      </c>
      <c r="J54" s="224">
        <f t="shared" si="31"/>
        <v>0</v>
      </c>
      <c r="K54" s="45">
        <f t="shared" si="31"/>
        <v>0</v>
      </c>
      <c r="L54" s="47">
        <f t="shared" ref="L54" si="32">SUM(L43:L53)</f>
        <v>0</v>
      </c>
      <c r="M54" s="46">
        <f t="shared" ref="M54" si="33">SUM(M43:M53)</f>
        <v>0</v>
      </c>
      <c r="N54" s="45">
        <f t="shared" ref="N54:O54" si="34">SUM(N43:N53)</f>
        <v>0</v>
      </c>
      <c r="O54" s="45">
        <f t="shared" si="34"/>
        <v>0</v>
      </c>
      <c r="P54" s="47">
        <f t="shared" si="31"/>
        <v>-26125927.969872698</v>
      </c>
      <c r="Q54" s="82">
        <f t="shared" si="31"/>
        <v>0</v>
      </c>
      <c r="R54" s="242">
        <f t="shared" si="31"/>
        <v>0</v>
      </c>
      <c r="S54" s="45">
        <f t="shared" ref="S54" si="35">SUM(S43:S53)</f>
        <v>0</v>
      </c>
      <c r="T54" s="45">
        <f t="shared" si="31"/>
        <v>0</v>
      </c>
      <c r="U54" s="45">
        <f t="shared" si="31"/>
        <v>0</v>
      </c>
      <c r="V54" s="45">
        <f t="shared" si="31"/>
        <v>0</v>
      </c>
      <c r="W54" s="45">
        <f t="shared" si="31"/>
        <v>0</v>
      </c>
      <c r="X54" s="45">
        <f t="shared" ref="X54:Y54" si="36">SUM(X43:X53)</f>
        <v>0</v>
      </c>
      <c r="Y54" s="45">
        <f t="shared" si="36"/>
        <v>0</v>
      </c>
      <c r="Z54" s="47">
        <f t="shared" si="31"/>
        <v>0</v>
      </c>
      <c r="AA54" s="242">
        <f t="shared" si="31"/>
        <v>0</v>
      </c>
      <c r="AB54" s="45">
        <f t="shared" si="31"/>
        <v>58167664.808719046</v>
      </c>
      <c r="AC54" s="45">
        <f t="shared" si="31"/>
        <v>155566.24390796048</v>
      </c>
      <c r="AD54" s="45">
        <f t="shared" si="31"/>
        <v>0</v>
      </c>
      <c r="AE54" s="45">
        <f t="shared" ref="AE54" si="37">SUM(AE43:AE53)</f>
        <v>-7864274.867827571</v>
      </c>
      <c r="AF54" s="45">
        <f t="shared" si="31"/>
        <v>0</v>
      </c>
      <c r="AG54" s="45">
        <f t="shared" si="31"/>
        <v>-441006.12659999984</v>
      </c>
      <c r="AH54" s="45">
        <f t="shared" si="31"/>
        <v>-268576.60836182453</v>
      </c>
      <c r="AI54" s="47">
        <f t="shared" si="31"/>
        <v>0</v>
      </c>
      <c r="AJ54" s="142">
        <f t="shared" si="31"/>
        <v>0</v>
      </c>
      <c r="AK54" s="45">
        <f t="shared" si="31"/>
        <v>0</v>
      </c>
      <c r="AL54" s="45">
        <f t="shared" si="31"/>
        <v>0</v>
      </c>
      <c r="AM54" s="45">
        <f t="shared" si="31"/>
        <v>0</v>
      </c>
      <c r="AN54" s="45">
        <f t="shared" si="31"/>
        <v>0</v>
      </c>
      <c r="AO54" s="45">
        <f t="shared" si="31"/>
        <v>10805618.20269021</v>
      </c>
      <c r="AP54" s="47">
        <f t="shared" si="31"/>
        <v>0</v>
      </c>
    </row>
    <row r="55" spans="1:42">
      <c r="A55" s="61"/>
      <c r="B55" s="76"/>
      <c r="C55" s="20"/>
      <c r="D55" s="17"/>
      <c r="E55" s="216"/>
      <c r="F55" s="216"/>
      <c r="G55" s="22"/>
      <c r="H55" s="20"/>
      <c r="I55" s="17"/>
      <c r="J55" s="216"/>
      <c r="K55" s="17"/>
      <c r="L55" s="22"/>
      <c r="M55" s="20"/>
      <c r="N55" s="17"/>
      <c r="O55" s="17"/>
      <c r="P55" s="22"/>
      <c r="Q55" s="76"/>
      <c r="R55" s="236"/>
      <c r="S55" s="17"/>
      <c r="T55" s="17"/>
      <c r="U55" s="17"/>
      <c r="V55" s="17"/>
      <c r="W55" s="17"/>
      <c r="X55" s="17"/>
      <c r="Y55" s="17"/>
      <c r="Z55" s="22"/>
      <c r="AA55" s="236"/>
      <c r="AB55" s="17"/>
      <c r="AC55" s="17"/>
      <c r="AD55" s="17"/>
      <c r="AE55" s="17"/>
      <c r="AF55" s="17"/>
      <c r="AG55" s="17"/>
      <c r="AH55" s="17"/>
      <c r="AI55" s="22"/>
      <c r="AJ55" s="136"/>
      <c r="AK55" s="17"/>
      <c r="AL55" s="17"/>
      <c r="AM55" s="17"/>
      <c r="AN55" s="17"/>
      <c r="AO55" s="17"/>
      <c r="AP55" s="22"/>
    </row>
    <row r="56" spans="1:42">
      <c r="A56" s="61" t="s">
        <v>106</v>
      </c>
      <c r="B56" s="76"/>
      <c r="C56" s="20"/>
      <c r="D56" s="17"/>
      <c r="E56" s="216"/>
      <c r="F56" s="216"/>
      <c r="G56" s="22"/>
      <c r="H56" s="20"/>
      <c r="I56" s="17"/>
      <c r="J56" s="216"/>
      <c r="K56" s="17"/>
      <c r="L56" s="22"/>
      <c r="M56" s="20"/>
      <c r="N56" s="17"/>
      <c r="O56" s="17"/>
      <c r="P56" s="22"/>
      <c r="Q56" s="76"/>
      <c r="R56" s="236"/>
      <c r="S56" s="17"/>
      <c r="T56" s="17"/>
      <c r="U56" s="17"/>
      <c r="V56" s="17"/>
      <c r="W56" s="17"/>
      <c r="X56" s="17"/>
      <c r="Y56" s="17"/>
      <c r="Z56" s="22"/>
      <c r="AA56" s="236"/>
      <c r="AB56" s="17"/>
      <c r="AC56" s="17"/>
      <c r="AD56" s="17"/>
      <c r="AE56" s="17"/>
      <c r="AF56" s="17"/>
      <c r="AG56" s="17"/>
      <c r="AH56" s="17"/>
      <c r="AI56" s="22"/>
      <c r="AJ56" s="136"/>
      <c r="AK56" s="17"/>
      <c r="AL56" s="17"/>
      <c r="AM56" s="17"/>
      <c r="AN56" s="17"/>
      <c r="AO56" s="17"/>
      <c r="AP56" s="22"/>
    </row>
    <row r="57" spans="1:42">
      <c r="A57" s="61" t="s">
        <v>107</v>
      </c>
      <c r="B57" s="80">
        <f t="shared" ref="B57:B65" si="38">SUM(C57:AP57)</f>
        <v>-7446965.4092337936</v>
      </c>
      <c r="C57" s="26"/>
      <c r="D57" s="28"/>
      <c r="E57" s="219"/>
      <c r="F57" s="218"/>
      <c r="G57" s="29"/>
      <c r="H57" s="26"/>
      <c r="I57" s="28"/>
      <c r="J57" s="219"/>
      <c r="K57" s="28"/>
      <c r="L57" s="30"/>
      <c r="M57" s="26"/>
      <c r="N57" s="28"/>
      <c r="O57" s="28"/>
      <c r="P57" s="30">
        <f>SUM('[16]Lead Sheet'!$I$20:$I$21)</f>
        <v>16010762.339428132</v>
      </c>
      <c r="Q57" s="77">
        <f>'[28]Lead Sheet'!$I$12</f>
        <v>-8005.3957926276607</v>
      </c>
      <c r="R57" s="237"/>
      <c r="S57" s="28"/>
      <c r="T57" s="28"/>
      <c r="U57" s="28"/>
      <c r="V57" s="28"/>
      <c r="W57" s="28"/>
      <c r="X57" s="28"/>
      <c r="Y57" s="28"/>
      <c r="Z57" s="29"/>
      <c r="AA57" s="237"/>
      <c r="AB57" s="25">
        <f>'[27]Lead Sheet'!$I$14</f>
        <v>-23449722.352869298</v>
      </c>
      <c r="AC57" s="25"/>
      <c r="AD57" s="28"/>
      <c r="AE57" s="25"/>
      <c r="AF57" s="17"/>
      <c r="AG57" s="25"/>
      <c r="AH57" s="28"/>
      <c r="AI57" s="29"/>
      <c r="AJ57" s="138"/>
      <c r="AK57" s="25"/>
      <c r="AL57" s="25"/>
      <c r="AM57" s="28"/>
      <c r="AN57" s="25"/>
      <c r="AO57" s="17"/>
      <c r="AP57" s="30"/>
    </row>
    <row r="58" spans="1:42">
      <c r="A58" s="61" t="s">
        <v>108</v>
      </c>
      <c r="B58" s="80">
        <f t="shared" si="38"/>
        <v>0</v>
      </c>
      <c r="C58" s="26"/>
      <c r="D58" s="28"/>
      <c r="E58" s="219"/>
      <c r="F58" s="218"/>
      <c r="G58" s="29"/>
      <c r="H58" s="26"/>
      <c r="I58" s="28"/>
      <c r="J58" s="219"/>
      <c r="K58" s="28"/>
      <c r="L58" s="30"/>
      <c r="M58" s="26"/>
      <c r="N58" s="28"/>
      <c r="O58" s="28"/>
      <c r="P58" s="30"/>
      <c r="Q58" s="77"/>
      <c r="R58" s="237"/>
      <c r="S58" s="28"/>
      <c r="T58" s="28"/>
      <c r="U58" s="28"/>
      <c r="V58" s="28"/>
      <c r="W58" s="28"/>
      <c r="X58" s="28"/>
      <c r="Y58" s="28"/>
      <c r="Z58" s="29"/>
      <c r="AA58" s="237"/>
      <c r="AB58" s="25"/>
      <c r="AC58" s="25"/>
      <c r="AD58" s="28"/>
      <c r="AE58" s="25"/>
      <c r="AF58" s="17"/>
      <c r="AG58" s="25"/>
      <c r="AH58" s="28"/>
      <c r="AI58" s="29"/>
      <c r="AJ58" s="138"/>
      <c r="AK58" s="25"/>
      <c r="AL58" s="25"/>
      <c r="AM58" s="28"/>
      <c r="AN58" s="25"/>
      <c r="AO58" s="17"/>
      <c r="AP58" s="30"/>
    </row>
    <row r="59" spans="1:42">
      <c r="A59" s="61" t="s">
        <v>109</v>
      </c>
      <c r="B59" s="80">
        <f t="shared" si="38"/>
        <v>-6648465.3569998443</v>
      </c>
      <c r="C59" s="26"/>
      <c r="D59" s="28">
        <f>'[3]Lead Sheet 3.2'!$I$21+'[3]Lead Sheet 3.2'!$I$23+'[3]Lead Sheet 3.2'!$I$28+'[3]Lead Sheet 3.2'!$I$29</f>
        <v>2751332</v>
      </c>
      <c r="E59" s="219"/>
      <c r="F59" s="218"/>
      <c r="G59" s="29"/>
      <c r="H59" s="26"/>
      <c r="I59" s="28"/>
      <c r="J59" s="219"/>
      <c r="K59" s="28">
        <f>'[11]Lead Sheet '!$I$22</f>
        <v>472405.91201826412</v>
      </c>
      <c r="L59" s="30"/>
      <c r="M59" s="26"/>
      <c r="N59" s="28"/>
      <c r="O59" s="28"/>
      <c r="P59" s="30">
        <f>SUM('[16]Lead Sheet'!$I$28,'[16]Lead Sheet'!$I$22)</f>
        <v>1810649.4576148225</v>
      </c>
      <c r="Q59" s="77"/>
      <c r="R59" s="237"/>
      <c r="S59" s="28">
        <f>SUM('[29]Lead Sheet'!$I$11:$I$28)</f>
        <v>-5199034.9082336593</v>
      </c>
      <c r="T59" s="28">
        <f>'[19]Lead Sheet'!$I$12</f>
        <v>-510417.13577641395</v>
      </c>
      <c r="U59" s="28"/>
      <c r="V59" s="28"/>
      <c r="W59" s="28">
        <f>'[21]Lead Sheet'!$I$12</f>
        <v>1099614</v>
      </c>
      <c r="X59" s="28">
        <f>'[22]Lead Sheet'!$I$12</f>
        <v>-262781</v>
      </c>
      <c r="Y59" s="28"/>
      <c r="Z59" s="29">
        <f>'[30]Lead Sheet'!$I$24</f>
        <v>-9873199.076123938</v>
      </c>
      <c r="AA59" s="237"/>
      <c r="AB59" s="25"/>
      <c r="AC59" s="25">
        <f>SUM('[13]Lead Sheet'!$I$23,'[13]Lead Sheet'!$I$28:$I$29,'[13]Lead Sheet'!$I$33)</f>
        <v>105942.55956519302</v>
      </c>
      <c r="AD59" s="28"/>
      <c r="AE59" s="25"/>
      <c r="AF59" s="17">
        <f>SUM('[24]Lead Sheet '!$I$69,'[24]Lead Sheet '!$I$73,'[24]Lead Sheet '!$I$77,'[24]Lead Sheet '!$I$81,'[24]Lead Sheet '!$I$85,'[24]Lead Sheet '!$I$89)</f>
        <v>1697439.8920278733</v>
      </c>
      <c r="AG59" s="25"/>
      <c r="AH59" s="28">
        <f>SUM('[18]Lead Sheet'!$I$34:$I$35)</f>
        <v>-168274.50912161343</v>
      </c>
      <c r="AI59" s="29"/>
      <c r="AJ59" s="138">
        <f>'[25]Lead Sheet'!$I$14</f>
        <v>1427857.4510296264</v>
      </c>
      <c r="AK59" s="25"/>
      <c r="AL59" s="25"/>
      <c r="AM59" s="28"/>
      <c r="AN59" s="25"/>
      <c r="AO59" s="17"/>
      <c r="AP59" s="30"/>
    </row>
    <row r="60" spans="1:42">
      <c r="A60" s="61" t="s">
        <v>110</v>
      </c>
      <c r="B60" s="80">
        <f t="shared" si="38"/>
        <v>144385.82344165733</v>
      </c>
      <c r="C60" s="26"/>
      <c r="D60" s="28"/>
      <c r="E60" s="219"/>
      <c r="F60" s="218"/>
      <c r="G60" s="29"/>
      <c r="H60" s="26"/>
      <c r="I60" s="28"/>
      <c r="J60" s="219"/>
      <c r="K60" s="28"/>
      <c r="L60" s="30"/>
      <c r="M60" s="26"/>
      <c r="N60" s="28"/>
      <c r="O60" s="28"/>
      <c r="P60" s="30">
        <f>'[16]Lead Sheet'!$I$23</f>
        <v>144385.82344165733</v>
      </c>
      <c r="Q60" s="77"/>
      <c r="R60" s="237"/>
      <c r="S60" s="28"/>
      <c r="T60" s="28"/>
      <c r="U60" s="28"/>
      <c r="V60" s="28"/>
      <c r="W60" s="28"/>
      <c r="X60" s="28"/>
      <c r="Y60" s="28"/>
      <c r="Z60" s="29"/>
      <c r="AA60" s="237"/>
      <c r="AB60" s="25"/>
      <c r="AC60" s="25"/>
      <c r="AD60" s="28"/>
      <c r="AE60" s="25"/>
      <c r="AF60" s="17"/>
      <c r="AG60" s="25"/>
      <c r="AH60" s="28"/>
      <c r="AI60" s="29"/>
      <c r="AJ60" s="138"/>
      <c r="AK60" s="25"/>
      <c r="AL60" s="25"/>
      <c r="AM60" s="28"/>
      <c r="AN60" s="25"/>
      <c r="AO60" s="17"/>
      <c r="AP60" s="30"/>
    </row>
    <row r="61" spans="1:42">
      <c r="A61" s="61" t="s">
        <v>111</v>
      </c>
      <c r="B61" s="80">
        <f t="shared" si="38"/>
        <v>23142.536575635779</v>
      </c>
      <c r="C61" s="26"/>
      <c r="D61" s="28"/>
      <c r="E61" s="219"/>
      <c r="F61" s="218"/>
      <c r="G61" s="29"/>
      <c r="H61" s="26"/>
      <c r="I61" s="28"/>
      <c r="J61" s="219"/>
      <c r="K61" s="28"/>
      <c r="L61" s="30"/>
      <c r="M61" s="26"/>
      <c r="N61" s="28"/>
      <c r="O61" s="28"/>
      <c r="P61" s="30"/>
      <c r="Q61" s="77"/>
      <c r="R61" s="237"/>
      <c r="S61" s="28"/>
      <c r="T61" s="28"/>
      <c r="U61" s="28"/>
      <c r="V61" s="28"/>
      <c r="W61" s="28"/>
      <c r="X61" s="28"/>
      <c r="Y61" s="28"/>
      <c r="Z61" s="29"/>
      <c r="AA61" s="237"/>
      <c r="AB61" s="25"/>
      <c r="AC61" s="25"/>
      <c r="AD61" s="28">
        <f>'[31]Lead Sheet'!$I$22</f>
        <v>23142.536575635779</v>
      </c>
      <c r="AE61" s="25"/>
      <c r="AF61" s="17"/>
      <c r="AG61" s="25"/>
      <c r="AH61" s="28"/>
      <c r="AI61" s="29"/>
      <c r="AJ61" s="138"/>
      <c r="AK61" s="25"/>
      <c r="AL61" s="25"/>
      <c r="AM61" s="28"/>
      <c r="AN61" s="25"/>
      <c r="AO61" s="17"/>
      <c r="AP61" s="30"/>
    </row>
    <row r="62" spans="1:42">
      <c r="A62" s="61" t="s">
        <v>112</v>
      </c>
      <c r="B62" s="80">
        <f t="shared" si="38"/>
        <v>-2980495.6783333328</v>
      </c>
      <c r="C62" s="26"/>
      <c r="D62" s="28"/>
      <c r="E62" s="219"/>
      <c r="F62" s="218"/>
      <c r="G62" s="29"/>
      <c r="H62" s="26"/>
      <c r="I62" s="28"/>
      <c r="J62" s="219"/>
      <c r="K62" s="28"/>
      <c r="L62" s="30"/>
      <c r="M62" s="26"/>
      <c r="N62" s="28"/>
      <c r="O62" s="28"/>
      <c r="P62" s="30"/>
      <c r="Q62" s="77"/>
      <c r="R62" s="237"/>
      <c r="S62" s="28"/>
      <c r="T62" s="28"/>
      <c r="U62" s="28"/>
      <c r="V62" s="28"/>
      <c r="W62" s="28"/>
      <c r="X62" s="28"/>
      <c r="Y62" s="28"/>
      <c r="Z62" s="29"/>
      <c r="AA62" s="237"/>
      <c r="AB62" s="25"/>
      <c r="AC62" s="25"/>
      <c r="AD62" s="28"/>
      <c r="AE62" s="25"/>
      <c r="AF62" s="17"/>
      <c r="AG62" s="25"/>
      <c r="AH62" s="28"/>
      <c r="AI62" s="29">
        <f>'[26]Lead Sheet'!$I$15</f>
        <v>-2980495.6783333328</v>
      </c>
      <c r="AJ62" s="138"/>
      <c r="AK62" s="25"/>
      <c r="AL62" s="25"/>
      <c r="AM62" s="28"/>
      <c r="AN62" s="25"/>
      <c r="AO62" s="17"/>
      <c r="AP62" s="30"/>
    </row>
    <row r="63" spans="1:42">
      <c r="A63" s="61" t="s">
        <v>113</v>
      </c>
      <c r="B63" s="80">
        <f t="shared" si="38"/>
        <v>-2789519.813278635</v>
      </c>
      <c r="C63" s="26"/>
      <c r="D63" s="28"/>
      <c r="E63" s="219"/>
      <c r="F63" s="218"/>
      <c r="G63" s="29"/>
      <c r="H63" s="26"/>
      <c r="I63" s="28"/>
      <c r="J63" s="219"/>
      <c r="K63" s="28"/>
      <c r="L63" s="30"/>
      <c r="M63" s="26"/>
      <c r="N63" s="28">
        <f>'[9]Lead Sheet WCA'!$I$15</f>
        <v>-212582.87396787116</v>
      </c>
      <c r="O63" s="28"/>
      <c r="P63" s="30"/>
      <c r="Q63" s="77"/>
      <c r="R63" s="237"/>
      <c r="S63" s="28"/>
      <c r="T63" s="28"/>
      <c r="U63" s="28"/>
      <c r="V63" s="28"/>
      <c r="W63" s="28"/>
      <c r="X63" s="28"/>
      <c r="Y63" s="28"/>
      <c r="Z63" s="29"/>
      <c r="AA63" s="237"/>
      <c r="AB63" s="25"/>
      <c r="AC63" s="25"/>
      <c r="AD63" s="28"/>
      <c r="AE63" s="25"/>
      <c r="AF63" s="17"/>
      <c r="AG63" s="25"/>
      <c r="AH63" s="28">
        <f>SUM('[18]Lead Sheet'!$I$18:$I$20)</f>
        <v>1185108.7951282924</v>
      </c>
      <c r="AI63" s="29"/>
      <c r="AJ63" s="138">
        <f>'[25]Lead Sheet'!$I$15</f>
        <v>-3762045.7344390564</v>
      </c>
      <c r="AK63" s="25"/>
      <c r="AL63" s="25"/>
      <c r="AM63" s="28"/>
      <c r="AN63" s="25"/>
      <c r="AO63" s="17"/>
      <c r="AP63" s="30"/>
    </row>
    <row r="64" spans="1:42">
      <c r="A64" s="61"/>
      <c r="B64" s="76">
        <f t="shared" si="38"/>
        <v>0</v>
      </c>
      <c r="C64" s="20"/>
      <c r="D64" s="17"/>
      <c r="E64" s="216"/>
      <c r="F64" s="216"/>
      <c r="G64" s="22"/>
      <c r="H64" s="20"/>
      <c r="I64" s="17"/>
      <c r="J64" s="216"/>
      <c r="K64" s="17"/>
      <c r="L64" s="22"/>
      <c r="M64" s="20"/>
      <c r="N64" s="17"/>
      <c r="O64" s="17"/>
      <c r="P64" s="22"/>
      <c r="Q64" s="76"/>
      <c r="R64" s="236"/>
      <c r="S64" s="17"/>
      <c r="T64" s="17"/>
      <c r="U64" s="17"/>
      <c r="V64" s="17"/>
      <c r="W64" s="17"/>
      <c r="X64" s="17"/>
      <c r="Y64" s="17"/>
      <c r="Z64" s="22"/>
      <c r="AA64" s="236"/>
      <c r="AB64" s="17"/>
      <c r="AC64" s="17"/>
      <c r="AD64" s="17"/>
      <c r="AE64" s="17"/>
      <c r="AF64" s="17"/>
      <c r="AG64" s="17"/>
      <c r="AH64" s="17"/>
      <c r="AI64" s="22"/>
      <c r="AJ64" s="136"/>
      <c r="AK64" s="17"/>
      <c r="AL64" s="17"/>
      <c r="AM64" s="17"/>
      <c r="AN64" s="17"/>
      <c r="AO64" s="17"/>
      <c r="AP64" s="22"/>
    </row>
    <row r="65" spans="1:42">
      <c r="A65" s="61" t="s">
        <v>114</v>
      </c>
      <c r="B65" s="78">
        <f t="shared" si="38"/>
        <v>-19697917.897828311</v>
      </c>
      <c r="C65" s="33">
        <f t="shared" ref="C65:AI65" si="39">SUM(C57:C64)</f>
        <v>0</v>
      </c>
      <c r="D65" s="31">
        <f t="shared" si="39"/>
        <v>2751332</v>
      </c>
      <c r="E65" s="220">
        <f t="shared" si="39"/>
        <v>0</v>
      </c>
      <c r="F65" s="220">
        <f t="shared" si="39"/>
        <v>0</v>
      </c>
      <c r="G65" s="34">
        <f t="shared" si="39"/>
        <v>0</v>
      </c>
      <c r="H65" s="33">
        <f t="shared" si="39"/>
        <v>0</v>
      </c>
      <c r="I65" s="31">
        <f t="shared" si="39"/>
        <v>0</v>
      </c>
      <c r="J65" s="220">
        <f t="shared" si="39"/>
        <v>0</v>
      </c>
      <c r="K65" s="31">
        <f t="shared" si="39"/>
        <v>472405.91201826412</v>
      </c>
      <c r="L65" s="34">
        <f t="shared" ref="L65" si="40">SUM(L57:L64)</f>
        <v>0</v>
      </c>
      <c r="M65" s="33">
        <f t="shared" ref="M65" si="41">SUM(M57:M64)</f>
        <v>0</v>
      </c>
      <c r="N65" s="31">
        <f t="shared" ref="N65:O65" si="42">SUM(N57:N64)</f>
        <v>-212582.87396787116</v>
      </c>
      <c r="O65" s="31">
        <f t="shared" si="42"/>
        <v>0</v>
      </c>
      <c r="P65" s="34">
        <f t="shared" si="39"/>
        <v>17965797.620484613</v>
      </c>
      <c r="Q65" s="78">
        <f t="shared" si="39"/>
        <v>-8005.3957926276607</v>
      </c>
      <c r="R65" s="238">
        <f t="shared" si="39"/>
        <v>0</v>
      </c>
      <c r="S65" s="31">
        <f t="shared" ref="S65" si="43">SUM(S57:S64)</f>
        <v>-5199034.9082336593</v>
      </c>
      <c r="T65" s="31">
        <f t="shared" si="39"/>
        <v>-510417.13577641395</v>
      </c>
      <c r="U65" s="31">
        <f t="shared" si="39"/>
        <v>0</v>
      </c>
      <c r="V65" s="31">
        <f t="shared" si="39"/>
        <v>0</v>
      </c>
      <c r="W65" s="31">
        <f t="shared" si="39"/>
        <v>1099614</v>
      </c>
      <c r="X65" s="31">
        <f t="shared" ref="X65:Y65" si="44">SUM(X57:X64)</f>
        <v>-262781</v>
      </c>
      <c r="Y65" s="31">
        <f t="shared" si="44"/>
        <v>0</v>
      </c>
      <c r="Z65" s="34">
        <f t="shared" si="39"/>
        <v>-9873199.076123938</v>
      </c>
      <c r="AA65" s="238">
        <f t="shared" si="39"/>
        <v>0</v>
      </c>
      <c r="AB65" s="31">
        <f t="shared" si="39"/>
        <v>-23449722.352869298</v>
      </c>
      <c r="AC65" s="31">
        <f t="shared" si="39"/>
        <v>105942.55956519302</v>
      </c>
      <c r="AD65" s="31">
        <f t="shared" si="39"/>
        <v>23142.536575635779</v>
      </c>
      <c r="AE65" s="31">
        <f t="shared" ref="AE65" si="45">SUM(AE57:AE64)</f>
        <v>0</v>
      </c>
      <c r="AF65" s="31">
        <f t="shared" si="39"/>
        <v>1697439.8920278733</v>
      </c>
      <c r="AG65" s="31">
        <f t="shared" si="39"/>
        <v>0</v>
      </c>
      <c r="AH65" s="31">
        <f t="shared" si="39"/>
        <v>1016834.2860066789</v>
      </c>
      <c r="AI65" s="34">
        <f t="shared" si="39"/>
        <v>-2980495.6783333328</v>
      </c>
      <c r="AJ65" s="139">
        <f t="shared" ref="AJ65:AP65" si="46">SUM(AJ57:AJ64)</f>
        <v>-2334188.2834094297</v>
      </c>
      <c r="AK65" s="31">
        <f t="shared" si="46"/>
        <v>0</v>
      </c>
      <c r="AL65" s="31">
        <f t="shared" si="46"/>
        <v>0</v>
      </c>
      <c r="AM65" s="31">
        <f t="shared" si="46"/>
        <v>0</v>
      </c>
      <c r="AN65" s="31">
        <f t="shared" si="46"/>
        <v>0</v>
      </c>
      <c r="AO65" s="31">
        <f t="shared" si="46"/>
        <v>0</v>
      </c>
      <c r="AP65" s="34">
        <f t="shared" si="46"/>
        <v>0</v>
      </c>
    </row>
    <row r="66" spans="1:42">
      <c r="A66" s="61"/>
      <c r="B66" s="76"/>
      <c r="C66" s="20"/>
      <c r="D66" s="17"/>
      <c r="E66" s="216"/>
      <c r="F66" s="216"/>
      <c r="G66" s="22"/>
      <c r="H66" s="20"/>
      <c r="I66" s="17"/>
      <c r="J66" s="216"/>
      <c r="K66" s="17"/>
      <c r="L66" s="22"/>
      <c r="M66" s="20"/>
      <c r="N66" s="17"/>
      <c r="O66" s="17"/>
      <c r="P66" s="22"/>
      <c r="Q66" s="76"/>
      <c r="R66" s="236"/>
      <c r="S66" s="17"/>
      <c r="T66" s="17"/>
      <c r="U66" s="17"/>
      <c r="V66" s="17"/>
      <c r="W66" s="17"/>
      <c r="X66" s="17"/>
      <c r="Y66" s="17"/>
      <c r="Z66" s="22"/>
      <c r="AA66" s="236"/>
      <c r="AB66" s="17"/>
      <c r="AC66" s="17"/>
      <c r="AD66" s="17"/>
      <c r="AE66" s="17"/>
      <c r="AF66" s="17"/>
      <c r="AG66" s="17"/>
      <c r="AH66" s="17"/>
      <c r="AI66" s="22"/>
      <c r="AJ66" s="136"/>
      <c r="AK66" s="17"/>
      <c r="AL66" s="17"/>
      <c r="AM66" s="17"/>
      <c r="AN66" s="17"/>
      <c r="AO66" s="17"/>
      <c r="AP66" s="22"/>
    </row>
    <row r="67" spans="1:42" ht="13.5" thickBot="1">
      <c r="A67" s="61" t="s">
        <v>115</v>
      </c>
      <c r="B67" s="83">
        <f>SUM(C67:AP67)</f>
        <v>14731145.784826815</v>
      </c>
      <c r="C67" s="49">
        <f t="shared" ref="C67:AI67" si="47">C54+C65</f>
        <v>0</v>
      </c>
      <c r="D67" s="48">
        <f t="shared" si="47"/>
        <v>2751332</v>
      </c>
      <c r="E67" s="225">
        <f t="shared" si="47"/>
        <v>0</v>
      </c>
      <c r="F67" s="225">
        <f t="shared" si="47"/>
        <v>0</v>
      </c>
      <c r="G67" s="50">
        <f t="shared" si="47"/>
        <v>0</v>
      </c>
      <c r="H67" s="49">
        <f t="shared" si="47"/>
        <v>0</v>
      </c>
      <c r="I67" s="48">
        <f t="shared" si="47"/>
        <v>0</v>
      </c>
      <c r="J67" s="225">
        <f t="shared" si="47"/>
        <v>0</v>
      </c>
      <c r="K67" s="48">
        <f t="shared" si="47"/>
        <v>472405.91201826412</v>
      </c>
      <c r="L67" s="50">
        <f t="shared" ref="L67" si="48">L54+L65</f>
        <v>0</v>
      </c>
      <c r="M67" s="49">
        <f t="shared" ref="M67" si="49">M54+M65</f>
        <v>0</v>
      </c>
      <c r="N67" s="48">
        <f t="shared" ref="N67:O67" si="50">N54+N65</f>
        <v>-212582.87396787116</v>
      </c>
      <c r="O67" s="48">
        <f t="shared" si="50"/>
        <v>0</v>
      </c>
      <c r="P67" s="50">
        <f t="shared" si="47"/>
        <v>-8160130.3493880853</v>
      </c>
      <c r="Q67" s="83">
        <f t="shared" si="47"/>
        <v>-8005.3957926276607</v>
      </c>
      <c r="R67" s="243">
        <f t="shared" si="47"/>
        <v>0</v>
      </c>
      <c r="S67" s="48">
        <f t="shared" ref="S67" si="51">S54+S65</f>
        <v>-5199034.9082336593</v>
      </c>
      <c r="T67" s="48">
        <f t="shared" si="47"/>
        <v>-510417.13577641395</v>
      </c>
      <c r="U67" s="48">
        <f t="shared" si="47"/>
        <v>0</v>
      </c>
      <c r="V67" s="48">
        <f t="shared" si="47"/>
        <v>0</v>
      </c>
      <c r="W67" s="48">
        <f t="shared" si="47"/>
        <v>1099614</v>
      </c>
      <c r="X67" s="48">
        <f t="shared" ref="X67:Y67" si="52">X54+X65</f>
        <v>-262781</v>
      </c>
      <c r="Y67" s="48">
        <f t="shared" si="52"/>
        <v>0</v>
      </c>
      <c r="Z67" s="50">
        <f t="shared" si="47"/>
        <v>-9873199.076123938</v>
      </c>
      <c r="AA67" s="243">
        <f t="shared" si="47"/>
        <v>0</v>
      </c>
      <c r="AB67" s="48">
        <f t="shared" si="47"/>
        <v>34717942.455849752</v>
      </c>
      <c r="AC67" s="48">
        <f t="shared" si="47"/>
        <v>261508.8034731535</v>
      </c>
      <c r="AD67" s="48">
        <f t="shared" si="47"/>
        <v>23142.536575635779</v>
      </c>
      <c r="AE67" s="48">
        <f t="shared" ref="AE67" si="53">AE54+AE65</f>
        <v>-7864274.867827571</v>
      </c>
      <c r="AF67" s="48">
        <f t="shared" si="47"/>
        <v>1697439.8920278733</v>
      </c>
      <c r="AG67" s="48">
        <f t="shared" si="47"/>
        <v>-441006.12659999984</v>
      </c>
      <c r="AH67" s="48">
        <f t="shared" si="47"/>
        <v>748257.67764485441</v>
      </c>
      <c r="AI67" s="50">
        <f t="shared" si="47"/>
        <v>-2980495.6783333328</v>
      </c>
      <c r="AJ67" s="143">
        <f t="shared" ref="AJ67:AP67" si="54">AJ54+AJ65</f>
        <v>-2334188.2834094297</v>
      </c>
      <c r="AK67" s="48">
        <f t="shared" si="54"/>
        <v>0</v>
      </c>
      <c r="AL67" s="48">
        <f t="shared" si="54"/>
        <v>0</v>
      </c>
      <c r="AM67" s="48">
        <f t="shared" si="54"/>
        <v>0</v>
      </c>
      <c r="AN67" s="48">
        <f t="shared" si="54"/>
        <v>0</v>
      </c>
      <c r="AO67" s="48">
        <f t="shared" si="54"/>
        <v>10805618.20269021</v>
      </c>
      <c r="AP67" s="50">
        <f t="shared" si="54"/>
        <v>0</v>
      </c>
    </row>
    <row r="68" spans="1:42" ht="13.5" thickTop="1">
      <c r="A68" s="61"/>
      <c r="B68" s="76"/>
      <c r="C68" s="20"/>
      <c r="D68" s="17"/>
      <c r="E68" s="216"/>
      <c r="F68" s="216"/>
      <c r="G68" s="22"/>
      <c r="H68" s="20"/>
      <c r="I68" s="17"/>
      <c r="J68" s="216"/>
      <c r="K68" s="17"/>
      <c r="L68" s="22"/>
      <c r="M68" s="20"/>
      <c r="N68" s="17"/>
      <c r="O68" s="17"/>
      <c r="P68" s="22"/>
      <c r="Q68" s="76"/>
      <c r="R68" s="236"/>
      <c r="S68" s="17"/>
      <c r="T68" s="17"/>
      <c r="U68" s="17"/>
      <c r="V68" s="17"/>
      <c r="W68" s="17"/>
      <c r="X68" s="17"/>
      <c r="Y68" s="17"/>
      <c r="Z68" s="22"/>
      <c r="AA68" s="236"/>
      <c r="AB68" s="17"/>
      <c r="AC68" s="17"/>
      <c r="AD68" s="17"/>
      <c r="AE68" s="17"/>
      <c r="AF68" s="17"/>
      <c r="AG68" s="17"/>
      <c r="AH68" s="17"/>
      <c r="AI68" s="22"/>
      <c r="AJ68" s="136"/>
      <c r="AK68" s="17"/>
      <c r="AL68" s="17"/>
      <c r="AM68" s="17"/>
      <c r="AN68" s="17"/>
      <c r="AO68" s="17"/>
      <c r="AP68" s="22"/>
    </row>
    <row r="69" spans="1:42">
      <c r="A69" s="61"/>
      <c r="B69" s="76"/>
      <c r="C69" s="20"/>
      <c r="D69" s="17"/>
      <c r="E69" s="216"/>
      <c r="F69" s="216"/>
      <c r="G69" s="22"/>
      <c r="H69" s="20"/>
      <c r="I69" s="17"/>
      <c r="J69" s="216"/>
      <c r="K69" s="17"/>
      <c r="L69" s="22"/>
      <c r="M69" s="20"/>
      <c r="N69" s="17"/>
      <c r="O69" s="17"/>
      <c r="P69" s="22"/>
      <c r="Q69" s="76"/>
      <c r="R69" s="236"/>
      <c r="S69" s="17"/>
      <c r="T69" s="17"/>
      <c r="U69" s="17"/>
      <c r="V69" s="17"/>
      <c r="W69" s="17"/>
      <c r="X69" s="17"/>
      <c r="Y69" s="17"/>
      <c r="Z69" s="22"/>
      <c r="AA69" s="236"/>
      <c r="AB69" s="17"/>
      <c r="AC69" s="17"/>
      <c r="AD69" s="17"/>
      <c r="AE69" s="17"/>
      <c r="AF69" s="17"/>
      <c r="AG69" s="17"/>
      <c r="AH69" s="17"/>
      <c r="AI69" s="22"/>
      <c r="AJ69" s="136"/>
      <c r="AK69" s="17"/>
      <c r="AL69" s="17"/>
      <c r="AM69" s="17"/>
      <c r="AN69" s="17"/>
      <c r="AO69" s="17"/>
      <c r="AP69" s="22"/>
    </row>
    <row r="70" spans="1:42" s="67" customFormat="1">
      <c r="A70" s="61" t="s">
        <v>219</v>
      </c>
      <c r="B70" s="123">
        <f t="shared" ref="B70:AI70" si="55">(((B40+Unadj_Op_revenue)/(B67+Unadj_rate_base))-Weighted_cost_debt-Weighted_cost_pref)/Percent_common-Unadj_ROE</f>
        <v>-1.7423751243350653E-2</v>
      </c>
      <c r="C70" s="121">
        <f t="shared" si="55"/>
        <v>-1.1131849302527218E-2</v>
      </c>
      <c r="D70" s="120">
        <f t="shared" si="55"/>
        <v>-6.0899939575821682E-4</v>
      </c>
      <c r="E70" s="226">
        <f t="shared" si="55"/>
        <v>0</v>
      </c>
      <c r="F70" s="226">
        <f t="shared" si="55"/>
        <v>0</v>
      </c>
      <c r="G70" s="122">
        <f t="shared" si="55"/>
        <v>1.8271432187880188E-4</v>
      </c>
      <c r="H70" s="121">
        <f t="shared" si="55"/>
        <v>7.3514794802442829E-5</v>
      </c>
      <c r="I70" s="120">
        <f t="shared" si="55"/>
        <v>-4.8023797780988309E-5</v>
      </c>
      <c r="J70" s="226">
        <f t="shared" si="55"/>
        <v>0</v>
      </c>
      <c r="K70" s="120">
        <f t="shared" si="55"/>
        <v>8.0919638028449509E-3</v>
      </c>
      <c r="L70" s="122">
        <f t="shared" si="55"/>
        <v>3.2647337254997078E-4</v>
      </c>
      <c r="M70" s="121">
        <f t="shared" si="55"/>
        <v>1.8264188643311252E-2</v>
      </c>
      <c r="N70" s="120">
        <f t="shared" si="55"/>
        <v>-2.1949511710442349E-4</v>
      </c>
      <c r="O70" s="120">
        <f t="shared" si="55"/>
        <v>-1.3324658810226736E-2</v>
      </c>
      <c r="P70" s="122">
        <f t="shared" si="55"/>
        <v>2.0067484686028675E-3</v>
      </c>
      <c r="Q70" s="123">
        <f t="shared" si="55"/>
        <v>1.2582193486543325E-6</v>
      </c>
      <c r="R70" s="244">
        <f t="shared" si="55"/>
        <v>0</v>
      </c>
      <c r="S70" s="120">
        <f t="shared" si="55"/>
        <v>8.2282417315605871E-4</v>
      </c>
      <c r="T70" s="120">
        <f t="shared" si="55"/>
        <v>8.2582051627630437E-4</v>
      </c>
      <c r="U70" s="120">
        <f t="shared" si="55"/>
        <v>-1.4133144257239619E-2</v>
      </c>
      <c r="V70" s="120">
        <f t="shared" si="55"/>
        <v>1.9401949027818277E-4</v>
      </c>
      <c r="W70" s="120">
        <f t="shared" si="55"/>
        <v>5.4369544618077664E-3</v>
      </c>
      <c r="X70" s="120">
        <f t="shared" si="55"/>
        <v>-1.3016565127590002E-3</v>
      </c>
      <c r="Y70" s="120">
        <f t="shared" si="55"/>
        <v>-4.354362362333497E-4</v>
      </c>
      <c r="Z70" s="122">
        <f t="shared" si="55"/>
        <v>1.5724294060810856E-3</v>
      </c>
      <c r="AA70" s="244">
        <f t="shared" si="55"/>
        <v>0</v>
      </c>
      <c r="AB70" s="120">
        <f t="shared" si="55"/>
        <v>-5.2156252819073393E-3</v>
      </c>
      <c r="AC70" s="120">
        <f t="shared" si="55"/>
        <v>-1.3569495251591901E-4</v>
      </c>
      <c r="AD70" s="120">
        <f t="shared" si="55"/>
        <v>-3.6371943421265041E-6</v>
      </c>
      <c r="AE70" s="120">
        <f t="shared" si="55"/>
        <v>1.2490992837847076E-3</v>
      </c>
      <c r="AF70" s="120">
        <f t="shared" si="55"/>
        <v>-2.3089401124271047E-4</v>
      </c>
      <c r="AG70" s="120">
        <f t="shared" si="55"/>
        <v>1.1533581428649353E-4</v>
      </c>
      <c r="AH70" s="120">
        <f t="shared" si="55"/>
        <v>1.3759452187354915E-4</v>
      </c>
      <c r="AI70" s="122">
        <f t="shared" si="55"/>
        <v>4.1362371613809512E-4</v>
      </c>
      <c r="AJ70" s="121">
        <f t="shared" ref="AJ70:AP70" si="56">(((AJ40+Unadj_Op_revenue)/(AJ67+Unadj_rate_base))-Weighted_cost_debt-Weighted_cost_pref)/Percent_common-Unadj_ROE</f>
        <v>1.2188112548242869E-3</v>
      </c>
      <c r="AK70" s="120">
        <f t="shared" si="56"/>
        <v>2.8172302681295225E-4</v>
      </c>
      <c r="AL70" s="120">
        <f t="shared" si="56"/>
        <v>1.527786724604685E-4</v>
      </c>
      <c r="AM70" s="120">
        <f t="shared" si="56"/>
        <v>3.0098008324541681E-6</v>
      </c>
      <c r="AN70" s="120">
        <f t="shared" si="56"/>
        <v>-6.9928722640401897E-3</v>
      </c>
      <c r="AO70" s="120">
        <f t="shared" si="56"/>
        <v>-1.6742395095544135E-3</v>
      </c>
      <c r="AP70" s="122">
        <f t="shared" si="56"/>
        <v>-3.3585636605013916E-3</v>
      </c>
    </row>
    <row r="71" spans="1:42" s="67" customFormat="1">
      <c r="A71" s="61" t="s">
        <v>62</v>
      </c>
      <c r="B71" s="131">
        <f>SUM(C71:AP71)</f>
        <v>11739294.560519351</v>
      </c>
      <c r="C71" s="55">
        <f t="shared" ref="C71:AI71" si="57">-(C40-(C67*Overall_ROR))/gross_up_factor</f>
        <v>7030213.959153383</v>
      </c>
      <c r="D71" s="53">
        <f t="shared" si="57"/>
        <v>483091.63596178865</v>
      </c>
      <c r="E71" s="227">
        <f t="shared" si="57"/>
        <v>0</v>
      </c>
      <c r="F71" s="227">
        <f t="shared" si="57"/>
        <v>0</v>
      </c>
      <c r="G71" s="56">
        <f t="shared" si="57"/>
        <v>-115391.49886962927</v>
      </c>
      <c r="H71" s="55">
        <f t="shared" si="57"/>
        <v>-46427.572147146006</v>
      </c>
      <c r="I71" s="53">
        <f t="shared" si="57"/>
        <v>30328.974490774675</v>
      </c>
      <c r="J71" s="227">
        <f t="shared" si="57"/>
        <v>0</v>
      </c>
      <c r="K71" s="53">
        <f t="shared" si="57"/>
        <v>-5096948.0382828731</v>
      </c>
      <c r="L71" s="56">
        <f t="shared" si="57"/>
        <v>-206181.16528685074</v>
      </c>
      <c r="M71" s="55">
        <f t="shared" si="57"/>
        <v>-11534575.295020124</v>
      </c>
      <c r="N71" s="53">
        <f t="shared" si="57"/>
        <v>131080.25851868655</v>
      </c>
      <c r="O71" s="53">
        <f t="shared" si="57"/>
        <v>8415062.0281344783</v>
      </c>
      <c r="P71" s="56">
        <f t="shared" si="57"/>
        <v>-1541494.5509187784</v>
      </c>
      <c r="Q71" s="76">
        <f t="shared" si="57"/>
        <v>-1077.0633172632556</v>
      </c>
      <c r="R71" s="245">
        <f t="shared" si="57"/>
        <v>0</v>
      </c>
      <c r="S71" s="53">
        <f t="shared" si="57"/>
        <v>-699489.43561122671</v>
      </c>
      <c r="T71" s="53">
        <f t="shared" si="57"/>
        <v>-539193.95230767201</v>
      </c>
      <c r="U71" s="53">
        <f t="shared" si="57"/>
        <v>8925653.3522617277</v>
      </c>
      <c r="V71" s="53">
        <f t="shared" si="57"/>
        <v>-122531.17086232291</v>
      </c>
      <c r="W71" s="53">
        <f t="shared" si="57"/>
        <v>-3399884.1588694588</v>
      </c>
      <c r="X71" s="53">
        <f t="shared" si="57"/>
        <v>812489.61831322196</v>
      </c>
      <c r="Y71" s="53">
        <f t="shared" si="57"/>
        <v>274995.62948574225</v>
      </c>
      <c r="Z71" s="56">
        <f t="shared" si="57"/>
        <v>-1328361.6231346978</v>
      </c>
      <c r="AA71" s="245">
        <f t="shared" si="57"/>
        <v>0</v>
      </c>
      <c r="AB71" s="53">
        <f t="shared" si="57"/>
        <v>4671027.2969250008</v>
      </c>
      <c r="AC71" s="53">
        <f t="shared" si="57"/>
        <v>94953.530942363694</v>
      </c>
      <c r="AD71" s="53">
        <f t="shared" si="57"/>
        <v>3113.6470775118155</v>
      </c>
      <c r="AE71" s="53">
        <f t="shared" si="57"/>
        <v>-1058076.6018855576</v>
      </c>
      <c r="AF71" s="53">
        <f t="shared" si="57"/>
        <v>206039.29690771762</v>
      </c>
      <c r="AG71" s="53">
        <f t="shared" si="57"/>
        <v>-88356.558944376317</v>
      </c>
      <c r="AH71" s="53">
        <f t="shared" si="57"/>
        <v>-60582.190535537506</v>
      </c>
      <c r="AI71" s="56">
        <f t="shared" si="57"/>
        <v>-365345.14783452702</v>
      </c>
      <c r="AJ71" s="144">
        <f t="shared" ref="AJ71:AP71" si="58">-(AJ40-(AJ67*Overall_ROR))/gross_up_factor</f>
        <v>-849695.00061774498</v>
      </c>
      <c r="AK71" s="53">
        <f t="shared" si="58"/>
        <v>-177919.50842037977</v>
      </c>
      <c r="AL71" s="53">
        <f t="shared" si="58"/>
        <v>-96485.923102511573</v>
      </c>
      <c r="AM71" s="53">
        <f t="shared" si="58"/>
        <v>-1900.8111995895986</v>
      </c>
      <c r="AN71" s="53">
        <f t="shared" si="58"/>
        <v>4416282.2249193471</v>
      </c>
      <c r="AO71" s="53">
        <f t="shared" si="58"/>
        <v>1453811.3152616047</v>
      </c>
      <c r="AP71" s="56">
        <f t="shared" si="58"/>
        <v>2121069.0593342683</v>
      </c>
    </row>
    <row r="72" spans="1:42" s="67" customFormat="1">
      <c r="A72" s="61"/>
      <c r="B72" s="84"/>
      <c r="C72" s="71"/>
      <c r="D72" s="69"/>
      <c r="E72" s="228"/>
      <c r="F72" s="228"/>
      <c r="G72" s="72"/>
      <c r="H72" s="71"/>
      <c r="I72" s="69"/>
      <c r="J72" s="228"/>
      <c r="K72" s="69"/>
      <c r="L72" s="72"/>
      <c r="M72" s="71"/>
      <c r="N72" s="69"/>
      <c r="O72" s="69"/>
      <c r="P72" s="72"/>
      <c r="Q72" s="84"/>
      <c r="R72" s="246"/>
      <c r="S72" s="69"/>
      <c r="T72" s="69"/>
      <c r="U72" s="69"/>
      <c r="V72" s="69"/>
      <c r="W72" s="69"/>
      <c r="X72" s="69"/>
      <c r="Y72" s="69"/>
      <c r="Z72" s="72"/>
      <c r="AA72" s="246"/>
      <c r="AB72" s="69"/>
      <c r="AC72" s="69"/>
      <c r="AD72" s="69"/>
      <c r="AE72" s="69"/>
      <c r="AF72" s="69"/>
      <c r="AG72" s="69"/>
      <c r="AH72" s="69"/>
      <c r="AI72" s="72"/>
      <c r="AJ72" s="71"/>
      <c r="AK72" s="69"/>
      <c r="AL72" s="69"/>
      <c r="AM72" s="69"/>
      <c r="AN72" s="69"/>
      <c r="AO72" s="69"/>
      <c r="AP72" s="72"/>
    </row>
    <row r="73" spans="1:42">
      <c r="A73" s="61" t="s">
        <v>117</v>
      </c>
      <c r="B73" s="76"/>
      <c r="C73" s="20"/>
      <c r="D73" s="17"/>
      <c r="E73" s="216"/>
      <c r="F73" s="216"/>
      <c r="G73" s="22"/>
      <c r="H73" s="20"/>
      <c r="I73" s="17"/>
      <c r="J73" s="216"/>
      <c r="K73" s="17"/>
      <c r="L73" s="22"/>
      <c r="M73" s="20"/>
      <c r="N73" s="17"/>
      <c r="O73" s="17"/>
      <c r="P73" s="22"/>
      <c r="Q73" s="76"/>
      <c r="R73" s="236"/>
      <c r="S73" s="17"/>
      <c r="T73" s="17"/>
      <c r="U73" s="17"/>
      <c r="V73" s="17"/>
      <c r="W73" s="17"/>
      <c r="X73" s="17"/>
      <c r="Y73" s="17"/>
      <c r="Z73" s="22"/>
      <c r="AA73" s="236"/>
      <c r="AB73" s="17"/>
      <c r="AC73" s="17"/>
      <c r="AD73" s="17"/>
      <c r="AE73" s="17"/>
      <c r="AF73" s="17"/>
      <c r="AG73" s="17"/>
      <c r="AH73" s="17"/>
      <c r="AI73" s="22"/>
      <c r="AJ73" s="136"/>
      <c r="AK73" s="17"/>
      <c r="AL73" s="17"/>
      <c r="AM73" s="17"/>
      <c r="AN73" s="17"/>
      <c r="AO73" s="17"/>
      <c r="AP73" s="22"/>
    </row>
    <row r="74" spans="1:42">
      <c r="A74" s="61" t="s">
        <v>118</v>
      </c>
      <c r="B74" s="131">
        <f t="shared" ref="B74:B80" si="59">SUM(C74:AP74)</f>
        <v>-1596014.9599371455</v>
      </c>
      <c r="C74" s="55">
        <f t="shared" ref="C74:AI74" si="60">C16-C29-C30-C31-C32-C37</f>
        <v>-6704444.6599999983</v>
      </c>
      <c r="D74" s="53">
        <f t="shared" si="60"/>
        <v>-33120.929999989981</v>
      </c>
      <c r="E74" s="227">
        <f t="shared" si="60"/>
        <v>0</v>
      </c>
      <c r="F74" s="227">
        <f t="shared" si="60"/>
        <v>0</v>
      </c>
      <c r="G74" s="56">
        <f t="shared" si="60"/>
        <v>110044.43433739353</v>
      </c>
      <c r="H74" s="55">
        <f>H16-H29-H30-H31-H32-H37</f>
        <v>44276.189880881328</v>
      </c>
      <c r="I74" s="53">
        <f t="shared" si="60"/>
        <v>-28923.57647283293</v>
      </c>
      <c r="J74" s="227">
        <f t="shared" si="60"/>
        <v>0</v>
      </c>
      <c r="K74" s="53">
        <f t="shared" si="60"/>
        <v>4858459</v>
      </c>
      <c r="L74" s="56">
        <f t="shared" si="60"/>
        <v>196627.0472892508</v>
      </c>
      <c r="M74" s="55">
        <f t="shared" si="60"/>
        <v>11000080.821349347</v>
      </c>
      <c r="N74" s="53">
        <f t="shared" si="60"/>
        <v>-152282.21898382137</v>
      </c>
      <c r="O74" s="53">
        <f t="shared" si="60"/>
        <v>-8025121</v>
      </c>
      <c r="P74" s="56">
        <f t="shared" si="60"/>
        <v>439356.46083514317</v>
      </c>
      <c r="Q74" s="76">
        <f t="shared" si="60"/>
        <v>0</v>
      </c>
      <c r="R74" s="245">
        <f t="shared" si="60"/>
        <v>0</v>
      </c>
      <c r="S74" s="53">
        <f t="shared" si="60"/>
        <v>0</v>
      </c>
      <c r="T74" s="53">
        <f t="shared" si="60"/>
        <v>0</v>
      </c>
      <c r="U74" s="53">
        <f t="shared" si="60"/>
        <v>0</v>
      </c>
      <c r="V74" s="53">
        <f t="shared" si="60"/>
        <v>0</v>
      </c>
      <c r="W74" s="53">
        <f t="shared" si="60"/>
        <v>0</v>
      </c>
      <c r="X74" s="53">
        <f t="shared" si="60"/>
        <v>0</v>
      </c>
      <c r="Y74" s="53">
        <f t="shared" si="60"/>
        <v>0</v>
      </c>
      <c r="Z74" s="56">
        <f t="shared" si="60"/>
        <v>0</v>
      </c>
      <c r="AA74" s="245">
        <f t="shared" si="60"/>
        <v>0</v>
      </c>
      <c r="AB74" s="53">
        <f t="shared" si="60"/>
        <v>0</v>
      </c>
      <c r="AC74" s="53">
        <f t="shared" si="60"/>
        <v>-54303.537524919564</v>
      </c>
      <c r="AD74" s="53">
        <f t="shared" si="60"/>
        <v>0</v>
      </c>
      <c r="AE74" s="53">
        <f t="shared" si="60"/>
        <v>0</v>
      </c>
      <c r="AF74" s="53">
        <f t="shared" si="60"/>
        <v>0</v>
      </c>
      <c r="AG74" s="53">
        <f t="shared" si="60"/>
        <v>17990.552800000001</v>
      </c>
      <c r="AH74" s="53">
        <f t="shared" si="60"/>
        <v>169568.97296169098</v>
      </c>
      <c r="AI74" s="56">
        <f t="shared" si="60"/>
        <v>-34004.906666666662</v>
      </c>
      <c r="AJ74" s="144">
        <f t="shared" ref="AJ74:AP74" si="61">AJ16-AJ29-AJ30-AJ31-AJ32-AJ37</f>
        <v>547918.25463305868</v>
      </c>
      <c r="AK74" s="53">
        <f t="shared" si="61"/>
        <v>169674.9921225</v>
      </c>
      <c r="AL74" s="53">
        <f t="shared" si="61"/>
        <v>92014.913865822877</v>
      </c>
      <c r="AM74" s="53">
        <f t="shared" si="61"/>
        <v>1812.7305329255391</v>
      </c>
      <c r="AN74" s="53">
        <f t="shared" si="61"/>
        <v>-4211638.5008969298</v>
      </c>
      <c r="AO74" s="53">
        <f t="shared" si="61"/>
        <v>0</v>
      </c>
      <c r="AP74" s="56">
        <f t="shared" si="61"/>
        <v>0</v>
      </c>
    </row>
    <row r="75" spans="1:42">
      <c r="A75" s="61" t="s">
        <v>119</v>
      </c>
      <c r="B75" s="76">
        <f t="shared" si="59"/>
        <v>0</v>
      </c>
      <c r="C75" s="20"/>
      <c r="D75" s="17"/>
      <c r="E75" s="216"/>
      <c r="F75" s="216"/>
      <c r="G75" s="22"/>
      <c r="H75" s="20"/>
      <c r="I75" s="17"/>
      <c r="J75" s="216"/>
      <c r="K75" s="17"/>
      <c r="L75" s="22"/>
      <c r="M75" s="20"/>
      <c r="N75" s="17"/>
      <c r="O75" s="17"/>
      <c r="P75" s="22"/>
      <c r="Q75" s="76"/>
      <c r="R75" s="236"/>
      <c r="S75" s="17"/>
      <c r="T75" s="17"/>
      <c r="U75" s="17"/>
      <c r="V75" s="17"/>
      <c r="W75" s="17"/>
      <c r="X75" s="17"/>
      <c r="Y75" s="17"/>
      <c r="Z75" s="22"/>
      <c r="AA75" s="236"/>
      <c r="AB75" s="17"/>
      <c r="AC75" s="17"/>
      <c r="AD75" s="17"/>
      <c r="AE75" s="17"/>
      <c r="AF75" s="17"/>
      <c r="AG75" s="17"/>
      <c r="AH75" s="17"/>
      <c r="AI75" s="22"/>
      <c r="AJ75" s="136"/>
      <c r="AK75" s="17"/>
      <c r="AL75" s="17"/>
      <c r="AM75" s="17"/>
      <c r="AN75" s="17"/>
      <c r="AO75" s="17"/>
      <c r="AP75" s="22"/>
    </row>
    <row r="76" spans="1:42">
      <c r="A76" s="61" t="s">
        <v>120</v>
      </c>
      <c r="B76" s="80">
        <f t="shared" si="59"/>
        <v>217013.20626896209</v>
      </c>
      <c r="C76" s="27"/>
      <c r="D76" s="25"/>
      <c r="E76" s="218"/>
      <c r="F76" s="218"/>
      <c r="G76" s="30"/>
      <c r="H76" s="27"/>
      <c r="I76" s="25"/>
      <c r="J76" s="218"/>
      <c r="K76" s="25"/>
      <c r="L76" s="30"/>
      <c r="M76" s="27"/>
      <c r="N76" s="25"/>
      <c r="O76" s="25"/>
      <c r="P76" s="30"/>
      <c r="Q76" s="80"/>
      <c r="R76" s="239"/>
      <c r="S76" s="25"/>
      <c r="T76" s="25"/>
      <c r="U76" s="25"/>
      <c r="V76" s="25">
        <f>'[32]Lead Sheet'!$I$9</f>
        <v>217013.20626896209</v>
      </c>
      <c r="W76" s="25"/>
      <c r="X76" s="25"/>
      <c r="Y76" s="25"/>
      <c r="Z76" s="30"/>
      <c r="AA76" s="239"/>
      <c r="AB76" s="25"/>
      <c r="AC76" s="25"/>
      <c r="AD76" s="25"/>
      <c r="AE76" s="25"/>
      <c r="AF76" s="17"/>
      <c r="AG76" s="25"/>
      <c r="AH76" s="25"/>
      <c r="AI76" s="30"/>
      <c r="AJ76" s="137"/>
      <c r="AK76" s="25"/>
      <c r="AL76" s="25"/>
      <c r="AM76" s="25"/>
      <c r="AN76" s="25"/>
      <c r="AO76" s="17"/>
      <c r="AP76" s="30"/>
    </row>
    <row r="77" spans="1:42">
      <c r="A77" s="61" t="s">
        <v>121</v>
      </c>
      <c r="B77" s="80">
        <f t="shared" si="59"/>
        <v>-3756595.1100003608</v>
      </c>
      <c r="C77" s="27"/>
      <c r="D77" s="25"/>
      <c r="E77" s="218"/>
      <c r="F77" s="218"/>
      <c r="G77" s="30"/>
      <c r="H77" s="27"/>
      <c r="I77" s="25"/>
      <c r="J77" s="218"/>
      <c r="K77" s="25"/>
      <c r="L77" s="30"/>
      <c r="M77" s="27"/>
      <c r="N77" s="25"/>
      <c r="O77" s="25"/>
      <c r="P77" s="30"/>
      <c r="Q77" s="80"/>
      <c r="R77" s="239"/>
      <c r="S77" s="25"/>
      <c r="T77" s="25"/>
      <c r="U77" s="25"/>
      <c r="V77" s="25"/>
      <c r="W77" s="25"/>
      <c r="X77" s="25"/>
      <c r="Y77" s="25"/>
      <c r="Z77" s="30"/>
      <c r="AA77" s="239"/>
      <c r="AB77" s="25"/>
      <c r="AC77" s="25"/>
      <c r="AD77" s="25"/>
      <c r="AE77" s="25"/>
      <c r="AF77" s="17"/>
      <c r="AG77" s="25"/>
      <c r="AH77" s="25"/>
      <c r="AI77" s="30"/>
      <c r="AJ77" s="137"/>
      <c r="AK77" s="25"/>
      <c r="AL77" s="25"/>
      <c r="AM77" s="25"/>
      <c r="AN77" s="25"/>
      <c r="AO77" s="17"/>
      <c r="AP77" s="56">
        <f>'Interest Calc'!$C$16</f>
        <v>-3756595.1100003608</v>
      </c>
    </row>
    <row r="78" spans="1:42">
      <c r="A78" s="61" t="s">
        <v>122</v>
      </c>
      <c r="B78" s="80">
        <f t="shared" si="59"/>
        <v>-2566569.5074167242</v>
      </c>
      <c r="C78" s="27"/>
      <c r="D78" s="25">
        <f>'[3]Lead Sheet 3.2'!$I$19</f>
        <v>-1653038</v>
      </c>
      <c r="E78" s="218"/>
      <c r="F78" s="218"/>
      <c r="G78" s="30"/>
      <c r="H78" s="27"/>
      <c r="I78" s="25"/>
      <c r="J78" s="218"/>
      <c r="K78" s="25"/>
      <c r="L78" s="30"/>
      <c r="M78" s="27"/>
      <c r="N78" s="25"/>
      <c r="O78" s="25"/>
      <c r="P78" s="30">
        <f>SUM('[16]Lead Sheet'!$I$13:$I$14,'[16]Lead Sheet'!$I$26)</f>
        <v>-449420.00153080252</v>
      </c>
      <c r="Q78" s="80"/>
      <c r="R78" s="239"/>
      <c r="S78" s="25"/>
      <c r="T78" s="25"/>
      <c r="U78" s="25"/>
      <c r="V78" s="25"/>
      <c r="W78" s="25"/>
      <c r="X78" s="25"/>
      <c r="Y78" s="25"/>
      <c r="Z78" s="30"/>
      <c r="AA78" s="239"/>
      <c r="AB78" s="25"/>
      <c r="AC78" s="25">
        <f>SUM('[13]Lead Sheet'!$I$21,'[13]Lead Sheet'!$I$25,'[13]Lead Sheet'!$I$31)</f>
        <v>-59375.233530133206</v>
      </c>
      <c r="AD78" s="25"/>
      <c r="AE78" s="25"/>
      <c r="AF78" s="17">
        <f>SUM('[24]Lead Sheet '!$I$67,'[24]Lead Sheet '!$I$71,'[24]Lead Sheet '!$I$87)</f>
        <v>-69061.886393937762</v>
      </c>
      <c r="AG78" s="25">
        <f>'[17]Lead Sheet'!$I$13</f>
        <v>-17990.552800000001</v>
      </c>
      <c r="AH78" s="25">
        <f>'[18]Lead Sheet'!$I$31</f>
        <v>-347730.61460689106</v>
      </c>
      <c r="AI78" s="30"/>
      <c r="AJ78" s="137">
        <f>'[25]Lead Sheet'!$I$20</f>
        <v>30046.781445040437</v>
      </c>
      <c r="AK78" s="25"/>
      <c r="AL78" s="25"/>
      <c r="AM78" s="25"/>
      <c r="AN78" s="25"/>
      <c r="AO78" s="17"/>
      <c r="AP78" s="30"/>
    </row>
    <row r="79" spans="1:42">
      <c r="A79" s="61" t="s">
        <v>123</v>
      </c>
      <c r="B79" s="85">
        <f t="shared" si="59"/>
        <v>-1178110.4330472155</v>
      </c>
      <c r="C79" s="58"/>
      <c r="D79" s="40">
        <f>'[3]Lead Sheet 3.2'!$I$25</f>
        <v>-10607</v>
      </c>
      <c r="E79" s="229"/>
      <c r="F79" s="229"/>
      <c r="G79" s="59"/>
      <c r="H79" s="58"/>
      <c r="I79" s="38"/>
      <c r="J79" s="222"/>
      <c r="K79" s="38">
        <f>'[11]Lead Sheet '!$I$20</f>
        <v>-1385852.3131956439</v>
      </c>
      <c r="L79" s="73"/>
      <c r="M79" s="58"/>
      <c r="N79" s="38"/>
      <c r="O79" s="38"/>
      <c r="P79" s="73">
        <f>'[16]Lead Sheet'!$I$12</f>
        <v>-90396.065974144673</v>
      </c>
      <c r="Q79" s="85"/>
      <c r="R79" s="247"/>
      <c r="S79" s="40"/>
      <c r="T79" s="40"/>
      <c r="U79" s="40"/>
      <c r="V79" s="40"/>
      <c r="W79" s="40"/>
      <c r="X79" s="40"/>
      <c r="Y79" s="40"/>
      <c r="Z79" s="59"/>
      <c r="AA79" s="247"/>
      <c r="AB79" s="40"/>
      <c r="AC79" s="40"/>
      <c r="AD79" s="40"/>
      <c r="AE79" s="40"/>
      <c r="AF79" s="40">
        <f>SUM('[24]Lead Sheet '!$I$75,'[24]Lead Sheet '!$I$79,'[24]Lead Sheet '!$I$83)</f>
        <v>-538286.5880295817</v>
      </c>
      <c r="AG79" s="40"/>
      <c r="AH79" s="40"/>
      <c r="AI79" s="59"/>
      <c r="AJ79" s="145">
        <f>'[25]Lead Sheet'!$I$21</f>
        <v>847031.53415215481</v>
      </c>
      <c r="AK79" s="40"/>
      <c r="AL79" s="40"/>
      <c r="AM79" s="40"/>
      <c r="AN79" s="40"/>
      <c r="AO79" s="40"/>
      <c r="AP79" s="59"/>
    </row>
    <row r="80" spans="1:42">
      <c r="A80" s="61" t="s">
        <v>124</v>
      </c>
      <c r="B80" s="86">
        <f t="shared" si="59"/>
        <v>555107.86942474451</v>
      </c>
      <c r="C80" s="51">
        <f t="shared" ref="C80:AI80" si="62">C74-C76-C77+C78-C79</f>
        <v>-6704444.6599999983</v>
      </c>
      <c r="D80" s="41">
        <f t="shared" si="62"/>
        <v>-1675551.9299999899</v>
      </c>
      <c r="E80" s="230">
        <f t="shared" si="62"/>
        <v>0</v>
      </c>
      <c r="F80" s="230">
        <f t="shared" si="62"/>
        <v>0</v>
      </c>
      <c r="G80" s="52">
        <f t="shared" si="62"/>
        <v>110044.43433739353</v>
      </c>
      <c r="H80" s="51">
        <f t="shared" si="62"/>
        <v>44276.189880881328</v>
      </c>
      <c r="I80" s="41">
        <f t="shared" si="62"/>
        <v>-28923.57647283293</v>
      </c>
      <c r="J80" s="230">
        <f t="shared" si="62"/>
        <v>0</v>
      </c>
      <c r="K80" s="41">
        <f t="shared" si="62"/>
        <v>6244311.3131956439</v>
      </c>
      <c r="L80" s="52">
        <f t="shared" ref="L80" si="63">L74-L76-L77+L78-L79</f>
        <v>196627.0472892508</v>
      </c>
      <c r="M80" s="51">
        <f t="shared" ref="M80" si="64">M74-M76-M77+M78-M79</f>
        <v>11000080.821349347</v>
      </c>
      <c r="N80" s="41">
        <f t="shared" ref="N80:O80" si="65">N74-N76-N77+N78-N79</f>
        <v>-152282.21898382137</v>
      </c>
      <c r="O80" s="41">
        <f t="shared" si="65"/>
        <v>-8025121</v>
      </c>
      <c r="P80" s="52">
        <f t="shared" si="62"/>
        <v>80332.525278485322</v>
      </c>
      <c r="Q80" s="86">
        <f t="shared" si="62"/>
        <v>0</v>
      </c>
      <c r="R80" s="248">
        <f t="shared" si="62"/>
        <v>0</v>
      </c>
      <c r="S80" s="41">
        <f t="shared" ref="S80" si="66">S74-S76-S77+S78-S79</f>
        <v>0</v>
      </c>
      <c r="T80" s="41">
        <f t="shared" si="62"/>
        <v>0</v>
      </c>
      <c r="U80" s="41">
        <f t="shared" si="62"/>
        <v>0</v>
      </c>
      <c r="V80" s="41">
        <f t="shared" si="62"/>
        <v>-217013.20626896209</v>
      </c>
      <c r="W80" s="41">
        <f t="shared" si="62"/>
        <v>0</v>
      </c>
      <c r="X80" s="41">
        <f t="shared" ref="X80:Y80" si="67">X74-X76-X77+X78-X79</f>
        <v>0</v>
      </c>
      <c r="Y80" s="41">
        <f t="shared" si="67"/>
        <v>0</v>
      </c>
      <c r="Z80" s="52">
        <f t="shared" si="62"/>
        <v>0</v>
      </c>
      <c r="AA80" s="248">
        <f t="shared" si="62"/>
        <v>0</v>
      </c>
      <c r="AB80" s="41">
        <f t="shared" si="62"/>
        <v>0</v>
      </c>
      <c r="AC80" s="41">
        <f t="shared" si="62"/>
        <v>-113678.77105505277</v>
      </c>
      <c r="AD80" s="41">
        <f t="shared" si="62"/>
        <v>0</v>
      </c>
      <c r="AE80" s="41">
        <f t="shared" ref="AE80" si="68">AE74-AE76-AE77+AE78-AE79</f>
        <v>0</v>
      </c>
      <c r="AF80" s="41">
        <f t="shared" si="62"/>
        <v>469224.70163564396</v>
      </c>
      <c r="AG80" s="41">
        <f t="shared" si="62"/>
        <v>0</v>
      </c>
      <c r="AH80" s="41">
        <f t="shared" si="62"/>
        <v>-178161.64164520008</v>
      </c>
      <c r="AI80" s="52">
        <f t="shared" si="62"/>
        <v>-34004.906666666662</v>
      </c>
      <c r="AJ80" s="70">
        <f t="shared" ref="AJ80:AP80" si="69">AJ74-AJ76-AJ77+AJ78-AJ79</f>
        <v>-269066.49807405565</v>
      </c>
      <c r="AK80" s="41">
        <f t="shared" si="69"/>
        <v>169674.9921225</v>
      </c>
      <c r="AL80" s="41">
        <f t="shared" si="69"/>
        <v>92014.913865822877</v>
      </c>
      <c r="AM80" s="41">
        <f t="shared" si="69"/>
        <v>1812.7305329255391</v>
      </c>
      <c r="AN80" s="41">
        <f t="shared" si="69"/>
        <v>-4211638.5008969298</v>
      </c>
      <c r="AO80" s="41">
        <f t="shared" si="69"/>
        <v>0</v>
      </c>
      <c r="AP80" s="52">
        <f t="shared" si="69"/>
        <v>3756595.1100003608</v>
      </c>
    </row>
    <row r="81" spans="1:42">
      <c r="A81" s="61"/>
      <c r="B81" s="76"/>
      <c r="C81" s="20"/>
      <c r="D81" s="17"/>
      <c r="E81" s="216"/>
      <c r="F81" s="216"/>
      <c r="G81" s="22"/>
      <c r="H81" s="20"/>
      <c r="I81" s="17"/>
      <c r="J81" s="216"/>
      <c r="K81" s="17"/>
      <c r="L81" s="22"/>
      <c r="M81" s="20"/>
      <c r="N81" s="17"/>
      <c r="O81" s="17"/>
      <c r="P81" s="22"/>
      <c r="Q81" s="76"/>
      <c r="R81" s="236"/>
      <c r="S81" s="17"/>
      <c r="T81" s="17"/>
      <c r="U81" s="17"/>
      <c r="V81" s="17"/>
      <c r="W81" s="17"/>
      <c r="X81" s="17"/>
      <c r="Y81" s="17"/>
      <c r="Z81" s="22"/>
      <c r="AA81" s="236"/>
      <c r="AB81" s="17"/>
      <c r="AC81" s="17"/>
      <c r="AD81" s="17"/>
      <c r="AE81" s="17"/>
      <c r="AF81" s="17"/>
      <c r="AG81" s="17"/>
      <c r="AH81" s="17"/>
      <c r="AI81" s="22"/>
      <c r="AJ81" s="136"/>
      <c r="AK81" s="17"/>
      <c r="AL81" s="17"/>
      <c r="AM81" s="17"/>
      <c r="AN81" s="17"/>
      <c r="AO81" s="17"/>
      <c r="AP81" s="22"/>
    </row>
    <row r="82" spans="1:42">
      <c r="A82" s="61" t="s">
        <v>125</v>
      </c>
      <c r="B82" s="151"/>
      <c r="C82" s="20"/>
      <c r="D82" s="17"/>
      <c r="E82" s="216"/>
      <c r="F82" s="216"/>
      <c r="G82" s="22"/>
      <c r="H82" s="20"/>
      <c r="I82" s="17"/>
      <c r="J82" s="216"/>
      <c r="K82" s="17"/>
      <c r="L82" s="22"/>
      <c r="M82" s="20"/>
      <c r="N82" s="17"/>
      <c r="O82" s="17"/>
      <c r="P82" s="22"/>
      <c r="Q82" s="76"/>
      <c r="R82" s="249"/>
      <c r="S82" s="57"/>
      <c r="T82" s="57"/>
      <c r="U82" s="57"/>
      <c r="V82" s="57"/>
      <c r="W82" s="57"/>
      <c r="X82" s="57"/>
      <c r="Y82" s="57"/>
      <c r="Z82" s="114"/>
      <c r="AA82" s="249"/>
      <c r="AB82" s="57"/>
      <c r="AC82" s="57"/>
      <c r="AD82" s="57"/>
      <c r="AE82" s="57"/>
      <c r="AF82" s="57"/>
      <c r="AG82" s="57"/>
      <c r="AH82" s="57"/>
      <c r="AI82" s="114"/>
      <c r="AJ82" s="146"/>
      <c r="AK82" s="57"/>
      <c r="AL82" s="57"/>
      <c r="AM82" s="57"/>
      <c r="AN82" s="57"/>
      <c r="AO82" s="57"/>
      <c r="AP82" s="114"/>
    </row>
    <row r="83" spans="1:42">
      <c r="A83" s="61" t="s">
        <v>126</v>
      </c>
      <c r="B83" s="151">
        <f>SUM(C83:AP83)</f>
        <v>555107.86942474451</v>
      </c>
      <c r="C83" s="20">
        <f>C80-C82</f>
        <v>-6704444.6599999983</v>
      </c>
      <c r="D83" s="17">
        <f t="shared" ref="D83:AI83" si="70">D80-D82</f>
        <v>-1675551.9299999899</v>
      </c>
      <c r="E83" s="216">
        <f t="shared" si="70"/>
        <v>0</v>
      </c>
      <c r="F83" s="216">
        <f t="shared" si="70"/>
        <v>0</v>
      </c>
      <c r="G83" s="22">
        <f t="shared" si="70"/>
        <v>110044.43433739353</v>
      </c>
      <c r="H83" s="20">
        <f t="shared" si="70"/>
        <v>44276.189880881328</v>
      </c>
      <c r="I83" s="17">
        <f t="shared" si="70"/>
        <v>-28923.57647283293</v>
      </c>
      <c r="J83" s="216">
        <f t="shared" si="70"/>
        <v>0</v>
      </c>
      <c r="K83" s="17">
        <f t="shared" si="70"/>
        <v>6244311.3131956439</v>
      </c>
      <c r="L83" s="22">
        <f t="shared" si="70"/>
        <v>196627.0472892508</v>
      </c>
      <c r="M83" s="20">
        <f t="shared" si="70"/>
        <v>11000080.821349347</v>
      </c>
      <c r="N83" s="17">
        <f t="shared" si="70"/>
        <v>-152282.21898382137</v>
      </c>
      <c r="O83" s="17">
        <f t="shared" si="70"/>
        <v>-8025121</v>
      </c>
      <c r="P83" s="22">
        <f t="shared" si="70"/>
        <v>80332.525278485322</v>
      </c>
      <c r="Q83" s="76">
        <f t="shared" si="70"/>
        <v>0</v>
      </c>
      <c r="R83" s="249">
        <f t="shared" si="70"/>
        <v>0</v>
      </c>
      <c r="S83" s="57">
        <f t="shared" si="70"/>
        <v>0</v>
      </c>
      <c r="T83" s="57">
        <f t="shared" si="70"/>
        <v>0</v>
      </c>
      <c r="U83" s="57">
        <f t="shared" si="70"/>
        <v>0</v>
      </c>
      <c r="V83" s="57">
        <f t="shared" si="70"/>
        <v>-217013.20626896209</v>
      </c>
      <c r="W83" s="57">
        <f t="shared" si="70"/>
        <v>0</v>
      </c>
      <c r="X83" s="57">
        <f t="shared" si="70"/>
        <v>0</v>
      </c>
      <c r="Y83" s="57">
        <f t="shared" si="70"/>
        <v>0</v>
      </c>
      <c r="Z83" s="114">
        <f t="shared" si="70"/>
        <v>0</v>
      </c>
      <c r="AA83" s="249">
        <f t="shared" si="70"/>
        <v>0</v>
      </c>
      <c r="AB83" s="57">
        <f t="shared" si="70"/>
        <v>0</v>
      </c>
      <c r="AC83" s="57">
        <f t="shared" si="70"/>
        <v>-113678.77105505277</v>
      </c>
      <c r="AD83" s="57">
        <f t="shared" si="70"/>
        <v>0</v>
      </c>
      <c r="AE83" s="57">
        <f t="shared" si="70"/>
        <v>0</v>
      </c>
      <c r="AF83" s="57">
        <f t="shared" si="70"/>
        <v>469224.70163564396</v>
      </c>
      <c r="AG83" s="57">
        <f t="shared" si="70"/>
        <v>0</v>
      </c>
      <c r="AH83" s="57">
        <f t="shared" si="70"/>
        <v>-178161.64164520008</v>
      </c>
      <c r="AI83" s="114">
        <f t="shared" si="70"/>
        <v>-34004.906666666662</v>
      </c>
      <c r="AJ83" s="146">
        <f t="shared" ref="AJ83:AP83" si="71">AJ80-AJ82</f>
        <v>-269066.49807405565</v>
      </c>
      <c r="AK83" s="57">
        <f t="shared" si="71"/>
        <v>169674.9921225</v>
      </c>
      <c r="AL83" s="57">
        <f t="shared" si="71"/>
        <v>92014.913865822877</v>
      </c>
      <c r="AM83" s="57">
        <f t="shared" si="71"/>
        <v>1812.7305329255391</v>
      </c>
      <c r="AN83" s="57">
        <f t="shared" si="71"/>
        <v>-4211638.5008969298</v>
      </c>
      <c r="AO83" s="57">
        <f t="shared" si="71"/>
        <v>0</v>
      </c>
      <c r="AP83" s="114">
        <f t="shared" si="71"/>
        <v>3756595.1100003608</v>
      </c>
    </row>
    <row r="84" spans="1:42">
      <c r="A84" s="61"/>
      <c r="B84" s="151"/>
      <c r="C84" s="20"/>
      <c r="D84" s="17"/>
      <c r="E84" s="216"/>
      <c r="F84" s="216"/>
      <c r="G84" s="22"/>
      <c r="H84" s="20"/>
      <c r="I84" s="17"/>
      <c r="J84" s="216"/>
      <c r="K84" s="17"/>
      <c r="L84" s="22"/>
      <c r="M84" s="20"/>
      <c r="N84" s="17"/>
      <c r="O84" s="17"/>
      <c r="P84" s="22"/>
      <c r="Q84" s="76"/>
      <c r="R84" s="249"/>
      <c r="S84" s="57"/>
      <c r="T84" s="57"/>
      <c r="U84" s="57"/>
      <c r="V84" s="57"/>
      <c r="W84" s="57"/>
      <c r="X84" s="57"/>
      <c r="Y84" s="57"/>
      <c r="Z84" s="114"/>
      <c r="AA84" s="249"/>
      <c r="AB84" s="57"/>
      <c r="AC84" s="57"/>
      <c r="AD84" s="57"/>
      <c r="AE84" s="57"/>
      <c r="AF84" s="57"/>
      <c r="AG84" s="57"/>
      <c r="AH84" s="57"/>
      <c r="AI84" s="114"/>
      <c r="AJ84" s="146"/>
      <c r="AK84" s="57"/>
      <c r="AL84" s="57"/>
      <c r="AM84" s="57"/>
      <c r="AN84" s="57"/>
      <c r="AO84" s="57"/>
      <c r="AP84" s="114"/>
    </row>
    <row r="85" spans="1:42">
      <c r="A85" s="61" t="s">
        <v>198</v>
      </c>
      <c r="B85" s="151">
        <f>SUM(C85:AP85)</f>
        <v>194287.7542986616</v>
      </c>
      <c r="C85" s="20">
        <f>C83*0.35</f>
        <v>-2346555.6309999991</v>
      </c>
      <c r="D85" s="17">
        <f t="shared" ref="D85:AI85" si="72">D83*0.35</f>
        <v>-586443.1754999964</v>
      </c>
      <c r="E85" s="216">
        <f t="shared" si="72"/>
        <v>0</v>
      </c>
      <c r="F85" s="216">
        <f t="shared" si="72"/>
        <v>0</v>
      </c>
      <c r="G85" s="22">
        <f t="shared" si="72"/>
        <v>38515.552018087728</v>
      </c>
      <c r="H85" s="20">
        <f t="shared" si="72"/>
        <v>15496.666458308464</v>
      </c>
      <c r="I85" s="17">
        <f t="shared" si="72"/>
        <v>-10123.251765491525</v>
      </c>
      <c r="J85" s="216">
        <f t="shared" si="72"/>
        <v>0</v>
      </c>
      <c r="K85" s="17">
        <f t="shared" si="72"/>
        <v>2185508.9596184753</v>
      </c>
      <c r="L85" s="22">
        <f t="shared" si="72"/>
        <v>68819.466551237769</v>
      </c>
      <c r="M85" s="20">
        <f t="shared" si="72"/>
        <v>3850028.2874722714</v>
      </c>
      <c r="N85" s="17">
        <f t="shared" si="72"/>
        <v>-53298.776644337479</v>
      </c>
      <c r="O85" s="17">
        <f t="shared" si="72"/>
        <v>-2808792.3499999996</v>
      </c>
      <c r="P85" s="22">
        <f t="shared" si="72"/>
        <v>28116.38384746986</v>
      </c>
      <c r="Q85" s="76">
        <f t="shared" si="72"/>
        <v>0</v>
      </c>
      <c r="R85" s="249">
        <f t="shared" si="72"/>
        <v>0</v>
      </c>
      <c r="S85" s="57">
        <f t="shared" si="72"/>
        <v>0</v>
      </c>
      <c r="T85" s="57">
        <f t="shared" si="72"/>
        <v>0</v>
      </c>
      <c r="U85" s="57">
        <f t="shared" si="72"/>
        <v>0</v>
      </c>
      <c r="V85" s="57">
        <f t="shared" si="72"/>
        <v>-75954.622194136726</v>
      </c>
      <c r="W85" s="57">
        <f t="shared" si="72"/>
        <v>0</v>
      </c>
      <c r="X85" s="57">
        <f t="shared" si="72"/>
        <v>0</v>
      </c>
      <c r="Y85" s="57">
        <f t="shared" si="72"/>
        <v>0</v>
      </c>
      <c r="Z85" s="114">
        <f t="shared" si="72"/>
        <v>0</v>
      </c>
      <c r="AA85" s="249">
        <f t="shared" si="72"/>
        <v>0</v>
      </c>
      <c r="AB85" s="57">
        <f t="shared" si="72"/>
        <v>0</v>
      </c>
      <c r="AC85" s="57">
        <f t="shared" si="72"/>
        <v>-39787.569869268467</v>
      </c>
      <c r="AD85" s="57">
        <f t="shared" si="72"/>
        <v>0</v>
      </c>
      <c r="AE85" s="57">
        <f t="shared" si="72"/>
        <v>0</v>
      </c>
      <c r="AF85" s="57">
        <f t="shared" si="72"/>
        <v>164228.64557247536</v>
      </c>
      <c r="AG85" s="57">
        <f t="shared" si="72"/>
        <v>0</v>
      </c>
      <c r="AH85" s="57">
        <f t="shared" si="72"/>
        <v>-62356.574575820028</v>
      </c>
      <c r="AI85" s="114">
        <f t="shared" si="72"/>
        <v>-11901.71733333333</v>
      </c>
      <c r="AJ85" s="146">
        <f t="shared" ref="AJ85:AP85" si="73">AJ83*0.35</f>
        <v>-94173.274325919469</v>
      </c>
      <c r="AK85" s="57">
        <f t="shared" si="73"/>
        <v>59386.247242874997</v>
      </c>
      <c r="AL85" s="57">
        <f t="shared" si="73"/>
        <v>32205.219853038005</v>
      </c>
      <c r="AM85" s="57">
        <f t="shared" si="73"/>
        <v>634.45568652393865</v>
      </c>
      <c r="AN85" s="57">
        <f t="shared" si="73"/>
        <v>-1474073.4753139254</v>
      </c>
      <c r="AO85" s="57">
        <f t="shared" si="73"/>
        <v>0</v>
      </c>
      <c r="AP85" s="114">
        <f t="shared" si="73"/>
        <v>1314808.2885001262</v>
      </c>
    </row>
    <row r="86" spans="1:42">
      <c r="A86" s="61" t="s">
        <v>199</v>
      </c>
      <c r="B86" s="151">
        <f>SUM(C86:AP86)</f>
        <v>0</v>
      </c>
      <c r="C86" s="20"/>
      <c r="D86" s="17"/>
      <c r="E86" s="216"/>
      <c r="F86" s="216"/>
      <c r="G86" s="22"/>
      <c r="H86" s="20"/>
      <c r="I86" s="17"/>
      <c r="J86" s="216"/>
      <c r="K86" s="17"/>
      <c r="L86" s="22"/>
      <c r="M86" s="20"/>
      <c r="N86" s="17"/>
      <c r="O86" s="17"/>
      <c r="P86" s="22"/>
      <c r="Q86" s="76"/>
      <c r="R86" s="249"/>
      <c r="S86" s="57"/>
      <c r="T86" s="57"/>
      <c r="U86" s="57"/>
      <c r="V86" s="57"/>
      <c r="W86" s="57"/>
      <c r="X86" s="57"/>
      <c r="Y86" s="57"/>
      <c r="Z86" s="114"/>
      <c r="AA86" s="249"/>
      <c r="AB86" s="57"/>
      <c r="AC86" s="57"/>
      <c r="AD86" s="57"/>
      <c r="AE86" s="57"/>
      <c r="AF86" s="57"/>
      <c r="AG86" s="57"/>
      <c r="AH86" s="57"/>
      <c r="AI86" s="114"/>
      <c r="AJ86" s="146"/>
      <c r="AK86" s="57"/>
      <c r="AL86" s="57"/>
      <c r="AM86" s="57"/>
      <c r="AN86" s="57"/>
      <c r="AO86" s="57"/>
      <c r="AP86" s="114"/>
    </row>
    <row r="87" spans="1:42" s="57" customFormat="1" ht="13.5" thickBot="1">
      <c r="A87" s="61" t="s">
        <v>200</v>
      </c>
      <c r="B87" s="152">
        <f>SUM(C87:AP87)</f>
        <v>194287.7542986616</v>
      </c>
      <c r="C87" s="115">
        <f>C85+C86</f>
        <v>-2346555.6309999991</v>
      </c>
      <c r="D87" s="116">
        <f t="shared" ref="D87:AI87" si="74">D85+D86</f>
        <v>-586443.1754999964</v>
      </c>
      <c r="E87" s="231">
        <f t="shared" si="74"/>
        <v>0</v>
      </c>
      <c r="F87" s="231">
        <f t="shared" si="74"/>
        <v>0</v>
      </c>
      <c r="G87" s="117">
        <f t="shared" si="74"/>
        <v>38515.552018087728</v>
      </c>
      <c r="H87" s="115">
        <f t="shared" si="74"/>
        <v>15496.666458308464</v>
      </c>
      <c r="I87" s="116">
        <f t="shared" si="74"/>
        <v>-10123.251765491525</v>
      </c>
      <c r="J87" s="231">
        <f t="shared" si="74"/>
        <v>0</v>
      </c>
      <c r="K87" s="116">
        <f t="shared" si="74"/>
        <v>2185508.9596184753</v>
      </c>
      <c r="L87" s="117">
        <f t="shared" si="74"/>
        <v>68819.466551237769</v>
      </c>
      <c r="M87" s="115">
        <f t="shared" si="74"/>
        <v>3850028.2874722714</v>
      </c>
      <c r="N87" s="116">
        <f t="shared" si="74"/>
        <v>-53298.776644337479</v>
      </c>
      <c r="O87" s="116">
        <f t="shared" si="74"/>
        <v>-2808792.3499999996</v>
      </c>
      <c r="P87" s="117">
        <f t="shared" si="74"/>
        <v>28116.38384746986</v>
      </c>
      <c r="Q87" s="118">
        <f t="shared" si="74"/>
        <v>0</v>
      </c>
      <c r="R87" s="250">
        <f t="shared" si="74"/>
        <v>0</v>
      </c>
      <c r="S87" s="62">
        <f t="shared" si="74"/>
        <v>0</v>
      </c>
      <c r="T87" s="62">
        <f t="shared" si="74"/>
        <v>0</v>
      </c>
      <c r="U87" s="62">
        <f t="shared" si="74"/>
        <v>0</v>
      </c>
      <c r="V87" s="62">
        <f t="shared" si="74"/>
        <v>-75954.622194136726</v>
      </c>
      <c r="W87" s="62">
        <f t="shared" si="74"/>
        <v>0</v>
      </c>
      <c r="X87" s="62">
        <f t="shared" si="74"/>
        <v>0</v>
      </c>
      <c r="Y87" s="62">
        <f t="shared" si="74"/>
        <v>0</v>
      </c>
      <c r="Z87" s="63">
        <f t="shared" si="74"/>
        <v>0</v>
      </c>
      <c r="AA87" s="250">
        <f t="shared" si="74"/>
        <v>0</v>
      </c>
      <c r="AB87" s="62">
        <f t="shared" si="74"/>
        <v>0</v>
      </c>
      <c r="AC87" s="62">
        <f t="shared" si="74"/>
        <v>-39787.569869268467</v>
      </c>
      <c r="AD87" s="62">
        <f t="shared" si="74"/>
        <v>0</v>
      </c>
      <c r="AE87" s="62">
        <f t="shared" si="74"/>
        <v>0</v>
      </c>
      <c r="AF87" s="62">
        <f t="shared" si="74"/>
        <v>164228.64557247536</v>
      </c>
      <c r="AG87" s="62">
        <f t="shared" si="74"/>
        <v>0</v>
      </c>
      <c r="AH87" s="62">
        <f t="shared" si="74"/>
        <v>-62356.574575820028</v>
      </c>
      <c r="AI87" s="63">
        <f t="shared" si="74"/>
        <v>-11901.71733333333</v>
      </c>
      <c r="AJ87" s="147">
        <f t="shared" ref="AJ87:AP87" si="75">AJ85+AJ86</f>
        <v>-94173.274325919469</v>
      </c>
      <c r="AK87" s="62">
        <f t="shared" si="75"/>
        <v>59386.247242874997</v>
      </c>
      <c r="AL87" s="62">
        <f t="shared" si="75"/>
        <v>32205.219853038005</v>
      </c>
      <c r="AM87" s="62">
        <f t="shared" si="75"/>
        <v>634.45568652393865</v>
      </c>
      <c r="AN87" s="62">
        <f t="shared" si="75"/>
        <v>-1474073.4753139254</v>
      </c>
      <c r="AO87" s="62">
        <f t="shared" si="75"/>
        <v>0</v>
      </c>
      <c r="AP87" s="63">
        <f t="shared" si="75"/>
        <v>1314808.2885001262</v>
      </c>
    </row>
    <row r="88" spans="1:42" s="57" customFormat="1">
      <c r="A88" s="61"/>
      <c r="B88" s="41"/>
      <c r="C88" s="41"/>
      <c r="D88" s="41"/>
      <c r="E88" s="65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65"/>
      <c r="S88" s="41"/>
      <c r="T88" s="41"/>
      <c r="U88" s="41"/>
      <c r="V88" s="41"/>
      <c r="W88" s="41"/>
      <c r="X88" s="41"/>
      <c r="Y88" s="41"/>
      <c r="Z88" s="41"/>
      <c r="AA88" s="65"/>
      <c r="AB88" s="41"/>
      <c r="AC88" s="41"/>
      <c r="AD88" s="41"/>
      <c r="AE88" s="41"/>
      <c r="AF88" s="41"/>
      <c r="AG88" s="41"/>
      <c r="AH88" s="41"/>
      <c r="AI88" s="41"/>
      <c r="AJ88" s="65"/>
      <c r="AK88" s="41"/>
      <c r="AL88" s="41"/>
      <c r="AM88" s="41"/>
      <c r="AN88" s="41"/>
      <c r="AO88" s="41"/>
      <c r="AP88" s="41"/>
    </row>
    <row r="89" spans="1:42" s="57" customFormat="1">
      <c r="A89" s="61"/>
      <c r="B89" s="61"/>
      <c r="C89" s="61"/>
      <c r="D89" s="61"/>
      <c r="E89" s="66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6"/>
      <c r="S89" s="61"/>
      <c r="T89" s="61"/>
      <c r="U89" s="61"/>
      <c r="V89" s="61"/>
      <c r="W89" s="61"/>
      <c r="X89" s="61"/>
      <c r="Y89" s="61"/>
      <c r="Z89" s="61"/>
      <c r="AA89" s="66"/>
      <c r="AB89" s="61"/>
      <c r="AC89" s="61"/>
      <c r="AD89" s="61"/>
      <c r="AE89" s="61"/>
      <c r="AF89" s="61"/>
      <c r="AG89" s="61"/>
      <c r="AH89" s="61"/>
      <c r="AI89" s="61"/>
      <c r="AJ89" s="66"/>
      <c r="AK89" s="61"/>
      <c r="AL89" s="61"/>
      <c r="AM89" s="61"/>
      <c r="AN89" s="61"/>
      <c r="AO89" s="61"/>
      <c r="AP89" s="61"/>
    </row>
    <row r="90" spans="1:42" s="57" customFormat="1">
      <c r="A90" s="88"/>
      <c r="B90" s="17"/>
      <c r="C90" s="17"/>
      <c r="D90" s="17"/>
      <c r="E90" s="64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64"/>
      <c r="S90" s="17"/>
      <c r="T90" s="17"/>
      <c r="U90" s="17"/>
      <c r="V90" s="17"/>
      <c r="W90" s="17"/>
      <c r="X90" s="17"/>
      <c r="Y90" s="17"/>
      <c r="Z90" s="17"/>
      <c r="AA90" s="64"/>
      <c r="AB90" s="17"/>
      <c r="AC90" s="17"/>
      <c r="AD90" s="17"/>
      <c r="AE90" s="17"/>
      <c r="AF90" s="17"/>
      <c r="AG90" s="17"/>
      <c r="AH90" s="17"/>
      <c r="AI90" s="17"/>
      <c r="AJ90" s="64"/>
      <c r="AK90" s="17"/>
      <c r="AL90" s="17"/>
      <c r="AM90" s="17"/>
      <c r="AN90" s="17"/>
      <c r="AO90" s="17"/>
      <c r="AP90" s="17"/>
    </row>
    <row r="91" spans="1:42" s="57" customFormat="1">
      <c r="A91" s="61"/>
      <c r="B91" s="17"/>
      <c r="C91" s="17"/>
      <c r="D91" s="17"/>
      <c r="E91" s="64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64"/>
      <c r="S91" s="17"/>
      <c r="T91" s="17"/>
      <c r="U91" s="17"/>
      <c r="V91" s="17"/>
      <c r="W91" s="17"/>
      <c r="X91" s="17"/>
      <c r="Y91" s="17"/>
      <c r="Z91" s="17"/>
      <c r="AA91" s="64"/>
      <c r="AB91" s="17"/>
      <c r="AC91" s="17"/>
      <c r="AD91" s="17"/>
      <c r="AE91" s="17"/>
      <c r="AF91" s="17"/>
      <c r="AG91" s="17"/>
      <c r="AH91" s="17"/>
      <c r="AI91" s="17"/>
      <c r="AJ91" s="64"/>
      <c r="AK91" s="17"/>
      <c r="AL91" s="17"/>
      <c r="AM91" s="17"/>
      <c r="AN91" s="17"/>
      <c r="AO91" s="17"/>
      <c r="AP91" s="17"/>
    </row>
    <row r="92" spans="1:42" s="57" customFormat="1">
      <c r="A92" s="61"/>
      <c r="E92" s="2"/>
      <c r="R92" s="2"/>
      <c r="AA92" s="2"/>
      <c r="AJ92" s="2"/>
    </row>
    <row r="93" spans="1:42" s="57" customFormat="1">
      <c r="A93" s="113"/>
      <c r="E93" s="2"/>
      <c r="R93" s="2"/>
      <c r="AA93" s="2"/>
      <c r="AJ93" s="2"/>
    </row>
  </sheetData>
  <mergeCells count="2">
    <mergeCell ref="AA7:AI7"/>
    <mergeCell ref="AJ7:AP7"/>
  </mergeCells>
  <phoneticPr fontId="3" type="noConversion"/>
  <pageMargins left="0.45" right="0.25" top="0.75" bottom="0.5" header="0.4" footer="0.5"/>
  <pageSetup scale="60" fitToWidth="6" orientation="portrait" r:id="rId1"/>
  <headerFooter alignWithMargins="0">
    <oddHeader xml:space="preserve">&amp;L&amp;12PacifiCorp
Washington General Rate Case - December 2009
Summary of Restating Adjustments (Rebuttal Position)&amp;10
&amp;R&amp;12Exhibit No.___(RBD-6) - Revised 12/10/10
Page 1.&amp;P+16
&amp;10
</oddHeader>
  </headerFooter>
  <colBreaks count="5" manualBreakCount="5">
    <brk id="7" max="1048575" man="1"/>
    <brk id="12" min="4" max="87" man="1"/>
    <brk id="17" max="1048575" man="1"/>
    <brk id="26" max="1048575" man="1"/>
    <brk id="35" min="4" max="87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Y94"/>
  <sheetViews>
    <sheetView zoomScale="85" zoomScaleNormal="85" zoomScaleSheetLayoutView="85" workbookViewId="0">
      <pane xSplit="1" ySplit="9" topLeftCell="B10" activePane="bottomRight" state="frozen"/>
      <selection activeCell="C3" sqref="C3"/>
      <selection pane="topRight" activeCell="C3" sqref="C3"/>
      <selection pane="bottomLeft" activeCell="C3" sqref="C3"/>
      <selection pane="bottomRight" activeCell="A6" sqref="A6"/>
    </sheetView>
  </sheetViews>
  <sheetFormatPr defaultRowHeight="12.75"/>
  <cols>
    <col min="1" max="1" width="40.42578125" style="3" customWidth="1"/>
    <col min="2" max="10" width="13.7109375" style="3" customWidth="1"/>
    <col min="11" max="11" width="13.7109375" style="67" customWidth="1"/>
    <col min="12" max="14" width="13.7109375" style="3" customWidth="1"/>
    <col min="15" max="15" width="13.7109375" style="67" customWidth="1"/>
    <col min="16" max="25" width="13.7109375" style="3" customWidth="1"/>
    <col min="26" max="16384" width="9.140625" style="3"/>
  </cols>
  <sheetData>
    <row r="1" spans="1:25">
      <c r="A1" s="5" t="s">
        <v>60</v>
      </c>
    </row>
    <row r="2" spans="1:25">
      <c r="A2" s="1" t="s">
        <v>216</v>
      </c>
      <c r="T2" s="2"/>
      <c r="U2" s="2"/>
      <c r="V2" s="2"/>
      <c r="W2" s="2"/>
      <c r="X2" s="2"/>
      <c r="Y2" s="2"/>
    </row>
    <row r="3" spans="1:25">
      <c r="A3" s="297" t="s">
        <v>333</v>
      </c>
      <c r="T3" s="2"/>
      <c r="U3" s="2"/>
      <c r="V3" s="2"/>
      <c r="W3" s="2"/>
      <c r="X3" s="2"/>
      <c r="Y3" s="2"/>
    </row>
    <row r="4" spans="1:25">
      <c r="A4" s="210"/>
      <c r="T4" s="2"/>
      <c r="U4" s="2"/>
      <c r="V4" s="2"/>
      <c r="W4" s="2"/>
      <c r="X4" s="2"/>
      <c r="Y4" s="2"/>
    </row>
    <row r="5" spans="1:25">
      <c r="A5" s="1"/>
      <c r="T5" s="2"/>
      <c r="U5" s="2"/>
      <c r="V5" s="2"/>
      <c r="W5" s="2"/>
      <c r="X5" s="2"/>
      <c r="Y5" s="2"/>
    </row>
    <row r="6" spans="1:25" ht="39" thickBot="1">
      <c r="B6" s="57"/>
      <c r="H6" s="212" t="s">
        <v>307</v>
      </c>
      <c r="K6" s="212" t="s">
        <v>308</v>
      </c>
      <c r="O6" s="212" t="s">
        <v>305</v>
      </c>
      <c r="R6" s="212" t="s">
        <v>308</v>
      </c>
      <c r="S6" s="212" t="s">
        <v>309</v>
      </c>
      <c r="T6" s="212" t="s">
        <v>286</v>
      </c>
      <c r="U6" s="212" t="s">
        <v>291</v>
      </c>
      <c r="V6" s="212" t="s">
        <v>294</v>
      </c>
      <c r="W6" s="212" t="s">
        <v>295</v>
      </c>
      <c r="X6" s="212" t="s">
        <v>288</v>
      </c>
      <c r="Y6" s="212" t="s">
        <v>287</v>
      </c>
    </row>
    <row r="7" spans="1:25" ht="13.5" thickBot="1">
      <c r="A7" s="5"/>
      <c r="B7" s="153"/>
      <c r="C7" s="89" t="s">
        <v>44</v>
      </c>
      <c r="D7" s="93"/>
      <c r="E7" s="89" t="s">
        <v>45</v>
      </c>
      <c r="F7" s="91"/>
      <c r="G7" s="92"/>
      <c r="H7" s="89" t="s">
        <v>46</v>
      </c>
      <c r="I7" s="93"/>
      <c r="J7" s="94" t="s">
        <v>42</v>
      </c>
      <c r="K7" s="6" t="s">
        <v>47</v>
      </c>
      <c r="L7" s="90"/>
      <c r="M7" s="90"/>
      <c r="N7" s="93"/>
      <c r="O7" s="6" t="s">
        <v>48</v>
      </c>
      <c r="P7" s="91"/>
      <c r="Q7" s="92"/>
      <c r="R7" s="89" t="s">
        <v>63</v>
      </c>
      <c r="S7" s="92"/>
      <c r="T7" s="317" t="s">
        <v>274</v>
      </c>
      <c r="U7" s="308"/>
      <c r="V7" s="308"/>
      <c r="W7" s="308"/>
      <c r="X7" s="308"/>
      <c r="Y7" s="309"/>
    </row>
    <row r="8" spans="1:25">
      <c r="B8" s="74"/>
      <c r="C8" s="11" t="s">
        <v>3</v>
      </c>
      <c r="D8" s="12" t="s">
        <v>6</v>
      </c>
      <c r="E8" s="11" t="s">
        <v>8</v>
      </c>
      <c r="F8" s="10" t="s">
        <v>9</v>
      </c>
      <c r="G8" s="12" t="s">
        <v>51</v>
      </c>
      <c r="H8" s="233" t="s">
        <v>58</v>
      </c>
      <c r="I8" s="12" t="s">
        <v>50</v>
      </c>
      <c r="J8" s="74" t="s">
        <v>14</v>
      </c>
      <c r="K8" s="233" t="s">
        <v>15</v>
      </c>
      <c r="L8" s="10" t="s">
        <v>17</v>
      </c>
      <c r="M8" s="10" t="s">
        <v>19</v>
      </c>
      <c r="N8" s="12" t="s">
        <v>24</v>
      </c>
      <c r="O8" s="233" t="s">
        <v>25</v>
      </c>
      <c r="P8" s="10" t="s">
        <v>31</v>
      </c>
      <c r="Q8" s="12" t="s">
        <v>34</v>
      </c>
      <c r="R8" s="233" t="s">
        <v>35</v>
      </c>
      <c r="S8" s="258" t="s">
        <v>59</v>
      </c>
      <c r="T8" s="127" t="s">
        <v>273</v>
      </c>
      <c r="U8" s="128" t="s">
        <v>289</v>
      </c>
      <c r="V8" s="128" t="s">
        <v>292</v>
      </c>
      <c r="W8" s="213" t="s">
        <v>293</v>
      </c>
      <c r="X8" s="128" t="s">
        <v>281</v>
      </c>
      <c r="Y8" s="129" t="s">
        <v>282</v>
      </c>
    </row>
    <row r="9" spans="1:25" s="5" customFormat="1" ht="63" customHeight="1">
      <c r="B9" s="98" t="s">
        <v>334</v>
      </c>
      <c r="C9" s="96" t="s">
        <v>159</v>
      </c>
      <c r="D9" s="97" t="s">
        <v>131</v>
      </c>
      <c r="E9" s="96" t="s">
        <v>162</v>
      </c>
      <c r="F9" s="95" t="s">
        <v>163</v>
      </c>
      <c r="G9" s="97" t="s">
        <v>164</v>
      </c>
      <c r="H9" s="257" t="s">
        <v>160</v>
      </c>
      <c r="I9" s="97" t="s">
        <v>161</v>
      </c>
      <c r="J9" s="98" t="s">
        <v>141</v>
      </c>
      <c r="K9" s="255" t="s">
        <v>142</v>
      </c>
      <c r="L9" s="99" t="s">
        <v>167</v>
      </c>
      <c r="M9" s="95" t="s">
        <v>168</v>
      </c>
      <c r="N9" s="97" t="s">
        <v>169</v>
      </c>
      <c r="O9" s="257" t="s">
        <v>151</v>
      </c>
      <c r="P9" s="95" t="s">
        <v>165</v>
      </c>
      <c r="Q9" s="97" t="s">
        <v>166</v>
      </c>
      <c r="R9" s="257" t="s">
        <v>170</v>
      </c>
      <c r="S9" s="259" t="s">
        <v>171</v>
      </c>
      <c r="T9" s="14" t="s">
        <v>280</v>
      </c>
      <c r="U9" s="13" t="s">
        <v>290</v>
      </c>
      <c r="V9" s="13" t="s">
        <v>170</v>
      </c>
      <c r="W9" s="13" t="s">
        <v>171</v>
      </c>
      <c r="X9" s="13" t="s">
        <v>151</v>
      </c>
      <c r="Y9" s="15" t="s">
        <v>335</v>
      </c>
    </row>
    <row r="10" spans="1:25">
      <c r="A10" s="57"/>
      <c r="B10" s="76"/>
      <c r="C10" s="20"/>
      <c r="D10" s="22"/>
      <c r="E10" s="21"/>
      <c r="F10" s="17"/>
      <c r="G10" s="23"/>
      <c r="H10" s="235"/>
      <c r="I10" s="22"/>
      <c r="J10" s="76"/>
      <c r="K10" s="235"/>
      <c r="L10" s="19"/>
      <c r="M10" s="17"/>
      <c r="N10" s="22"/>
      <c r="O10" s="236"/>
      <c r="P10" s="17"/>
      <c r="Q10" s="23"/>
      <c r="R10" s="236"/>
      <c r="S10" s="260"/>
      <c r="T10" s="21"/>
      <c r="U10" s="19"/>
      <c r="V10" s="19"/>
      <c r="W10" s="19"/>
      <c r="X10" s="17"/>
      <c r="Y10" s="23"/>
    </row>
    <row r="11" spans="1:25">
      <c r="A11" s="61" t="s">
        <v>65</v>
      </c>
      <c r="B11" s="76"/>
      <c r="C11" s="20"/>
      <c r="D11" s="22"/>
      <c r="E11" s="20"/>
      <c r="F11" s="17"/>
      <c r="G11" s="22"/>
      <c r="H11" s="236"/>
      <c r="I11" s="22"/>
      <c r="J11" s="76"/>
      <c r="K11" s="236"/>
      <c r="L11" s="17"/>
      <c r="M11" s="17"/>
      <c r="N11" s="22"/>
      <c r="O11" s="236"/>
      <c r="P11" s="17"/>
      <c r="Q11" s="22"/>
      <c r="R11" s="236"/>
      <c r="S11" s="261"/>
      <c r="T11" s="20"/>
      <c r="U11" s="17"/>
      <c r="V11" s="17"/>
      <c r="W11" s="17"/>
      <c r="X11" s="17"/>
      <c r="Y11" s="22"/>
    </row>
    <row r="12" spans="1:25">
      <c r="A12" s="61" t="s">
        <v>66</v>
      </c>
      <c r="B12" s="80">
        <f>SUM(C12:Y12)</f>
        <v>12402155.109999999</v>
      </c>
      <c r="C12" s="27">
        <f>'[3]Lead Sheet 3.3'!$I$14</f>
        <v>12402155.109999999</v>
      </c>
      <c r="D12" s="30"/>
      <c r="E12" s="26"/>
      <c r="F12" s="25"/>
      <c r="G12" s="30"/>
      <c r="H12" s="237"/>
      <c r="I12" s="29"/>
      <c r="J12" s="77"/>
      <c r="K12" s="237"/>
      <c r="L12" s="28"/>
      <c r="M12" s="28"/>
      <c r="N12" s="29"/>
      <c r="O12" s="239"/>
      <c r="P12" s="25"/>
      <c r="Q12" s="30"/>
      <c r="R12" s="239"/>
      <c r="S12" s="262"/>
      <c r="T12" s="27"/>
      <c r="U12" s="25"/>
      <c r="V12" s="25"/>
      <c r="W12" s="25"/>
      <c r="X12" s="17"/>
      <c r="Y12" s="30"/>
    </row>
    <row r="13" spans="1:25">
      <c r="A13" s="61" t="s">
        <v>67</v>
      </c>
      <c r="B13" s="77">
        <f>SUM(C13:Y13)</f>
        <v>0</v>
      </c>
      <c r="C13" s="26"/>
      <c r="D13" s="29"/>
      <c r="E13" s="26"/>
      <c r="F13" s="28"/>
      <c r="G13" s="29"/>
      <c r="H13" s="237"/>
      <c r="I13" s="29"/>
      <c r="J13" s="77"/>
      <c r="K13" s="237"/>
      <c r="L13" s="28"/>
      <c r="M13" s="28"/>
      <c r="N13" s="29"/>
      <c r="O13" s="237"/>
      <c r="P13" s="28"/>
      <c r="Q13" s="30"/>
      <c r="R13" s="237"/>
      <c r="S13" s="262"/>
      <c r="T13" s="27"/>
      <c r="U13" s="25"/>
      <c r="V13" s="25"/>
      <c r="W13" s="25"/>
      <c r="X13" s="17"/>
      <c r="Y13" s="30"/>
    </row>
    <row r="14" spans="1:25">
      <c r="A14" s="61" t="s">
        <v>68</v>
      </c>
      <c r="B14" s="77">
        <f>SUM(C14:Y14)</f>
        <v>-46215933.386372209</v>
      </c>
      <c r="C14" s="26"/>
      <c r="D14" s="29"/>
      <c r="E14" s="26"/>
      <c r="F14" s="28"/>
      <c r="G14" s="29"/>
      <c r="H14" s="237"/>
      <c r="I14" s="29"/>
      <c r="J14" s="77"/>
      <c r="K14" s="237"/>
      <c r="L14" s="28"/>
      <c r="M14" s="28"/>
      <c r="N14" s="29"/>
      <c r="O14" s="237"/>
      <c r="P14" s="28"/>
      <c r="Q14" s="30"/>
      <c r="R14" s="237"/>
      <c r="S14" s="262"/>
      <c r="T14" s="27"/>
      <c r="U14" s="25">
        <f>'[42]Lead Sheet - 12.6'!$I$13</f>
        <v>-46151633.162128016</v>
      </c>
      <c r="V14" s="25"/>
      <c r="W14" s="25">
        <f>'[33]Lead Sheet'!$I$46</f>
        <v>-64300.224244192243</v>
      </c>
      <c r="X14" s="17"/>
      <c r="Y14" s="30"/>
    </row>
    <row r="15" spans="1:25">
      <c r="A15" s="61" t="s">
        <v>69</v>
      </c>
      <c r="B15" s="77">
        <f>SUM(C15:Y15)</f>
        <v>2935061.5718090199</v>
      </c>
      <c r="C15" s="26"/>
      <c r="D15" s="29">
        <f>'[4]Lead Sheet'!$I$12</f>
        <v>-17062.670165353691</v>
      </c>
      <c r="E15" s="26"/>
      <c r="F15" s="28"/>
      <c r="G15" s="29"/>
      <c r="H15" s="237"/>
      <c r="I15" s="29">
        <f>'[34]Lead Sheet WA'!$H$11</f>
        <v>1178569.3667911782</v>
      </c>
      <c r="J15" s="77"/>
      <c r="K15" s="237"/>
      <c r="L15" s="28"/>
      <c r="M15" s="28"/>
      <c r="N15" s="29"/>
      <c r="O15" s="237"/>
      <c r="P15" s="28"/>
      <c r="Q15" s="30">
        <f>'[35]Lead Sheet'!$I$10</f>
        <v>-3000000</v>
      </c>
      <c r="R15" s="237"/>
      <c r="S15" s="262"/>
      <c r="T15" s="27">
        <f>'[5]Lead Sheet - Rebuttal'!$I$12</f>
        <v>4784094.8380285027</v>
      </c>
      <c r="U15" s="25"/>
      <c r="V15" s="25"/>
      <c r="W15" s="25">
        <f>SUM('[33]Lead Sheet'!$I$57,'[33]Lead Sheet'!$I$72:$I$73)</f>
        <v>-10539.962845307076</v>
      </c>
      <c r="X15" s="17"/>
      <c r="Y15" s="30"/>
    </row>
    <row r="16" spans="1:25">
      <c r="A16" s="61" t="s">
        <v>70</v>
      </c>
      <c r="B16" s="78">
        <f>SUM(C16:Y16)</f>
        <v>-30878716.704563189</v>
      </c>
      <c r="C16" s="33">
        <f t="shared" ref="C16:R16" si="0">SUM(C12:C15)</f>
        <v>12402155.109999999</v>
      </c>
      <c r="D16" s="34">
        <f t="shared" si="0"/>
        <v>-17062.670165353691</v>
      </c>
      <c r="E16" s="33">
        <f t="shared" si="0"/>
        <v>0</v>
      </c>
      <c r="F16" s="31">
        <f t="shared" si="0"/>
        <v>0</v>
      </c>
      <c r="G16" s="34">
        <f t="shared" si="0"/>
        <v>0</v>
      </c>
      <c r="H16" s="238">
        <f t="shared" si="0"/>
        <v>0</v>
      </c>
      <c r="I16" s="34">
        <f t="shared" si="0"/>
        <v>1178569.3667911782</v>
      </c>
      <c r="J16" s="78">
        <f t="shared" si="0"/>
        <v>0</v>
      </c>
      <c r="K16" s="238">
        <f t="shared" si="0"/>
        <v>0</v>
      </c>
      <c r="L16" s="31">
        <f t="shared" si="0"/>
        <v>0</v>
      </c>
      <c r="M16" s="31">
        <f t="shared" si="0"/>
        <v>0</v>
      </c>
      <c r="N16" s="34">
        <f t="shared" si="0"/>
        <v>0</v>
      </c>
      <c r="O16" s="238">
        <f t="shared" si="0"/>
        <v>0</v>
      </c>
      <c r="P16" s="31">
        <f t="shared" si="0"/>
        <v>0</v>
      </c>
      <c r="Q16" s="34">
        <f t="shared" si="0"/>
        <v>-3000000</v>
      </c>
      <c r="R16" s="238">
        <f t="shared" si="0"/>
        <v>0</v>
      </c>
      <c r="S16" s="263">
        <f>SUM(S12:S15)</f>
        <v>0</v>
      </c>
      <c r="T16" s="33">
        <f t="shared" ref="T16:Y16" si="1">SUM(T12:T15)</f>
        <v>4784094.8380285027</v>
      </c>
      <c r="U16" s="31">
        <f t="shared" si="1"/>
        <v>-46151633.162128016</v>
      </c>
      <c r="V16" s="31">
        <f t="shared" si="1"/>
        <v>0</v>
      </c>
      <c r="W16" s="31">
        <f t="shared" si="1"/>
        <v>-74840.187089499319</v>
      </c>
      <c r="X16" s="31">
        <f t="shared" si="1"/>
        <v>0</v>
      </c>
      <c r="Y16" s="34">
        <f t="shared" si="1"/>
        <v>0</v>
      </c>
    </row>
    <row r="17" spans="1:25">
      <c r="A17" s="61"/>
      <c r="B17" s="76"/>
      <c r="C17" s="20"/>
      <c r="D17" s="22"/>
      <c r="E17" s="20"/>
      <c r="F17" s="17"/>
      <c r="G17" s="22"/>
      <c r="H17" s="236"/>
      <c r="I17" s="22"/>
      <c r="J17" s="76"/>
      <c r="K17" s="236"/>
      <c r="L17" s="17"/>
      <c r="M17" s="17"/>
      <c r="N17" s="22"/>
      <c r="O17" s="236"/>
      <c r="P17" s="17"/>
      <c r="Q17" s="22"/>
      <c r="R17" s="236"/>
      <c r="S17" s="261"/>
      <c r="T17" s="20"/>
      <c r="U17" s="17"/>
      <c r="V17" s="17"/>
      <c r="W17" s="17"/>
      <c r="X17" s="17"/>
      <c r="Y17" s="22"/>
    </row>
    <row r="18" spans="1:25">
      <c r="A18" s="61" t="s">
        <v>71</v>
      </c>
      <c r="B18" s="76"/>
      <c r="C18" s="20"/>
      <c r="D18" s="22"/>
      <c r="E18" s="20"/>
      <c r="F18" s="17"/>
      <c r="G18" s="22"/>
      <c r="H18" s="236"/>
      <c r="I18" s="22"/>
      <c r="J18" s="76"/>
      <c r="K18" s="239"/>
      <c r="L18" s="17"/>
      <c r="M18" s="17"/>
      <c r="N18" s="22"/>
      <c r="O18" s="236"/>
      <c r="P18" s="17"/>
      <c r="Q18" s="22"/>
      <c r="R18" s="236"/>
      <c r="S18" s="261"/>
      <c r="T18" s="20"/>
      <c r="U18" s="17"/>
      <c r="V18" s="17"/>
      <c r="W18" s="17"/>
      <c r="X18" s="17"/>
      <c r="Y18" s="22"/>
    </row>
    <row r="19" spans="1:25">
      <c r="A19" s="61" t="s">
        <v>72</v>
      </c>
      <c r="B19" s="77">
        <f t="shared" ref="B19:B38" si="2">SUM(C19:Y19)</f>
        <v>3866911.1401345837</v>
      </c>
      <c r="C19" s="26"/>
      <c r="D19" s="29"/>
      <c r="E19" s="26">
        <f>SUM('[6]Lead Sheet 4.3'!$I$9:$I$19)</f>
        <v>59054.702015338407</v>
      </c>
      <c r="F19" s="28"/>
      <c r="G19" s="29"/>
      <c r="H19" s="237"/>
      <c r="I19" s="29"/>
      <c r="J19" s="77"/>
      <c r="K19" s="237"/>
      <c r="L19" s="28"/>
      <c r="M19" s="28"/>
      <c r="N19" s="29"/>
      <c r="O19" s="237"/>
      <c r="P19" s="28"/>
      <c r="Q19" s="30"/>
      <c r="R19" s="237"/>
      <c r="S19" s="262"/>
      <c r="T19" s="27"/>
      <c r="U19" s="25">
        <f>'[42]Lead Sheet - 12.6'!$I$30</f>
        <v>3898053.4118813579</v>
      </c>
      <c r="V19" s="25">
        <f>SUM('[33]Lead Sheet'!$I$29:$I$34)</f>
        <v>-22243.143699253771</v>
      </c>
      <c r="W19" s="25">
        <f>SUM('[33]Lead Sheet'!$I$52)</f>
        <v>-67953.83006285876</v>
      </c>
      <c r="X19" s="17"/>
      <c r="Y19" s="30"/>
    </row>
    <row r="20" spans="1:25">
      <c r="A20" s="61" t="s">
        <v>73</v>
      </c>
      <c r="B20" s="77">
        <f t="shared" si="2"/>
        <v>0</v>
      </c>
      <c r="C20" s="26"/>
      <c r="D20" s="29"/>
      <c r="E20" s="26"/>
      <c r="F20" s="28"/>
      <c r="G20" s="29"/>
      <c r="H20" s="237"/>
      <c r="I20" s="29"/>
      <c r="J20" s="77"/>
      <c r="K20" s="237"/>
      <c r="L20" s="28"/>
      <c r="M20" s="28"/>
      <c r="N20" s="29"/>
      <c r="O20" s="237"/>
      <c r="P20" s="28"/>
      <c r="Q20" s="30"/>
      <c r="R20" s="249"/>
      <c r="S20" s="262"/>
      <c r="T20" s="27"/>
      <c r="U20" s="25"/>
      <c r="V20" s="25"/>
      <c r="W20" s="25"/>
      <c r="X20" s="17"/>
      <c r="Y20" s="30"/>
    </row>
    <row r="21" spans="1:25">
      <c r="A21" s="61" t="s">
        <v>74</v>
      </c>
      <c r="B21" s="77">
        <f t="shared" si="2"/>
        <v>14128.087987025239</v>
      </c>
      <c r="C21" s="26"/>
      <c r="D21" s="29"/>
      <c r="E21" s="26">
        <f>SUM('[6]Lead Sheet 4.3'!$I$20:$I$23)</f>
        <v>25399.398190712527</v>
      </c>
      <c r="F21" s="28"/>
      <c r="G21" s="29"/>
      <c r="H21" s="237"/>
      <c r="I21" s="29"/>
      <c r="J21" s="77"/>
      <c r="K21" s="237"/>
      <c r="L21" s="28"/>
      <c r="M21" s="28"/>
      <c r="N21" s="29"/>
      <c r="O21" s="237"/>
      <c r="P21" s="28"/>
      <c r="Q21" s="30"/>
      <c r="R21" s="237"/>
      <c r="S21" s="262"/>
      <c r="T21" s="27"/>
      <c r="U21" s="25"/>
      <c r="V21" s="25">
        <f>'[33]Lead Sheet'!$I$35</f>
        <v>-11271.310203687288</v>
      </c>
      <c r="W21" s="25"/>
      <c r="X21" s="17"/>
      <c r="Y21" s="30"/>
    </row>
    <row r="22" spans="1:25">
      <c r="A22" s="61" t="s">
        <v>75</v>
      </c>
      <c r="B22" s="77">
        <f t="shared" si="2"/>
        <v>-19481406.007589854</v>
      </c>
      <c r="C22" s="26"/>
      <c r="D22" s="29"/>
      <c r="E22" s="26">
        <f>SUM('[6]Lead Sheet 4.3'!$I$24:$I$32)</f>
        <v>30949.259530558389</v>
      </c>
      <c r="F22" s="28"/>
      <c r="G22" s="29"/>
      <c r="H22" s="237"/>
      <c r="I22" s="29"/>
      <c r="J22" s="77"/>
      <c r="K22" s="237"/>
      <c r="L22" s="28"/>
      <c r="M22" s="28"/>
      <c r="N22" s="29"/>
      <c r="O22" s="237"/>
      <c r="P22" s="28"/>
      <c r="Q22" s="30"/>
      <c r="R22" s="237"/>
      <c r="S22" s="262"/>
      <c r="T22" s="27"/>
      <c r="U22" s="25">
        <f>SUM('[42]Lead Sheet - 12.6'!$I$21,'[42]Lead Sheet - 12.6'!$I$31)</f>
        <v>-19321054.966561835</v>
      </c>
      <c r="V22" s="25">
        <f>SUM('[33]Lead Sheet'!$I$36:$I$42)</f>
        <v>-15101.892281994558</v>
      </c>
      <c r="W22" s="25">
        <f>SUM('[33]Lead Sheet'!$I$47:$I$49,'[33]Lead Sheet'!$I$53)</f>
        <v>-176198.4082765826</v>
      </c>
      <c r="X22" s="17"/>
      <c r="Y22" s="30"/>
    </row>
    <row r="23" spans="1:25">
      <c r="A23" s="61" t="s">
        <v>76</v>
      </c>
      <c r="B23" s="77">
        <f t="shared" si="2"/>
        <v>4020309.1765103331</v>
      </c>
      <c r="C23" s="26"/>
      <c r="D23" s="29"/>
      <c r="E23" s="26">
        <f>SUM('[6]Lead Sheet 4.3'!$I$33:$I$40)</f>
        <v>21961.872203814237</v>
      </c>
      <c r="F23" s="28"/>
      <c r="G23" s="29"/>
      <c r="H23" s="237"/>
      <c r="I23" s="29"/>
      <c r="J23" s="77"/>
      <c r="K23" s="237"/>
      <c r="L23" s="28"/>
      <c r="M23" s="28"/>
      <c r="N23" s="29"/>
      <c r="O23" s="237"/>
      <c r="P23" s="28"/>
      <c r="Q23" s="30"/>
      <c r="R23" s="237"/>
      <c r="S23" s="262"/>
      <c r="T23" s="27"/>
      <c r="U23" s="25">
        <f>'[42]Lead Sheet - 12.6'!$I$27</f>
        <v>4041591.9433055972</v>
      </c>
      <c r="V23" s="25"/>
      <c r="W23" s="25">
        <f>SUM('[33]Lead Sheet'!$I$50:$I$51)</f>
        <v>-43244.638999078306</v>
      </c>
      <c r="X23" s="17"/>
      <c r="Y23" s="30"/>
    </row>
    <row r="24" spans="1:25">
      <c r="A24" s="61" t="s">
        <v>77</v>
      </c>
      <c r="B24" s="77">
        <f t="shared" si="2"/>
        <v>91505.452370337007</v>
      </c>
      <c r="C24" s="26"/>
      <c r="D24" s="29"/>
      <c r="E24" s="26">
        <f>SUM('[6]Lead Sheet 4.3'!$I$41:$I$44)</f>
        <v>91505.452370337007</v>
      </c>
      <c r="F24" s="28"/>
      <c r="G24" s="29"/>
      <c r="H24" s="237"/>
      <c r="I24" s="29"/>
      <c r="J24" s="77"/>
      <c r="K24" s="237"/>
      <c r="L24" s="28"/>
      <c r="M24" s="28"/>
      <c r="N24" s="29"/>
      <c r="O24" s="237"/>
      <c r="P24" s="28"/>
      <c r="Q24" s="30"/>
      <c r="R24" s="237"/>
      <c r="S24" s="262"/>
      <c r="T24" s="27"/>
      <c r="U24" s="25"/>
      <c r="V24" s="25"/>
      <c r="W24" s="25"/>
      <c r="X24" s="17"/>
      <c r="Y24" s="30"/>
    </row>
    <row r="25" spans="1:25">
      <c r="A25" s="61" t="s">
        <v>78</v>
      </c>
      <c r="B25" s="77">
        <f t="shared" si="2"/>
        <v>57733.388162278228</v>
      </c>
      <c r="C25" s="26"/>
      <c r="D25" s="29"/>
      <c r="E25" s="26">
        <f>SUM('[6]Lead Sheet 4.3'!$I$45:$I$46)</f>
        <v>57733.388162278228</v>
      </c>
      <c r="F25" s="28"/>
      <c r="G25" s="29"/>
      <c r="H25" s="237"/>
      <c r="I25" s="29"/>
      <c r="J25" s="77"/>
      <c r="K25" s="237"/>
      <c r="L25" s="28"/>
      <c r="M25" s="28"/>
      <c r="N25" s="29"/>
      <c r="O25" s="237"/>
      <c r="P25" s="28"/>
      <c r="Q25" s="30"/>
      <c r="R25" s="237"/>
      <c r="S25" s="262"/>
      <c r="T25" s="27"/>
      <c r="U25" s="25"/>
      <c r="V25" s="25"/>
      <c r="W25" s="25"/>
      <c r="X25" s="17"/>
      <c r="Y25" s="30"/>
    </row>
    <row r="26" spans="1:25">
      <c r="A26" s="61" t="s">
        <v>79</v>
      </c>
      <c r="B26" s="77">
        <f t="shared" si="2"/>
        <v>2679.2924333421715</v>
      </c>
      <c r="C26" s="26"/>
      <c r="D26" s="29"/>
      <c r="E26" s="26">
        <f>SUM('[6]Lead Sheet 4.3'!$I$47:$I$49)</f>
        <v>2679.2924333421715</v>
      </c>
      <c r="F26" s="28"/>
      <c r="G26" s="29"/>
      <c r="H26" s="237"/>
      <c r="I26" s="29"/>
      <c r="J26" s="77"/>
      <c r="K26" s="237"/>
      <c r="L26" s="28"/>
      <c r="M26" s="28"/>
      <c r="N26" s="29"/>
      <c r="O26" s="237"/>
      <c r="P26" s="28"/>
      <c r="Q26" s="30"/>
      <c r="R26" s="237"/>
      <c r="S26" s="262"/>
      <c r="T26" s="27"/>
      <c r="U26" s="25"/>
      <c r="V26" s="25"/>
      <c r="W26" s="25"/>
      <c r="X26" s="17"/>
      <c r="Y26" s="30"/>
    </row>
    <row r="27" spans="1:25">
      <c r="A27" s="61" t="s">
        <v>80</v>
      </c>
      <c r="B27" s="77">
        <f t="shared" si="2"/>
        <v>0</v>
      </c>
      <c r="C27" s="26"/>
      <c r="D27" s="29"/>
      <c r="E27" s="26"/>
      <c r="F27" s="28"/>
      <c r="G27" s="29"/>
      <c r="H27" s="237"/>
      <c r="I27" s="29"/>
      <c r="J27" s="77"/>
      <c r="K27" s="237"/>
      <c r="L27" s="28"/>
      <c r="M27" s="28"/>
      <c r="N27" s="29"/>
      <c r="O27" s="237"/>
      <c r="P27" s="28"/>
      <c r="Q27" s="30"/>
      <c r="R27" s="237"/>
      <c r="S27" s="262"/>
      <c r="T27" s="27"/>
      <c r="U27" s="25"/>
      <c r="V27" s="25"/>
      <c r="W27" s="25"/>
      <c r="X27" s="17"/>
      <c r="Y27" s="30"/>
    </row>
    <row r="28" spans="1:25">
      <c r="A28" s="61" t="s">
        <v>81</v>
      </c>
      <c r="B28" s="79">
        <f t="shared" si="2"/>
        <v>-1329008.6223783894</v>
      </c>
      <c r="C28" s="37"/>
      <c r="D28" s="39"/>
      <c r="E28" s="37">
        <f>SUM('[6]Lead Sheet 4.3'!$I$50:$I$51)</f>
        <v>84611.366209398097</v>
      </c>
      <c r="F28" s="35">
        <f>'[36]Lead Sheet'!$I$14</f>
        <v>-776572.64858778729</v>
      </c>
      <c r="G28" s="39">
        <f>'[37]Lead Sheet'!$I$10</f>
        <v>-637047.3400000002</v>
      </c>
      <c r="H28" s="240"/>
      <c r="I28" s="39"/>
      <c r="J28" s="79"/>
      <c r="K28" s="240"/>
      <c r="L28" s="35"/>
      <c r="M28" s="35"/>
      <c r="N28" s="39"/>
      <c r="O28" s="240"/>
      <c r="P28" s="35"/>
      <c r="Q28" s="73"/>
      <c r="R28" s="240"/>
      <c r="S28" s="264"/>
      <c r="T28" s="37"/>
      <c r="U28" s="35"/>
      <c r="V28" s="35"/>
      <c r="W28" s="35"/>
      <c r="X28" s="40"/>
      <c r="Y28" s="73"/>
    </row>
    <row r="29" spans="1:25">
      <c r="A29" s="61" t="s">
        <v>82</v>
      </c>
      <c r="B29" s="76">
        <f t="shared" si="2"/>
        <v>-12757148.092370344</v>
      </c>
      <c r="C29" s="20">
        <f t="shared" ref="C29:R29" si="3">SUM(C19:C28)</f>
        <v>0</v>
      </c>
      <c r="D29" s="22">
        <f t="shared" si="3"/>
        <v>0</v>
      </c>
      <c r="E29" s="20">
        <f t="shared" si="3"/>
        <v>373894.73111577908</v>
      </c>
      <c r="F29" s="17">
        <f t="shared" si="3"/>
        <v>-776572.64858778729</v>
      </c>
      <c r="G29" s="22">
        <f t="shared" si="3"/>
        <v>-637047.3400000002</v>
      </c>
      <c r="H29" s="236">
        <f t="shared" si="3"/>
        <v>0</v>
      </c>
      <c r="I29" s="22">
        <f t="shared" si="3"/>
        <v>0</v>
      </c>
      <c r="J29" s="76">
        <f t="shared" si="3"/>
        <v>0</v>
      </c>
      <c r="K29" s="236">
        <f t="shared" si="3"/>
        <v>0</v>
      </c>
      <c r="L29" s="17">
        <f t="shared" si="3"/>
        <v>0</v>
      </c>
      <c r="M29" s="17">
        <f t="shared" si="3"/>
        <v>0</v>
      </c>
      <c r="N29" s="22">
        <f t="shared" si="3"/>
        <v>0</v>
      </c>
      <c r="O29" s="236">
        <f t="shared" si="3"/>
        <v>0</v>
      </c>
      <c r="P29" s="17">
        <f t="shared" si="3"/>
        <v>0</v>
      </c>
      <c r="Q29" s="22">
        <f t="shared" si="3"/>
        <v>0</v>
      </c>
      <c r="R29" s="236">
        <f t="shared" si="3"/>
        <v>0</v>
      </c>
      <c r="S29" s="261">
        <f t="shared" ref="S29" si="4">SUM(S19:S28)</f>
        <v>0</v>
      </c>
      <c r="T29" s="20">
        <f t="shared" ref="T29:Y29" si="5">SUM(T19:T28)</f>
        <v>0</v>
      </c>
      <c r="U29" s="17">
        <f t="shared" si="5"/>
        <v>-11381409.611374881</v>
      </c>
      <c r="V29" s="17">
        <f t="shared" si="5"/>
        <v>-48616.346184935617</v>
      </c>
      <c r="W29" s="17">
        <f t="shared" si="5"/>
        <v>-287396.87733851967</v>
      </c>
      <c r="X29" s="17">
        <f t="shared" si="5"/>
        <v>0</v>
      </c>
      <c r="Y29" s="22">
        <f t="shared" si="5"/>
        <v>0</v>
      </c>
    </row>
    <row r="30" spans="1:25">
      <c r="A30" s="61" t="s">
        <v>83</v>
      </c>
      <c r="B30" s="77">
        <f t="shared" si="2"/>
        <v>-29238.355724457651</v>
      </c>
      <c r="C30" s="26"/>
      <c r="D30" s="29"/>
      <c r="E30" s="26"/>
      <c r="F30" s="28"/>
      <c r="G30" s="29"/>
      <c r="H30" s="237"/>
      <c r="I30" s="29"/>
      <c r="J30" s="77"/>
      <c r="K30" s="237"/>
      <c r="L30" s="28"/>
      <c r="M30" s="28"/>
      <c r="N30" s="29"/>
      <c r="O30" s="237"/>
      <c r="P30" s="28"/>
      <c r="Q30" s="30"/>
      <c r="R30" s="237"/>
      <c r="S30" s="262"/>
      <c r="T30" s="27"/>
      <c r="U30" s="25"/>
      <c r="V30" s="25">
        <f>'[33]Lead Sheet'!$I$27</f>
        <v>-29238.355724457651</v>
      </c>
      <c r="W30" s="25"/>
      <c r="X30" s="17"/>
      <c r="Y30" s="30"/>
    </row>
    <row r="31" spans="1:25">
      <c r="A31" s="61" t="s">
        <v>84</v>
      </c>
      <c r="B31" s="77">
        <f t="shared" si="2"/>
        <v>-182288.98018681514</v>
      </c>
      <c r="C31" s="26"/>
      <c r="D31" s="29"/>
      <c r="E31" s="26"/>
      <c r="F31" s="28"/>
      <c r="G31" s="29"/>
      <c r="H31" s="237"/>
      <c r="I31" s="29"/>
      <c r="J31" s="77"/>
      <c r="K31" s="237"/>
      <c r="L31" s="28"/>
      <c r="M31" s="28"/>
      <c r="N31" s="29"/>
      <c r="O31" s="237"/>
      <c r="P31" s="28">
        <f>SUM([38]Leadsheet!$I$9:$I$10)</f>
        <v>-182288.98018681514</v>
      </c>
      <c r="Q31" s="30"/>
      <c r="R31" s="237"/>
      <c r="S31" s="262"/>
      <c r="T31" s="27"/>
      <c r="U31" s="25"/>
      <c r="V31" s="25"/>
      <c r="W31" s="25"/>
      <c r="X31" s="17"/>
      <c r="Y31" s="30"/>
    </row>
    <row r="32" spans="1:25">
      <c r="A32" s="61" t="s">
        <v>85</v>
      </c>
      <c r="B32" s="77">
        <f t="shared" si="2"/>
        <v>-428616.54000000004</v>
      </c>
      <c r="C32" s="26"/>
      <c r="D32" s="29"/>
      <c r="E32" s="26"/>
      <c r="F32" s="28"/>
      <c r="G32" s="29"/>
      <c r="H32" s="237"/>
      <c r="I32" s="29"/>
      <c r="J32" s="77"/>
      <c r="K32" s="237"/>
      <c r="L32" s="28"/>
      <c r="M32" s="28">
        <f>'[39]Lead Sheet '!$I$9</f>
        <v>-396368</v>
      </c>
      <c r="N32" s="29">
        <f>'[40]Lead Sheet '!$I$9</f>
        <v>-32248.540000000008</v>
      </c>
      <c r="O32" s="237"/>
      <c r="P32" s="28"/>
      <c r="Q32" s="30"/>
      <c r="R32" s="237"/>
      <c r="S32" s="262"/>
      <c r="T32" s="27"/>
      <c r="U32" s="25"/>
      <c r="V32" s="25"/>
      <c r="W32" s="25"/>
      <c r="X32" s="17"/>
      <c r="Y32" s="30"/>
    </row>
    <row r="33" spans="1:25">
      <c r="A33" s="61" t="s">
        <v>86</v>
      </c>
      <c r="B33" s="80">
        <f t="shared" si="2"/>
        <v>-11461182.141896816</v>
      </c>
      <c r="C33" s="27">
        <f>C87</f>
        <v>4340754.2884999998</v>
      </c>
      <c r="D33" s="30">
        <f t="shared" ref="D33:Y33" si="6">D87</f>
        <v>-5971.9345578737912</v>
      </c>
      <c r="E33" s="27">
        <f t="shared" si="6"/>
        <v>-130863.15589052267</v>
      </c>
      <c r="F33" s="25">
        <f t="shared" si="6"/>
        <v>-82999.244999999981</v>
      </c>
      <c r="G33" s="30">
        <f t="shared" si="6"/>
        <v>21778.340500024147</v>
      </c>
      <c r="H33" s="239">
        <f t="shared" si="6"/>
        <v>0</v>
      </c>
      <c r="I33" s="30">
        <f t="shared" si="6"/>
        <v>412499.27837691235</v>
      </c>
      <c r="J33" s="80">
        <f t="shared" si="6"/>
        <v>0</v>
      </c>
      <c r="K33" s="239">
        <f t="shared" si="6"/>
        <v>0</v>
      </c>
      <c r="L33" s="25">
        <f t="shared" si="6"/>
        <v>-5638736.2665997902</v>
      </c>
      <c r="M33" s="25">
        <f t="shared" si="6"/>
        <v>138728.79999999999</v>
      </c>
      <c r="N33" s="30">
        <f t="shared" si="6"/>
        <v>11286.989000000001</v>
      </c>
      <c r="O33" s="239"/>
      <c r="P33" s="25">
        <f t="shared" si="6"/>
        <v>-45625.120341806462</v>
      </c>
      <c r="Q33" s="30"/>
      <c r="R33" s="239">
        <f t="shared" si="6"/>
        <v>0</v>
      </c>
      <c r="S33" s="262">
        <f t="shared" si="6"/>
        <v>0</v>
      </c>
      <c r="T33" s="27">
        <f t="shared" si="6"/>
        <v>1674433.1933099758</v>
      </c>
      <c r="U33" s="25">
        <f t="shared" si="6"/>
        <v>-12169578.242763596</v>
      </c>
      <c r="V33" s="25">
        <f t="shared" si="6"/>
        <v>27249.145668287645</v>
      </c>
      <c r="W33" s="25">
        <f t="shared" si="6"/>
        <v>73870.799268428527</v>
      </c>
      <c r="X33" s="17">
        <f t="shared" si="6"/>
        <v>0</v>
      </c>
      <c r="Y33" s="30">
        <f t="shared" si="6"/>
        <v>-88009.011366854975</v>
      </c>
    </row>
    <row r="34" spans="1:25">
      <c r="A34" s="61" t="s">
        <v>87</v>
      </c>
      <c r="B34" s="80">
        <f t="shared" si="2"/>
        <v>0</v>
      </c>
      <c r="C34" s="27">
        <v>0</v>
      </c>
      <c r="D34" s="30">
        <v>0</v>
      </c>
      <c r="E34" s="27">
        <v>0</v>
      </c>
      <c r="F34" s="25">
        <v>0</v>
      </c>
      <c r="G34" s="30">
        <v>0</v>
      </c>
      <c r="H34" s="239">
        <v>0</v>
      </c>
      <c r="I34" s="30">
        <v>0</v>
      </c>
      <c r="J34" s="80">
        <v>0</v>
      </c>
      <c r="K34" s="239">
        <v>0</v>
      </c>
      <c r="L34" s="25">
        <v>0</v>
      </c>
      <c r="M34" s="25">
        <v>0</v>
      </c>
      <c r="N34" s="30">
        <v>0</v>
      </c>
      <c r="O34" s="239">
        <v>0</v>
      </c>
      <c r="P34" s="25">
        <v>0</v>
      </c>
      <c r="Q34" s="30">
        <v>0</v>
      </c>
      <c r="R34" s="239">
        <v>0</v>
      </c>
      <c r="S34" s="262">
        <v>0</v>
      </c>
      <c r="T34" s="27"/>
      <c r="U34" s="25"/>
      <c r="V34" s="25"/>
      <c r="W34" s="25"/>
      <c r="X34" s="17"/>
      <c r="Y34" s="30"/>
    </row>
    <row r="35" spans="1:25">
      <c r="A35" s="61" t="s">
        <v>88</v>
      </c>
      <c r="B35" s="77">
        <f t="shared" si="2"/>
        <v>-417013.79217773164</v>
      </c>
      <c r="C35" s="26"/>
      <c r="D35" s="29"/>
      <c r="E35" s="26"/>
      <c r="F35" s="28">
        <f>'[36]Lead Sheet'!$I$20</f>
        <v>384714.35292255116</v>
      </c>
      <c r="G35" s="29">
        <f>'[37]Lead Sheet'!$I$21+'[37]Lead Sheet'!$I$25</f>
        <v>218151.59924659377</v>
      </c>
      <c r="H35" s="237"/>
      <c r="I35" s="29"/>
      <c r="J35" s="77"/>
      <c r="K35" s="237"/>
      <c r="L35" s="28"/>
      <c r="M35" s="28"/>
      <c r="N35" s="29"/>
      <c r="O35" s="237"/>
      <c r="P35" s="28">
        <f>SUM([38]Leadsheet!$I$22,[38]Leadsheet!$I$27)</f>
        <v>118650.25565312334</v>
      </c>
      <c r="Q35" s="30">
        <f>SUM('[35]Lead Sheet'!$I$20)</f>
        <v>-1138530</v>
      </c>
      <c r="R35" s="237"/>
      <c r="S35" s="262"/>
      <c r="T35" s="27"/>
      <c r="U35" s="25"/>
      <c r="V35" s="25"/>
      <c r="W35" s="25"/>
      <c r="X35" s="17"/>
      <c r="Y35" s="30"/>
    </row>
    <row r="36" spans="1:25">
      <c r="A36" s="61" t="s">
        <v>89</v>
      </c>
      <c r="B36" s="77">
        <f t="shared" si="2"/>
        <v>0</v>
      </c>
      <c r="C36" s="26"/>
      <c r="D36" s="29"/>
      <c r="E36" s="26"/>
      <c r="F36" s="28"/>
      <c r="G36" s="29"/>
      <c r="H36" s="237"/>
      <c r="I36" s="29"/>
      <c r="J36" s="77"/>
      <c r="K36" s="237"/>
      <c r="L36" s="28"/>
      <c r="M36" s="28"/>
      <c r="N36" s="29"/>
      <c r="O36" s="237"/>
      <c r="P36" s="28"/>
      <c r="Q36" s="30"/>
      <c r="R36" s="237"/>
      <c r="S36" s="262"/>
      <c r="T36" s="27"/>
      <c r="U36" s="25"/>
      <c r="V36" s="25"/>
      <c r="W36" s="25"/>
      <c r="X36" s="17"/>
      <c r="Y36" s="30"/>
    </row>
    <row r="37" spans="1:25">
      <c r="A37" s="61" t="s">
        <v>90</v>
      </c>
      <c r="B37" s="77">
        <f t="shared" si="2"/>
        <v>1497.2637677959865</v>
      </c>
      <c r="C37" s="26"/>
      <c r="D37" s="29"/>
      <c r="E37" s="26"/>
      <c r="F37" s="28"/>
      <c r="G37" s="29"/>
      <c r="H37" s="237"/>
      <c r="I37" s="29"/>
      <c r="J37" s="77"/>
      <c r="K37" s="237"/>
      <c r="L37" s="28"/>
      <c r="M37" s="28"/>
      <c r="N37" s="29"/>
      <c r="O37" s="237"/>
      <c r="P37" s="28"/>
      <c r="Q37" s="30"/>
      <c r="R37" s="237"/>
      <c r="S37" s="262"/>
      <c r="T37" s="27"/>
      <c r="U37" s="25"/>
      <c r="V37" s="25"/>
      <c r="W37" s="25">
        <f>'[33]Lead Sheet'!$I$68</f>
        <v>1497.2637677959865</v>
      </c>
      <c r="X37" s="17"/>
      <c r="Y37" s="30"/>
    </row>
    <row r="38" spans="1:25">
      <c r="A38" s="61" t="s">
        <v>91</v>
      </c>
      <c r="B38" s="78">
        <f t="shared" si="2"/>
        <v>-25273990.638588373</v>
      </c>
      <c r="C38" s="33">
        <f t="shared" ref="C38:R38" si="7">SUM(C29:C37)</f>
        <v>4340754.2884999998</v>
      </c>
      <c r="D38" s="34">
        <f t="shared" si="7"/>
        <v>-5971.9345578737912</v>
      </c>
      <c r="E38" s="33">
        <f t="shared" si="7"/>
        <v>243031.57522525641</v>
      </c>
      <c r="F38" s="31">
        <f t="shared" si="7"/>
        <v>-474857.54066523613</v>
      </c>
      <c r="G38" s="34">
        <f t="shared" si="7"/>
        <v>-397117.40025338228</v>
      </c>
      <c r="H38" s="238">
        <f t="shared" si="7"/>
        <v>0</v>
      </c>
      <c r="I38" s="34">
        <f t="shared" si="7"/>
        <v>412499.27837691235</v>
      </c>
      <c r="J38" s="78">
        <f t="shared" si="7"/>
        <v>0</v>
      </c>
      <c r="K38" s="238">
        <f t="shared" si="7"/>
        <v>0</v>
      </c>
      <c r="L38" s="31">
        <f t="shared" si="7"/>
        <v>-5638736.2665997902</v>
      </c>
      <c r="M38" s="31">
        <f t="shared" si="7"/>
        <v>-257639.2</v>
      </c>
      <c r="N38" s="34">
        <f t="shared" si="7"/>
        <v>-20961.551000000007</v>
      </c>
      <c r="O38" s="238">
        <f t="shared" si="7"/>
        <v>0</v>
      </c>
      <c r="P38" s="31">
        <f t="shared" si="7"/>
        <v>-109263.84487549827</v>
      </c>
      <c r="Q38" s="34">
        <f t="shared" si="7"/>
        <v>-1138530</v>
      </c>
      <c r="R38" s="238">
        <f t="shared" si="7"/>
        <v>0</v>
      </c>
      <c r="S38" s="263">
        <f t="shared" ref="S38" si="8">SUM(S29:S37)</f>
        <v>0</v>
      </c>
      <c r="T38" s="33">
        <f t="shared" ref="T38:Y38" si="9">SUM(T29:T37)</f>
        <v>1674433.1933099758</v>
      </c>
      <c r="U38" s="31">
        <f t="shared" ref="U38:W38" si="10">SUM(U29:U37)</f>
        <v>-23550987.854138479</v>
      </c>
      <c r="V38" s="31">
        <f t="shared" si="10"/>
        <v>-50605.556241105631</v>
      </c>
      <c r="W38" s="31">
        <f t="shared" si="10"/>
        <v>-212028.81430229516</v>
      </c>
      <c r="X38" s="31">
        <f t="shared" si="9"/>
        <v>0</v>
      </c>
      <c r="Y38" s="34">
        <f t="shared" si="9"/>
        <v>-88009.011366854975</v>
      </c>
    </row>
    <row r="39" spans="1:25">
      <c r="A39" s="61"/>
      <c r="B39" s="76"/>
      <c r="C39" s="20"/>
      <c r="D39" s="22"/>
      <c r="E39" s="20"/>
      <c r="F39" s="17"/>
      <c r="G39" s="22"/>
      <c r="H39" s="236"/>
      <c r="I39" s="22"/>
      <c r="J39" s="76"/>
      <c r="K39" s="236"/>
      <c r="L39" s="17"/>
      <c r="M39" s="17"/>
      <c r="N39" s="22"/>
      <c r="O39" s="236"/>
      <c r="P39" s="17"/>
      <c r="Q39" s="22"/>
      <c r="R39" s="236"/>
      <c r="S39" s="261"/>
      <c r="T39" s="20"/>
      <c r="U39" s="17"/>
      <c r="V39" s="17"/>
      <c r="W39" s="17"/>
      <c r="X39" s="17"/>
      <c r="Y39" s="22"/>
    </row>
    <row r="40" spans="1:25" ht="13.5" thickBot="1">
      <c r="A40" s="61" t="s">
        <v>92</v>
      </c>
      <c r="B40" s="81">
        <f>SUM(C40:Y40)</f>
        <v>-5604726.0659748185</v>
      </c>
      <c r="C40" s="43">
        <f t="shared" ref="C40:R40" si="11">C16-C38</f>
        <v>8061400.8214999996</v>
      </c>
      <c r="D40" s="44">
        <f t="shared" si="11"/>
        <v>-11090.735607479899</v>
      </c>
      <c r="E40" s="43">
        <f t="shared" si="11"/>
        <v>-243031.57522525641</v>
      </c>
      <c r="F40" s="42">
        <f t="shared" si="11"/>
        <v>474857.54066523613</v>
      </c>
      <c r="G40" s="44">
        <f t="shared" si="11"/>
        <v>397117.40025338228</v>
      </c>
      <c r="H40" s="241">
        <f t="shared" si="11"/>
        <v>0</v>
      </c>
      <c r="I40" s="44">
        <f t="shared" si="11"/>
        <v>766070.08841426589</v>
      </c>
      <c r="J40" s="81">
        <f t="shared" si="11"/>
        <v>0</v>
      </c>
      <c r="K40" s="241">
        <f t="shared" si="11"/>
        <v>0</v>
      </c>
      <c r="L40" s="42">
        <f t="shared" si="11"/>
        <v>5638736.2665997902</v>
      </c>
      <c r="M40" s="42">
        <f t="shared" si="11"/>
        <v>257639.2</v>
      </c>
      <c r="N40" s="44">
        <f t="shared" si="11"/>
        <v>20961.551000000007</v>
      </c>
      <c r="O40" s="241">
        <f t="shared" si="11"/>
        <v>0</v>
      </c>
      <c r="P40" s="42">
        <f t="shared" si="11"/>
        <v>109263.84487549827</v>
      </c>
      <c r="Q40" s="44">
        <f t="shared" si="11"/>
        <v>-1861470</v>
      </c>
      <c r="R40" s="241">
        <f t="shared" si="11"/>
        <v>0</v>
      </c>
      <c r="S40" s="265">
        <f t="shared" ref="S40:Y40" si="12">S16-S38</f>
        <v>0</v>
      </c>
      <c r="T40" s="43">
        <f t="shared" si="12"/>
        <v>3109661.6447185269</v>
      </c>
      <c r="U40" s="42">
        <f t="shared" ref="U40:W40" si="13">U16-U38</f>
        <v>-22600645.307989538</v>
      </c>
      <c r="V40" s="42">
        <f t="shared" si="13"/>
        <v>50605.556241105631</v>
      </c>
      <c r="W40" s="42">
        <f t="shared" si="13"/>
        <v>137188.62721279584</v>
      </c>
      <c r="X40" s="42">
        <f t="shared" si="12"/>
        <v>0</v>
      </c>
      <c r="Y40" s="44">
        <f t="shared" si="12"/>
        <v>88009.011366854975</v>
      </c>
    </row>
    <row r="41" spans="1:25" ht="13.5" thickTop="1">
      <c r="A41" s="61"/>
      <c r="B41" s="76"/>
      <c r="C41" s="20"/>
      <c r="D41" s="22"/>
      <c r="E41" s="20"/>
      <c r="F41" s="17"/>
      <c r="G41" s="22"/>
      <c r="H41" s="236"/>
      <c r="I41" s="22"/>
      <c r="J41" s="76"/>
      <c r="K41" s="236"/>
      <c r="L41" s="17"/>
      <c r="M41" s="17"/>
      <c r="N41" s="22"/>
      <c r="O41" s="236"/>
      <c r="P41" s="17"/>
      <c r="Q41" s="22"/>
      <c r="R41" s="236"/>
      <c r="S41" s="261"/>
      <c r="T41" s="20"/>
      <c r="U41" s="17"/>
      <c r="V41" s="17"/>
      <c r="W41" s="17"/>
      <c r="X41" s="17"/>
      <c r="Y41" s="22"/>
    </row>
    <row r="42" spans="1:25">
      <c r="A42" s="61" t="s">
        <v>93</v>
      </c>
      <c r="B42" s="76"/>
      <c r="C42" s="20"/>
      <c r="D42" s="22"/>
      <c r="E42" s="20"/>
      <c r="F42" s="17"/>
      <c r="G42" s="22"/>
      <c r="H42" s="236"/>
      <c r="I42" s="22"/>
      <c r="J42" s="76"/>
      <c r="K42" s="236"/>
      <c r="L42" s="17"/>
      <c r="M42" s="17"/>
      <c r="N42" s="22"/>
      <c r="O42" s="236"/>
      <c r="P42" s="17"/>
      <c r="Q42" s="22"/>
      <c r="R42" s="236"/>
      <c r="S42" s="261"/>
      <c r="T42" s="20"/>
      <c r="U42" s="17"/>
      <c r="V42" s="17"/>
      <c r="W42" s="17"/>
      <c r="X42" s="17"/>
      <c r="Y42" s="22"/>
    </row>
    <row r="43" spans="1:25">
      <c r="A43" s="61" t="s">
        <v>94</v>
      </c>
      <c r="B43" s="77">
        <f t="shared" ref="B43:B54" si="14">SUM(C43:Y43)</f>
        <v>-1161847.3348459222</v>
      </c>
      <c r="C43" s="26"/>
      <c r="D43" s="29"/>
      <c r="E43" s="26"/>
      <c r="F43" s="28"/>
      <c r="G43" s="29"/>
      <c r="H43" s="237"/>
      <c r="I43" s="29"/>
      <c r="J43" s="77"/>
      <c r="K43" s="237"/>
      <c r="L43" s="28"/>
      <c r="M43" s="28"/>
      <c r="N43" s="29"/>
      <c r="O43" s="237"/>
      <c r="P43" s="28"/>
      <c r="Q43" s="30"/>
      <c r="R43" s="237"/>
      <c r="S43" s="262"/>
      <c r="T43" s="27"/>
      <c r="U43" s="25"/>
      <c r="V43" s="25">
        <f>'[33]Lead Sheet'!$I$15</f>
        <v>-1067076.2761553444</v>
      </c>
      <c r="W43" s="25">
        <f>'[33]Lead Sheet'!$I$60</f>
        <v>-94771.058690577745</v>
      </c>
      <c r="X43" s="17"/>
      <c r="Y43" s="30"/>
    </row>
    <row r="44" spans="1:25">
      <c r="A44" s="61" t="s">
        <v>95</v>
      </c>
      <c r="B44" s="77">
        <f t="shared" si="14"/>
        <v>0</v>
      </c>
      <c r="C44" s="26"/>
      <c r="D44" s="29"/>
      <c r="E44" s="26"/>
      <c r="F44" s="28"/>
      <c r="G44" s="29"/>
      <c r="H44" s="237"/>
      <c r="I44" s="29"/>
      <c r="J44" s="77"/>
      <c r="K44" s="237"/>
      <c r="L44" s="28"/>
      <c r="M44" s="28"/>
      <c r="N44" s="29"/>
      <c r="O44" s="237"/>
      <c r="P44" s="28"/>
      <c r="Q44" s="30"/>
      <c r="R44" s="237"/>
      <c r="S44" s="262"/>
      <c r="T44" s="27"/>
      <c r="U44" s="25"/>
      <c r="V44" s="25"/>
      <c r="W44" s="25"/>
      <c r="X44" s="17"/>
      <c r="Y44" s="30"/>
    </row>
    <row r="45" spans="1:25">
      <c r="A45" s="61" t="s">
        <v>96</v>
      </c>
      <c r="B45" s="77">
        <f t="shared" si="14"/>
        <v>15188002.091061195</v>
      </c>
      <c r="C45" s="26"/>
      <c r="D45" s="29"/>
      <c r="E45" s="26"/>
      <c r="F45" s="28"/>
      <c r="G45" s="29">
        <f>'[37]Lead Sheet'!$I$15</f>
        <v>-637047.28166666592</v>
      </c>
      <c r="H45" s="237"/>
      <c r="I45" s="29"/>
      <c r="J45" s="77"/>
      <c r="K45" s="237"/>
      <c r="L45" s="28"/>
      <c r="M45" s="28"/>
      <c r="N45" s="29"/>
      <c r="O45" s="237"/>
      <c r="P45" s="28">
        <f>SUM([38]Leadsheet!$I$14,[38]Leadsheet!$I$17:$I$18)</f>
        <v>75958.380277030345</v>
      </c>
      <c r="Q45" s="30">
        <f>SUM('[35]Lead Sheet'!$I$14:$I$15)</f>
        <v>15750000</v>
      </c>
      <c r="R45" s="237"/>
      <c r="S45" s="262"/>
      <c r="T45" s="27"/>
      <c r="U45" s="25"/>
      <c r="V45" s="25"/>
      <c r="W45" s="25">
        <f>'[33]Lead Sheet'!$I$63</f>
        <v>-909.0075491683674</v>
      </c>
      <c r="X45" s="17"/>
      <c r="Y45" s="30"/>
    </row>
    <row r="46" spans="1:25">
      <c r="A46" s="61" t="s">
        <v>97</v>
      </c>
      <c r="B46" s="77">
        <f t="shared" si="14"/>
        <v>0</v>
      </c>
      <c r="C46" s="26"/>
      <c r="D46" s="29"/>
      <c r="E46" s="26"/>
      <c r="F46" s="28"/>
      <c r="G46" s="29"/>
      <c r="H46" s="237"/>
      <c r="I46" s="29"/>
      <c r="J46" s="77"/>
      <c r="K46" s="237"/>
      <c r="L46" s="28"/>
      <c r="M46" s="28"/>
      <c r="N46" s="29"/>
      <c r="O46" s="237"/>
      <c r="P46" s="28"/>
      <c r="Q46" s="30"/>
      <c r="R46" s="237"/>
      <c r="S46" s="262"/>
      <c r="T46" s="27"/>
      <c r="U46" s="25"/>
      <c r="V46" s="25"/>
      <c r="W46" s="25"/>
      <c r="X46" s="17"/>
      <c r="Y46" s="30"/>
    </row>
    <row r="47" spans="1:25">
      <c r="A47" s="61" t="s">
        <v>98</v>
      </c>
      <c r="B47" s="77">
        <f t="shared" si="14"/>
        <v>0</v>
      </c>
      <c r="C47" s="26"/>
      <c r="D47" s="29"/>
      <c r="E47" s="26"/>
      <c r="F47" s="28"/>
      <c r="G47" s="29"/>
      <c r="H47" s="237"/>
      <c r="I47" s="29"/>
      <c r="J47" s="77"/>
      <c r="K47" s="237"/>
      <c r="L47" s="28"/>
      <c r="M47" s="28"/>
      <c r="N47" s="29"/>
      <c r="O47" s="237"/>
      <c r="P47" s="28"/>
      <c r="Q47" s="30"/>
      <c r="R47" s="237"/>
      <c r="S47" s="262"/>
      <c r="T47" s="27"/>
      <c r="U47" s="25"/>
      <c r="V47" s="25"/>
      <c r="W47" s="25"/>
      <c r="X47" s="17"/>
      <c r="Y47" s="30"/>
    </row>
    <row r="48" spans="1:25">
      <c r="A48" s="61" t="s">
        <v>99</v>
      </c>
      <c r="B48" s="77">
        <f t="shared" si="14"/>
        <v>0</v>
      </c>
      <c r="C48" s="26"/>
      <c r="D48" s="29"/>
      <c r="E48" s="26"/>
      <c r="F48" s="28"/>
      <c r="G48" s="29"/>
      <c r="H48" s="237"/>
      <c r="I48" s="29"/>
      <c r="J48" s="77"/>
      <c r="K48" s="237"/>
      <c r="L48" s="28"/>
      <c r="M48" s="28"/>
      <c r="N48" s="29"/>
      <c r="O48" s="237"/>
      <c r="P48" s="28"/>
      <c r="Q48" s="30"/>
      <c r="R48" s="237"/>
      <c r="S48" s="262"/>
      <c r="T48" s="27"/>
      <c r="U48" s="25"/>
      <c r="V48" s="25"/>
      <c r="W48" s="25"/>
      <c r="X48" s="17"/>
      <c r="Y48" s="30"/>
    </row>
    <row r="49" spans="1:25">
      <c r="A49" s="61" t="s">
        <v>100</v>
      </c>
      <c r="B49" s="77">
        <f t="shared" si="14"/>
        <v>-3595.335989266634</v>
      </c>
      <c r="C49" s="26"/>
      <c r="D49" s="29"/>
      <c r="E49" s="26"/>
      <c r="F49" s="28"/>
      <c r="G49" s="29"/>
      <c r="H49" s="237"/>
      <c r="I49" s="29"/>
      <c r="J49" s="77"/>
      <c r="K49" s="237"/>
      <c r="L49" s="28"/>
      <c r="M49" s="28"/>
      <c r="N49" s="29"/>
      <c r="O49" s="237"/>
      <c r="P49" s="28"/>
      <c r="Q49" s="30"/>
      <c r="R49" s="237"/>
      <c r="S49" s="262"/>
      <c r="T49" s="27"/>
      <c r="U49" s="25"/>
      <c r="V49" s="25"/>
      <c r="W49" s="25">
        <f>'[33]Lead Sheet'!$I$62</f>
        <v>-3595.335989266634</v>
      </c>
      <c r="X49" s="17"/>
      <c r="Y49" s="30"/>
    </row>
    <row r="50" spans="1:25">
      <c r="A50" s="61" t="s">
        <v>101</v>
      </c>
      <c r="B50" s="77">
        <f t="shared" si="14"/>
        <v>-3545.2505568028428</v>
      </c>
      <c r="C50" s="26"/>
      <c r="D50" s="29"/>
      <c r="E50" s="26"/>
      <c r="F50" s="28"/>
      <c r="G50" s="29"/>
      <c r="H50" s="237"/>
      <c r="I50" s="29"/>
      <c r="J50" s="77"/>
      <c r="K50" s="237"/>
      <c r="L50" s="28"/>
      <c r="M50" s="28"/>
      <c r="N50" s="29"/>
      <c r="O50" s="237"/>
      <c r="P50" s="28"/>
      <c r="Q50" s="30"/>
      <c r="R50" s="237"/>
      <c r="S50" s="262"/>
      <c r="T50" s="27"/>
      <c r="U50" s="25"/>
      <c r="V50" s="25"/>
      <c r="W50" s="25">
        <f>'[33]Lead Sheet'!$I$61</f>
        <v>-3545.2505568028428</v>
      </c>
      <c r="X50" s="17"/>
      <c r="Y50" s="30"/>
    </row>
    <row r="51" spans="1:25">
      <c r="A51" s="61" t="s">
        <v>102</v>
      </c>
      <c r="B51" s="77">
        <f t="shared" si="14"/>
        <v>364275.90369573049</v>
      </c>
      <c r="C51" s="26"/>
      <c r="D51" s="29"/>
      <c r="E51" s="26"/>
      <c r="F51" s="28"/>
      <c r="G51" s="29"/>
      <c r="H51" s="237"/>
      <c r="I51" s="29"/>
      <c r="J51" s="77"/>
      <c r="K51" s="237"/>
      <c r="L51" s="28"/>
      <c r="M51" s="28"/>
      <c r="N51" s="29"/>
      <c r="O51" s="237"/>
      <c r="P51" s="28"/>
      <c r="Q51" s="30"/>
      <c r="R51" s="237"/>
      <c r="S51" s="262"/>
      <c r="T51" s="27"/>
      <c r="U51" s="25"/>
      <c r="V51" s="25"/>
      <c r="W51" s="25"/>
      <c r="X51" s="17">
        <f>'CWC Calc'!$E$47</f>
        <v>364275.90369573049</v>
      </c>
      <c r="Y51" s="30"/>
    </row>
    <row r="52" spans="1:25">
      <c r="A52" s="61" t="s">
        <v>103</v>
      </c>
      <c r="B52" s="77">
        <f t="shared" si="14"/>
        <v>0</v>
      </c>
      <c r="C52" s="26"/>
      <c r="D52" s="29"/>
      <c r="E52" s="26"/>
      <c r="F52" s="28"/>
      <c r="G52" s="29"/>
      <c r="H52" s="237"/>
      <c r="I52" s="29"/>
      <c r="J52" s="77"/>
      <c r="K52" s="237"/>
      <c r="L52" s="28"/>
      <c r="M52" s="28"/>
      <c r="N52" s="29"/>
      <c r="O52" s="237"/>
      <c r="P52" s="28"/>
      <c r="Q52" s="30"/>
      <c r="R52" s="237"/>
      <c r="S52" s="262"/>
      <c r="T52" s="27"/>
      <c r="U52" s="25"/>
      <c r="V52" s="25"/>
      <c r="W52" s="25"/>
      <c r="X52" s="17"/>
      <c r="Y52" s="30"/>
    </row>
    <row r="53" spans="1:25">
      <c r="A53" s="61" t="s">
        <v>104</v>
      </c>
      <c r="B53" s="77">
        <f t="shared" si="14"/>
        <v>0</v>
      </c>
      <c r="C53" s="26"/>
      <c r="D53" s="29"/>
      <c r="E53" s="26"/>
      <c r="F53" s="28"/>
      <c r="G53" s="29"/>
      <c r="H53" s="237"/>
      <c r="I53" s="29"/>
      <c r="J53" s="77"/>
      <c r="K53" s="237"/>
      <c r="L53" s="28"/>
      <c r="M53" s="28"/>
      <c r="N53" s="29"/>
      <c r="O53" s="237"/>
      <c r="P53" s="28"/>
      <c r="Q53" s="30"/>
      <c r="R53" s="237"/>
      <c r="S53" s="262"/>
      <c r="T53" s="27"/>
      <c r="U53" s="25"/>
      <c r="V53" s="25"/>
      <c r="W53" s="25"/>
      <c r="X53" s="17"/>
      <c r="Y53" s="30"/>
    </row>
    <row r="54" spans="1:25">
      <c r="A54" s="61" t="s">
        <v>105</v>
      </c>
      <c r="B54" s="82">
        <f t="shared" si="14"/>
        <v>14383290.073364934</v>
      </c>
      <c r="C54" s="46">
        <f t="shared" ref="C54:N54" si="15">SUM(C43:C53)</f>
        <v>0</v>
      </c>
      <c r="D54" s="47">
        <f t="shared" si="15"/>
        <v>0</v>
      </c>
      <c r="E54" s="46">
        <f t="shared" si="15"/>
        <v>0</v>
      </c>
      <c r="F54" s="45">
        <f t="shared" si="15"/>
        <v>0</v>
      </c>
      <c r="G54" s="47">
        <f t="shared" si="15"/>
        <v>-637047.28166666592</v>
      </c>
      <c r="H54" s="242">
        <f t="shared" si="15"/>
        <v>0</v>
      </c>
      <c r="I54" s="47">
        <f t="shared" si="15"/>
        <v>0</v>
      </c>
      <c r="J54" s="82">
        <f t="shared" si="15"/>
        <v>0</v>
      </c>
      <c r="K54" s="242">
        <f t="shared" si="15"/>
        <v>0</v>
      </c>
      <c r="L54" s="45">
        <f t="shared" si="15"/>
        <v>0</v>
      </c>
      <c r="M54" s="45">
        <f t="shared" si="15"/>
        <v>0</v>
      </c>
      <c r="N54" s="47">
        <f t="shared" si="15"/>
        <v>0</v>
      </c>
      <c r="O54" s="242">
        <f>SUM(O43:O53)</f>
        <v>0</v>
      </c>
      <c r="P54" s="45">
        <f>SUM(P43:P53)</f>
        <v>75958.380277030345</v>
      </c>
      <c r="Q54" s="47">
        <f>SUM(Q43:Q53)</f>
        <v>15750000</v>
      </c>
      <c r="R54" s="242">
        <f>SUM(R43:R53)</f>
        <v>0</v>
      </c>
      <c r="S54" s="266">
        <f>SUM(S43:S53)</f>
        <v>0</v>
      </c>
      <c r="T54" s="46">
        <f t="shared" ref="T54:Y54" si="16">SUM(T43:T53)</f>
        <v>0</v>
      </c>
      <c r="U54" s="45">
        <f t="shared" si="16"/>
        <v>0</v>
      </c>
      <c r="V54" s="45">
        <f t="shared" si="16"/>
        <v>-1067076.2761553444</v>
      </c>
      <c r="W54" s="45">
        <f t="shared" si="16"/>
        <v>-102820.65278581559</v>
      </c>
      <c r="X54" s="45">
        <f t="shared" si="16"/>
        <v>364275.90369573049</v>
      </c>
      <c r="Y54" s="47">
        <f t="shared" si="16"/>
        <v>0</v>
      </c>
    </row>
    <row r="55" spans="1:25">
      <c r="A55" s="61"/>
      <c r="B55" s="76"/>
      <c r="C55" s="20"/>
      <c r="D55" s="22"/>
      <c r="E55" s="20"/>
      <c r="F55" s="17"/>
      <c r="G55" s="22"/>
      <c r="H55" s="236"/>
      <c r="I55" s="22"/>
      <c r="J55" s="76"/>
      <c r="K55" s="236"/>
      <c r="L55" s="17"/>
      <c r="M55" s="17"/>
      <c r="N55" s="22"/>
      <c r="O55" s="236"/>
      <c r="P55" s="17"/>
      <c r="Q55" s="22"/>
      <c r="R55" s="236"/>
      <c r="S55" s="261"/>
      <c r="T55" s="20"/>
      <c r="U55" s="17"/>
      <c r="V55" s="17"/>
      <c r="W55" s="17"/>
      <c r="X55" s="17"/>
      <c r="Y55" s="22"/>
    </row>
    <row r="56" spans="1:25">
      <c r="A56" s="61" t="s">
        <v>106</v>
      </c>
      <c r="B56" s="76"/>
      <c r="C56" s="20"/>
      <c r="D56" s="22"/>
      <c r="E56" s="20"/>
      <c r="F56" s="17"/>
      <c r="G56" s="22"/>
      <c r="H56" s="236"/>
      <c r="I56" s="22"/>
      <c r="J56" s="76"/>
      <c r="K56" s="236"/>
      <c r="L56" s="17"/>
      <c r="M56" s="17"/>
      <c r="N56" s="22"/>
      <c r="O56" s="236"/>
      <c r="P56" s="17"/>
      <c r="Q56" s="22"/>
      <c r="R56" s="236"/>
      <c r="S56" s="261"/>
      <c r="T56" s="20"/>
      <c r="U56" s="17"/>
      <c r="V56" s="17"/>
      <c r="W56" s="17"/>
      <c r="X56" s="17"/>
      <c r="Y56" s="22"/>
    </row>
    <row r="57" spans="1:25">
      <c r="A57" s="61" t="s">
        <v>107</v>
      </c>
      <c r="B57" s="77">
        <f t="shared" ref="B57:B65" si="17">SUM(C57:Y57)</f>
        <v>123289.41095568537</v>
      </c>
      <c r="C57" s="26"/>
      <c r="D57" s="29"/>
      <c r="E57" s="26"/>
      <c r="F57" s="28"/>
      <c r="G57" s="29"/>
      <c r="H57" s="237"/>
      <c r="I57" s="29"/>
      <c r="J57" s="77">
        <f>'[28]Lead Sheet'!$I$16</f>
        <v>-256078.4788596172</v>
      </c>
      <c r="K57" s="237"/>
      <c r="L57" s="28"/>
      <c r="M57" s="28"/>
      <c r="N57" s="29"/>
      <c r="O57" s="237"/>
      <c r="P57" s="28"/>
      <c r="Q57" s="30"/>
      <c r="R57" s="237"/>
      <c r="S57" s="262"/>
      <c r="T57" s="27"/>
      <c r="U57" s="25"/>
      <c r="V57" s="25">
        <f>'[33]Lead Sheet'!$I$21</f>
        <v>337916.75424200855</v>
      </c>
      <c r="W57" s="25">
        <f>'[33]Lead Sheet'!$I$64</f>
        <v>41451.135573294014</v>
      </c>
      <c r="X57" s="17"/>
      <c r="Y57" s="30"/>
    </row>
    <row r="58" spans="1:25">
      <c r="A58" s="61" t="s">
        <v>108</v>
      </c>
      <c r="B58" s="77">
        <f t="shared" si="17"/>
        <v>0</v>
      </c>
      <c r="C58" s="26"/>
      <c r="D58" s="29"/>
      <c r="E58" s="26"/>
      <c r="F58" s="28"/>
      <c r="G58" s="29"/>
      <c r="H58" s="237"/>
      <c r="I58" s="29"/>
      <c r="J58" s="77"/>
      <c r="K58" s="237"/>
      <c r="L58" s="28"/>
      <c r="M58" s="28"/>
      <c r="N58" s="29"/>
      <c r="O58" s="237"/>
      <c r="P58" s="28"/>
      <c r="Q58" s="30"/>
      <c r="R58" s="237"/>
      <c r="S58" s="262"/>
      <c r="T58" s="27"/>
      <c r="U58" s="25"/>
      <c r="V58" s="25"/>
      <c r="W58" s="25"/>
      <c r="X58" s="17"/>
      <c r="Y58" s="30"/>
    </row>
    <row r="59" spans="1:25">
      <c r="A59" s="61" t="s">
        <v>109</v>
      </c>
      <c r="B59" s="77">
        <f t="shared" si="17"/>
        <v>-5544377.6454294352</v>
      </c>
      <c r="C59" s="26"/>
      <c r="D59" s="29"/>
      <c r="E59" s="26"/>
      <c r="F59" s="28"/>
      <c r="G59" s="29">
        <f>'[37]Lead Sheet'!$I$22+'[37]Lead Sheet'!$I$26</f>
        <v>330671.29965366772</v>
      </c>
      <c r="H59" s="237"/>
      <c r="I59" s="29"/>
      <c r="J59" s="77"/>
      <c r="K59" s="237"/>
      <c r="L59" s="28"/>
      <c r="M59" s="28"/>
      <c r="N59" s="29"/>
      <c r="O59" s="237"/>
      <c r="P59" s="28">
        <f>SUM([38]Leadsheet!$I$23,[38]Leadsheet!$I$28)</f>
        <v>386866.05491689674</v>
      </c>
      <c r="Q59" s="30">
        <f>SUM('[35]Lead Sheet'!$I$21)</f>
        <v>-6261915</v>
      </c>
      <c r="R59" s="237"/>
      <c r="S59" s="262"/>
      <c r="T59" s="27"/>
      <c r="U59" s="25"/>
      <c r="V59" s="25"/>
      <c r="W59" s="25"/>
      <c r="X59" s="17"/>
      <c r="Y59" s="30"/>
    </row>
    <row r="60" spans="1:25">
      <c r="A60" s="61" t="s">
        <v>110</v>
      </c>
      <c r="B60" s="77">
        <f t="shared" si="17"/>
        <v>0</v>
      </c>
      <c r="C60" s="26"/>
      <c r="D60" s="29"/>
      <c r="E60" s="26"/>
      <c r="F60" s="28"/>
      <c r="G60" s="29"/>
      <c r="H60" s="237"/>
      <c r="I60" s="29"/>
      <c r="J60" s="77"/>
      <c r="K60" s="237"/>
      <c r="L60" s="28"/>
      <c r="M60" s="28"/>
      <c r="N60" s="29"/>
      <c r="O60" s="237"/>
      <c r="P60" s="28"/>
      <c r="Q60" s="30"/>
      <c r="R60" s="237"/>
      <c r="S60" s="262"/>
      <c r="T60" s="27"/>
      <c r="U60" s="25"/>
      <c r="V60" s="25"/>
      <c r="W60" s="25"/>
      <c r="X60" s="17"/>
      <c r="Y60" s="30"/>
    </row>
    <row r="61" spans="1:25">
      <c r="A61" s="61" t="s">
        <v>111</v>
      </c>
      <c r="B61" s="77">
        <f t="shared" si="17"/>
        <v>0</v>
      </c>
      <c r="C61" s="26"/>
      <c r="D61" s="29"/>
      <c r="E61" s="26"/>
      <c r="F61" s="28"/>
      <c r="G61" s="29"/>
      <c r="H61" s="237"/>
      <c r="I61" s="29"/>
      <c r="J61" s="77"/>
      <c r="K61" s="237"/>
      <c r="L61" s="28"/>
      <c r="M61" s="28"/>
      <c r="N61" s="29"/>
      <c r="O61" s="237"/>
      <c r="P61" s="28"/>
      <c r="Q61" s="30"/>
      <c r="R61" s="237"/>
      <c r="S61" s="262"/>
      <c r="T61" s="27"/>
      <c r="U61" s="25"/>
      <c r="V61" s="25"/>
      <c r="W61" s="25"/>
      <c r="X61" s="17"/>
      <c r="Y61" s="30"/>
    </row>
    <row r="62" spans="1:25">
      <c r="A62" s="61" t="s">
        <v>112</v>
      </c>
      <c r="B62" s="77">
        <f t="shared" si="17"/>
        <v>0</v>
      </c>
      <c r="C62" s="26"/>
      <c r="D62" s="29"/>
      <c r="E62" s="26"/>
      <c r="F62" s="28"/>
      <c r="G62" s="29"/>
      <c r="H62" s="237"/>
      <c r="I62" s="29"/>
      <c r="J62" s="77"/>
      <c r="K62" s="237"/>
      <c r="L62" s="28"/>
      <c r="M62" s="28"/>
      <c r="N62" s="29"/>
      <c r="O62" s="237"/>
      <c r="P62" s="28"/>
      <c r="Q62" s="30"/>
      <c r="R62" s="237"/>
      <c r="S62" s="262"/>
      <c r="T62" s="27"/>
      <c r="U62" s="25"/>
      <c r="V62" s="25"/>
      <c r="W62" s="25"/>
      <c r="X62" s="17"/>
      <c r="Y62" s="30"/>
    </row>
    <row r="63" spans="1:25">
      <c r="A63" s="61" t="s">
        <v>113</v>
      </c>
      <c r="B63" s="77">
        <f t="shared" si="17"/>
        <v>6650.0176601060666</v>
      </c>
      <c r="C63" s="26"/>
      <c r="D63" s="29"/>
      <c r="E63" s="26"/>
      <c r="F63" s="28"/>
      <c r="G63" s="29"/>
      <c r="H63" s="237"/>
      <c r="I63" s="29"/>
      <c r="J63" s="77"/>
      <c r="K63" s="237"/>
      <c r="L63" s="28"/>
      <c r="M63" s="28"/>
      <c r="N63" s="29"/>
      <c r="O63" s="237"/>
      <c r="P63" s="28"/>
      <c r="Q63" s="30"/>
      <c r="R63" s="237"/>
      <c r="S63" s="262"/>
      <c r="T63" s="27"/>
      <c r="U63" s="25"/>
      <c r="V63" s="25"/>
      <c r="W63" s="25">
        <f>'[33]Lead Sheet'!$I$69</f>
        <v>6650.0176601060666</v>
      </c>
      <c r="X63" s="17"/>
      <c r="Y63" s="30"/>
    </row>
    <row r="64" spans="1:25">
      <c r="A64" s="61"/>
      <c r="B64" s="76">
        <f t="shared" si="17"/>
        <v>0</v>
      </c>
      <c r="C64" s="20"/>
      <c r="D64" s="22"/>
      <c r="E64" s="20"/>
      <c r="F64" s="17"/>
      <c r="G64" s="22"/>
      <c r="H64" s="236"/>
      <c r="I64" s="22"/>
      <c r="J64" s="76"/>
      <c r="K64" s="236"/>
      <c r="L64" s="17"/>
      <c r="M64" s="17"/>
      <c r="N64" s="22"/>
      <c r="O64" s="236"/>
      <c r="P64" s="17"/>
      <c r="Q64" s="22"/>
      <c r="R64" s="236"/>
      <c r="S64" s="261"/>
      <c r="T64" s="20"/>
      <c r="U64" s="17"/>
      <c r="V64" s="17"/>
      <c r="W64" s="17"/>
      <c r="X64" s="17"/>
      <c r="Y64" s="22"/>
    </row>
    <row r="65" spans="1:25">
      <c r="A65" s="61" t="s">
        <v>114</v>
      </c>
      <c r="B65" s="78">
        <f t="shared" si="17"/>
        <v>-5414438.2168136444</v>
      </c>
      <c r="C65" s="33">
        <f t="shared" ref="C65:I65" si="18">SUM(C57:C64)</f>
        <v>0</v>
      </c>
      <c r="D65" s="34">
        <f t="shared" si="18"/>
        <v>0</v>
      </c>
      <c r="E65" s="33">
        <f t="shared" si="18"/>
        <v>0</v>
      </c>
      <c r="F65" s="31">
        <f t="shared" si="18"/>
        <v>0</v>
      </c>
      <c r="G65" s="34">
        <f t="shared" si="18"/>
        <v>330671.29965366772</v>
      </c>
      <c r="H65" s="238">
        <f t="shared" si="18"/>
        <v>0</v>
      </c>
      <c r="I65" s="34">
        <f t="shared" si="18"/>
        <v>0</v>
      </c>
      <c r="J65" s="78">
        <f>SUM(J57:J64)</f>
        <v>-256078.4788596172</v>
      </c>
      <c r="K65" s="238">
        <f t="shared" ref="K65:R65" si="19">SUM(K57:K64)</f>
        <v>0</v>
      </c>
      <c r="L65" s="31">
        <f t="shared" si="19"/>
        <v>0</v>
      </c>
      <c r="M65" s="31">
        <f t="shared" si="19"/>
        <v>0</v>
      </c>
      <c r="N65" s="34">
        <f t="shared" si="19"/>
        <v>0</v>
      </c>
      <c r="O65" s="238">
        <f t="shared" si="19"/>
        <v>0</v>
      </c>
      <c r="P65" s="31">
        <f t="shared" si="19"/>
        <v>386866.05491689674</v>
      </c>
      <c r="Q65" s="34">
        <f t="shared" si="19"/>
        <v>-6261915</v>
      </c>
      <c r="R65" s="238">
        <f t="shared" si="19"/>
        <v>0</v>
      </c>
      <c r="S65" s="263">
        <f t="shared" ref="S65" si="20">SUM(S57:S64)</f>
        <v>0</v>
      </c>
      <c r="T65" s="33">
        <f t="shared" ref="T65:Y65" si="21">SUM(T57:T64)</f>
        <v>0</v>
      </c>
      <c r="U65" s="31">
        <f t="shared" ref="U65:W65" si="22">SUM(U57:U64)</f>
        <v>0</v>
      </c>
      <c r="V65" s="31">
        <f t="shared" si="22"/>
        <v>337916.75424200855</v>
      </c>
      <c r="W65" s="31">
        <f t="shared" si="22"/>
        <v>48101.15323340008</v>
      </c>
      <c r="X65" s="31">
        <f t="shared" si="21"/>
        <v>0</v>
      </c>
      <c r="Y65" s="34">
        <f t="shared" si="21"/>
        <v>0</v>
      </c>
    </row>
    <row r="66" spans="1:25">
      <c r="A66" s="61"/>
      <c r="B66" s="76"/>
      <c r="C66" s="20"/>
      <c r="D66" s="22"/>
      <c r="E66" s="20"/>
      <c r="F66" s="17"/>
      <c r="G66" s="22"/>
      <c r="H66" s="236"/>
      <c r="I66" s="22"/>
      <c r="J66" s="76"/>
      <c r="K66" s="236"/>
      <c r="L66" s="17"/>
      <c r="M66" s="17"/>
      <c r="N66" s="22"/>
      <c r="O66" s="236"/>
      <c r="P66" s="17"/>
      <c r="Q66" s="22"/>
      <c r="R66" s="236"/>
      <c r="S66" s="261"/>
      <c r="T66" s="20"/>
      <c r="U66" s="17"/>
      <c r="V66" s="17"/>
      <c r="W66" s="17"/>
      <c r="X66" s="17"/>
      <c r="Y66" s="22"/>
    </row>
    <row r="67" spans="1:25" ht="13.5" thickBot="1">
      <c r="A67" s="61" t="s">
        <v>115</v>
      </c>
      <c r="B67" s="103">
        <f>SUM(C67:Y67)</f>
        <v>8968851.8565512896</v>
      </c>
      <c r="C67" s="101">
        <f>C54+C65</f>
        <v>0</v>
      </c>
      <c r="D67" s="102">
        <f t="shared" ref="D67:R67" si="23">D54+D65</f>
        <v>0</v>
      </c>
      <c r="E67" s="101">
        <f t="shared" si="23"/>
        <v>0</v>
      </c>
      <c r="F67" s="100">
        <f t="shared" si="23"/>
        <v>0</v>
      </c>
      <c r="G67" s="102">
        <f t="shared" si="23"/>
        <v>-306375.9820129982</v>
      </c>
      <c r="H67" s="256">
        <f t="shared" si="23"/>
        <v>0</v>
      </c>
      <c r="I67" s="102">
        <f t="shared" si="23"/>
        <v>0</v>
      </c>
      <c r="J67" s="103">
        <f t="shared" si="23"/>
        <v>-256078.4788596172</v>
      </c>
      <c r="K67" s="256">
        <f t="shared" si="23"/>
        <v>0</v>
      </c>
      <c r="L67" s="100">
        <f t="shared" si="23"/>
        <v>0</v>
      </c>
      <c r="M67" s="100">
        <f t="shared" si="23"/>
        <v>0</v>
      </c>
      <c r="N67" s="102">
        <f t="shared" si="23"/>
        <v>0</v>
      </c>
      <c r="O67" s="256">
        <f t="shared" si="23"/>
        <v>0</v>
      </c>
      <c r="P67" s="100">
        <f t="shared" si="23"/>
        <v>462824.43519392709</v>
      </c>
      <c r="Q67" s="102">
        <f t="shared" si="23"/>
        <v>9488085</v>
      </c>
      <c r="R67" s="256">
        <f t="shared" si="23"/>
        <v>0</v>
      </c>
      <c r="S67" s="267">
        <f t="shared" ref="S67:Y67" si="24">S54+S65</f>
        <v>0</v>
      </c>
      <c r="T67" s="49">
        <f t="shared" si="24"/>
        <v>0</v>
      </c>
      <c r="U67" s="48">
        <f t="shared" ref="U67:W67" si="25">U54+U65</f>
        <v>0</v>
      </c>
      <c r="V67" s="48">
        <f t="shared" si="25"/>
        <v>-729159.52191333589</v>
      </c>
      <c r="W67" s="48">
        <f t="shared" si="25"/>
        <v>-54719.499552415509</v>
      </c>
      <c r="X67" s="48">
        <f t="shared" si="24"/>
        <v>364275.90369573049</v>
      </c>
      <c r="Y67" s="50">
        <f t="shared" si="24"/>
        <v>0</v>
      </c>
    </row>
    <row r="68" spans="1:25" ht="13.5" thickTop="1">
      <c r="A68" s="61"/>
      <c r="B68" s="76"/>
      <c r="C68" s="20"/>
      <c r="D68" s="22"/>
      <c r="E68" s="20"/>
      <c r="F68" s="17"/>
      <c r="G68" s="22"/>
      <c r="H68" s="236"/>
      <c r="I68" s="22"/>
      <c r="J68" s="76"/>
      <c r="K68" s="236"/>
      <c r="L68" s="17"/>
      <c r="M68" s="17"/>
      <c r="N68" s="22"/>
      <c r="O68" s="236"/>
      <c r="P68" s="17"/>
      <c r="Q68" s="22"/>
      <c r="R68" s="236"/>
      <c r="S68" s="261"/>
      <c r="T68" s="20"/>
      <c r="U68" s="17"/>
      <c r="V68" s="17"/>
      <c r="W68" s="17"/>
      <c r="X68" s="17"/>
      <c r="Y68" s="22"/>
    </row>
    <row r="69" spans="1:25">
      <c r="A69" s="61"/>
      <c r="B69" s="76"/>
      <c r="C69" s="20"/>
      <c r="D69" s="22"/>
      <c r="E69" s="20"/>
      <c r="F69" s="17"/>
      <c r="G69" s="22"/>
      <c r="H69" s="236"/>
      <c r="I69" s="22"/>
      <c r="J69" s="76"/>
      <c r="K69" s="236"/>
      <c r="L69" s="17"/>
      <c r="M69" s="17"/>
      <c r="N69" s="22"/>
      <c r="O69" s="236"/>
      <c r="P69" s="17"/>
      <c r="Q69" s="22"/>
      <c r="R69" s="236"/>
      <c r="S69" s="261"/>
      <c r="T69" s="20"/>
      <c r="U69" s="17"/>
      <c r="V69" s="17"/>
      <c r="W69" s="17"/>
      <c r="X69" s="17"/>
      <c r="Y69" s="22"/>
    </row>
    <row r="70" spans="1:25">
      <c r="A70" s="61" t="s">
        <v>219</v>
      </c>
      <c r="B70" s="123">
        <f t="shared" ref="B70:S70" si="26">(((B40+Restated_Op_revenue)/(B67+Restated_rate_base))-Weighted_cost_debt-Weighted_cost_pref)/Percent_common-Restated_ROE</f>
        <v>-1.5043942310122169E-2</v>
      </c>
      <c r="C70" s="124">
        <f t="shared" si="26"/>
        <v>2.019620349530743E-2</v>
      </c>
      <c r="D70" s="125">
        <f t="shared" si="26"/>
        <v>-2.7785586922318695E-5</v>
      </c>
      <c r="E70" s="124">
        <f t="shared" si="26"/>
        <v>-6.0886628238901452E-4</v>
      </c>
      <c r="F70" s="119">
        <f t="shared" si="26"/>
        <v>1.1896591839198264E-3</v>
      </c>
      <c r="G70" s="125">
        <f t="shared" si="26"/>
        <v>1.0355705511529145E-3</v>
      </c>
      <c r="H70" s="244">
        <f t="shared" si="26"/>
        <v>0</v>
      </c>
      <c r="I70" s="125">
        <f t="shared" si="26"/>
        <v>1.9192331134334703E-3</v>
      </c>
      <c r="J70" s="126">
        <f t="shared" si="26"/>
        <v>3.3661284637408195E-5</v>
      </c>
      <c r="K70" s="244">
        <f t="shared" si="26"/>
        <v>0</v>
      </c>
      <c r="L70" s="119">
        <f t="shared" si="26"/>
        <v>1.412670919338177E-2</v>
      </c>
      <c r="M70" s="119">
        <f t="shared" si="26"/>
        <v>6.4546272127925103E-4</v>
      </c>
      <c r="N70" s="125">
        <f t="shared" si="26"/>
        <v>5.2514911359338723E-5</v>
      </c>
      <c r="O70" s="244">
        <f t="shared" si="26"/>
        <v>0</v>
      </c>
      <c r="P70" s="119">
        <f t="shared" si="26"/>
        <v>2.1279231758516287E-4</v>
      </c>
      <c r="Q70" s="125">
        <f t="shared" si="26"/>
        <v>-5.8380181349617435E-3</v>
      </c>
      <c r="R70" s="244">
        <f t="shared" si="26"/>
        <v>0</v>
      </c>
      <c r="S70" s="268">
        <f t="shared" si="26"/>
        <v>0</v>
      </c>
      <c r="T70" s="121">
        <f t="shared" ref="T70:Y70" si="27">(((T40+Unadj_Op_revenue)/(T67+Unadj_rate_base))-Weighted_cost_debt-Weighted_cost_pref)/Percent_common-Unadj_ROE</f>
        <v>7.9433607832825048E-3</v>
      </c>
      <c r="U70" s="120">
        <f t="shared" ref="U70:W70" si="28">(((U40+Unadj_Op_revenue)/(U67+Unadj_rate_base))-Weighted_cost_debt-Weighted_cost_pref)/Percent_common-Unadj_ROE</f>
        <v>-5.7731386924769847E-2</v>
      </c>
      <c r="V70" s="120">
        <f t="shared" si="28"/>
        <v>2.4410619193880601E-4</v>
      </c>
      <c r="W70" s="120">
        <f t="shared" si="28"/>
        <v>3.5906283906698977E-4</v>
      </c>
      <c r="X70" s="120">
        <f t="shared" si="27"/>
        <v>-5.7225404963640036E-5</v>
      </c>
      <c r="Y70" s="122">
        <f t="shared" si="27"/>
        <v>2.2481138121707711E-4</v>
      </c>
    </row>
    <row r="71" spans="1:25">
      <c r="A71" s="61" t="s">
        <v>62</v>
      </c>
      <c r="B71" s="76">
        <f>SUM(C71:Y71)</f>
        <v>10248319.530895008</v>
      </c>
      <c r="C71" s="20">
        <f t="shared" ref="C71:Y71" si="29">-(C40-(C67*Overall_ROR))/gross_up_factor</f>
        <v>-13004776.44302123</v>
      </c>
      <c r="D71" s="22">
        <f t="shared" si="29"/>
        <v>17891.746156481739</v>
      </c>
      <c r="E71" s="20">
        <f t="shared" si="29"/>
        <v>392062.29467841587</v>
      </c>
      <c r="F71" s="17">
        <f t="shared" si="29"/>
        <v>-766047.52640065202</v>
      </c>
      <c r="G71" s="22">
        <f t="shared" si="29"/>
        <v>-681856.41923157114</v>
      </c>
      <c r="H71" s="236">
        <f t="shared" si="29"/>
        <v>0</v>
      </c>
      <c r="I71" s="22">
        <f t="shared" si="29"/>
        <v>-1235836.1108831805</v>
      </c>
      <c r="J71" s="76">
        <f t="shared" si="29"/>
        <v>-34453.354095779949</v>
      </c>
      <c r="K71" s="236">
        <f t="shared" si="29"/>
        <v>0</v>
      </c>
      <c r="L71" s="17">
        <f t="shared" si="29"/>
        <v>-9096496.5261014886</v>
      </c>
      <c r="M71" s="17">
        <f t="shared" si="29"/>
        <v>-415627.54081435117</v>
      </c>
      <c r="N71" s="22">
        <f t="shared" si="29"/>
        <v>-33815.498160934389</v>
      </c>
      <c r="O71" s="236">
        <f t="shared" si="29"/>
        <v>0</v>
      </c>
      <c r="P71" s="17">
        <f t="shared" si="29"/>
        <v>-113996.72030122725</v>
      </c>
      <c r="Q71" s="22">
        <f t="shared" si="29"/>
        <v>4279499.7241401561</v>
      </c>
      <c r="R71" s="236">
        <f t="shared" si="29"/>
        <v>0</v>
      </c>
      <c r="S71" s="261">
        <f t="shared" si="29"/>
        <v>0</v>
      </c>
      <c r="T71" s="55">
        <f t="shared" si="29"/>
        <v>-5016554.2439158009</v>
      </c>
      <c r="U71" s="53">
        <f t="shared" ref="U71:W71" si="30">-(U40-(U67*Overall_ROR))/gross_up_factor</f>
        <v>36459710.440713584</v>
      </c>
      <c r="V71" s="53">
        <f t="shared" si="30"/>
        <v>-179740.36969845428</v>
      </c>
      <c r="W71" s="53">
        <f t="shared" si="30"/>
        <v>-228676.89468198246</v>
      </c>
      <c r="X71" s="53">
        <f t="shared" si="29"/>
        <v>49010.470362366788</v>
      </c>
      <c r="Y71" s="56">
        <f t="shared" si="29"/>
        <v>-141977.49784934983</v>
      </c>
    </row>
    <row r="72" spans="1:25">
      <c r="A72" s="61"/>
      <c r="B72" s="107"/>
      <c r="C72" s="104"/>
      <c r="D72" s="106"/>
      <c r="E72" s="104"/>
      <c r="F72" s="105"/>
      <c r="G72" s="106"/>
      <c r="H72" s="246"/>
      <c r="I72" s="106"/>
      <c r="J72" s="107"/>
      <c r="K72" s="246"/>
      <c r="L72" s="105"/>
      <c r="M72" s="105"/>
      <c r="N72" s="106"/>
      <c r="O72" s="246"/>
      <c r="P72" s="105"/>
      <c r="Q72" s="106"/>
      <c r="R72" s="246"/>
      <c r="S72" s="269"/>
      <c r="T72" s="71"/>
      <c r="U72" s="69"/>
      <c r="V72" s="69"/>
      <c r="W72" s="69"/>
      <c r="X72" s="69"/>
      <c r="Y72" s="72"/>
    </row>
    <row r="73" spans="1:25">
      <c r="A73" s="61" t="s">
        <v>117</v>
      </c>
      <c r="B73" s="76"/>
      <c r="C73" s="20"/>
      <c r="D73" s="22"/>
      <c r="E73" s="20"/>
      <c r="F73" s="17"/>
      <c r="G73" s="22"/>
      <c r="H73" s="236"/>
      <c r="I73" s="22"/>
      <c r="J73" s="76"/>
      <c r="K73" s="236"/>
      <c r="L73" s="17"/>
      <c r="M73" s="17"/>
      <c r="N73" s="22"/>
      <c r="O73" s="236"/>
      <c r="P73" s="17"/>
      <c r="Q73" s="22"/>
      <c r="R73" s="236"/>
      <c r="S73" s="261"/>
      <c r="T73" s="20"/>
      <c r="U73" s="17"/>
      <c r="V73" s="17"/>
      <c r="W73" s="17"/>
      <c r="X73" s="17"/>
      <c r="Y73" s="22"/>
    </row>
    <row r="74" spans="1:25">
      <c r="A74" s="61" t="s">
        <v>118</v>
      </c>
      <c r="B74" s="76">
        <f t="shared" ref="B74:B80" si="31">SUM(C74:Y74)</f>
        <v>-17482922.000049368</v>
      </c>
      <c r="C74" s="20">
        <f t="shared" ref="C74:Y74" si="32">C16-C29-C30-C31-C32-C37</f>
        <v>12402155.109999999</v>
      </c>
      <c r="D74" s="22">
        <f t="shared" si="32"/>
        <v>-17062.670165353691</v>
      </c>
      <c r="E74" s="20">
        <f t="shared" si="32"/>
        <v>-373894.73111577908</v>
      </c>
      <c r="F74" s="17">
        <f t="shared" si="32"/>
        <v>776572.64858778729</v>
      </c>
      <c r="G74" s="22">
        <f t="shared" si="32"/>
        <v>637047.3400000002</v>
      </c>
      <c r="H74" s="236">
        <f t="shared" si="32"/>
        <v>0</v>
      </c>
      <c r="I74" s="22">
        <f t="shared" si="32"/>
        <v>1178569.3667911782</v>
      </c>
      <c r="J74" s="76">
        <f t="shared" si="32"/>
        <v>0</v>
      </c>
      <c r="K74" s="236">
        <f t="shared" si="32"/>
        <v>0</v>
      </c>
      <c r="L74" s="17">
        <f t="shared" si="32"/>
        <v>0</v>
      </c>
      <c r="M74" s="17">
        <f t="shared" si="32"/>
        <v>396368</v>
      </c>
      <c r="N74" s="22">
        <f t="shared" si="32"/>
        <v>32248.540000000008</v>
      </c>
      <c r="O74" s="236">
        <f t="shared" si="32"/>
        <v>0</v>
      </c>
      <c r="P74" s="17">
        <f t="shared" si="32"/>
        <v>182288.98018681514</v>
      </c>
      <c r="Q74" s="22">
        <f t="shared" si="32"/>
        <v>-3000000</v>
      </c>
      <c r="R74" s="236">
        <f t="shared" si="32"/>
        <v>0</v>
      </c>
      <c r="S74" s="261">
        <f t="shared" si="32"/>
        <v>0</v>
      </c>
      <c r="T74" s="55">
        <f t="shared" si="32"/>
        <v>4784094.8380285027</v>
      </c>
      <c r="U74" s="53">
        <f t="shared" ref="U74:W74" si="33">U16-U29-U30-U31-U32-U37</f>
        <v>-34770223.550753132</v>
      </c>
      <c r="V74" s="53">
        <f t="shared" si="33"/>
        <v>77854.701909393276</v>
      </c>
      <c r="W74" s="53">
        <f t="shared" si="33"/>
        <v>211059.42648122436</v>
      </c>
      <c r="X74" s="53">
        <f t="shared" si="32"/>
        <v>0</v>
      </c>
      <c r="Y74" s="56">
        <f t="shared" si="32"/>
        <v>0</v>
      </c>
    </row>
    <row r="75" spans="1:25">
      <c r="A75" s="61" t="s">
        <v>119</v>
      </c>
      <c r="B75" s="76">
        <f t="shared" si="31"/>
        <v>0</v>
      </c>
      <c r="C75" s="20"/>
      <c r="D75" s="22"/>
      <c r="E75" s="20"/>
      <c r="F75" s="17"/>
      <c r="G75" s="22"/>
      <c r="H75" s="236"/>
      <c r="I75" s="22"/>
      <c r="J75" s="76"/>
      <c r="K75" s="236"/>
      <c r="L75" s="17"/>
      <c r="M75" s="17"/>
      <c r="N75" s="22"/>
      <c r="O75" s="236"/>
      <c r="P75" s="17"/>
      <c r="Q75" s="22"/>
      <c r="R75" s="236"/>
      <c r="S75" s="261"/>
      <c r="T75" s="20"/>
      <c r="U75" s="17"/>
      <c r="V75" s="17"/>
      <c r="W75" s="17"/>
      <c r="X75" s="17"/>
      <c r="Y75" s="22"/>
    </row>
    <row r="76" spans="1:25">
      <c r="A76" s="61" t="s">
        <v>120</v>
      </c>
      <c r="B76" s="80">
        <f t="shared" si="31"/>
        <v>0</v>
      </c>
      <c r="C76" s="27"/>
      <c r="D76" s="30"/>
      <c r="E76" s="27"/>
      <c r="F76" s="25"/>
      <c r="G76" s="30"/>
      <c r="H76" s="239"/>
      <c r="I76" s="30"/>
      <c r="J76" s="80"/>
      <c r="K76" s="239"/>
      <c r="L76" s="25"/>
      <c r="M76" s="25"/>
      <c r="N76" s="30"/>
      <c r="O76" s="239"/>
      <c r="P76" s="25"/>
      <c r="Q76" s="30"/>
      <c r="R76" s="239"/>
      <c r="S76" s="262"/>
      <c r="T76" s="27"/>
      <c r="U76" s="25"/>
      <c r="V76" s="25"/>
      <c r="W76" s="25"/>
      <c r="X76" s="17"/>
      <c r="Y76" s="30"/>
    </row>
    <row r="77" spans="1:25">
      <c r="A77" s="61" t="s">
        <v>121</v>
      </c>
      <c r="B77" s="80">
        <f t="shared" si="31"/>
        <v>251454.31819101423</v>
      </c>
      <c r="C77" s="27"/>
      <c r="D77" s="30"/>
      <c r="E77" s="27"/>
      <c r="F77" s="25"/>
      <c r="G77" s="30"/>
      <c r="H77" s="239"/>
      <c r="I77" s="30"/>
      <c r="J77" s="80"/>
      <c r="K77" s="239"/>
      <c r="L77" s="25"/>
      <c r="M77" s="25"/>
      <c r="N77" s="30"/>
      <c r="O77" s="239"/>
      <c r="P77" s="25"/>
      <c r="Q77" s="30"/>
      <c r="R77" s="239"/>
      <c r="S77" s="262"/>
      <c r="T77" s="27"/>
      <c r="U77" s="25"/>
      <c r="V77" s="25"/>
      <c r="W77" s="25"/>
      <c r="X77" s="17"/>
      <c r="Y77" s="30">
        <f>'Interest Calc'!$C$26</f>
        <v>251454.31819101423</v>
      </c>
    </row>
    <row r="78" spans="1:25">
      <c r="A78" s="61" t="s">
        <v>122</v>
      </c>
      <c r="B78" s="80">
        <f t="shared" si="31"/>
        <v>2050306.5331223093</v>
      </c>
      <c r="C78" s="27"/>
      <c r="D78" s="30"/>
      <c r="E78" s="27"/>
      <c r="F78" s="25"/>
      <c r="G78" s="30">
        <f>'[37]Lead Sheet'!$I$20</f>
        <v>-637047</v>
      </c>
      <c r="H78" s="239"/>
      <c r="I78" s="30"/>
      <c r="J78" s="80"/>
      <c r="K78" s="239"/>
      <c r="L78" s="25"/>
      <c r="M78" s="25"/>
      <c r="N78" s="30"/>
      <c r="O78" s="239"/>
      <c r="P78" s="25">
        <f>SUM([38]Leadsheet!$I$21,[38]Leadsheet!$I$26)</f>
        <v>-312646.46687769075</v>
      </c>
      <c r="Q78" s="30">
        <f>'[35]Lead Sheet'!$I$19</f>
        <v>3000000</v>
      </c>
      <c r="R78" s="239"/>
      <c r="S78" s="262"/>
      <c r="T78" s="27"/>
      <c r="U78" s="25"/>
      <c r="V78" s="25"/>
      <c r="W78" s="25"/>
      <c r="X78" s="17"/>
      <c r="Y78" s="30"/>
    </row>
    <row r="79" spans="1:25">
      <c r="A79" s="61" t="s">
        <v>123</v>
      </c>
      <c r="B79" s="80">
        <f t="shared" si="31"/>
        <v>951489.85858771845</v>
      </c>
      <c r="C79" s="20"/>
      <c r="D79" s="22"/>
      <c r="E79" s="20"/>
      <c r="F79" s="25">
        <f>'[36]Lead Sheet'!$I$19</f>
        <v>1013713.3485877872</v>
      </c>
      <c r="G79" s="30">
        <f>'[37]Lead Sheet'!$I$24</f>
        <v>-62223.490000068792</v>
      </c>
      <c r="H79" s="236"/>
      <c r="I79" s="22"/>
      <c r="J79" s="76"/>
      <c r="K79" s="236"/>
      <c r="L79" s="17"/>
      <c r="M79" s="17"/>
      <c r="N79" s="22"/>
      <c r="O79" s="236"/>
      <c r="P79" s="17"/>
      <c r="Q79" s="22"/>
      <c r="R79" s="236"/>
      <c r="S79" s="261"/>
      <c r="T79" s="295"/>
      <c r="U79" s="40"/>
      <c r="V79" s="40"/>
      <c r="W79" s="40"/>
      <c r="X79" s="40"/>
      <c r="Y79" s="59"/>
    </row>
    <row r="80" spans="1:25">
      <c r="A80" s="61" t="s">
        <v>124</v>
      </c>
      <c r="B80" s="112">
        <f t="shared" si="31"/>
        <v>-16635559.643705789</v>
      </c>
      <c r="C80" s="110">
        <f t="shared" ref="C80:R80" si="34">C74-C76-C77+C78-C79</f>
        <v>12402155.109999999</v>
      </c>
      <c r="D80" s="111">
        <f t="shared" si="34"/>
        <v>-17062.670165353691</v>
      </c>
      <c r="E80" s="110">
        <f t="shared" si="34"/>
        <v>-373894.73111577908</v>
      </c>
      <c r="F80" s="109">
        <f t="shared" si="34"/>
        <v>-237140.69999999995</v>
      </c>
      <c r="G80" s="111">
        <f t="shared" si="34"/>
        <v>62223.830000068992</v>
      </c>
      <c r="H80" s="253">
        <f t="shared" si="34"/>
        <v>0</v>
      </c>
      <c r="I80" s="111">
        <f t="shared" si="34"/>
        <v>1178569.3667911782</v>
      </c>
      <c r="J80" s="112">
        <f t="shared" si="34"/>
        <v>0</v>
      </c>
      <c r="K80" s="253">
        <f t="shared" si="34"/>
        <v>0</v>
      </c>
      <c r="L80" s="109">
        <f t="shared" si="34"/>
        <v>0</v>
      </c>
      <c r="M80" s="109">
        <f t="shared" si="34"/>
        <v>396368</v>
      </c>
      <c r="N80" s="111">
        <f t="shared" si="34"/>
        <v>32248.540000000008</v>
      </c>
      <c r="O80" s="253">
        <f t="shared" si="34"/>
        <v>0</v>
      </c>
      <c r="P80" s="109">
        <f t="shared" si="34"/>
        <v>-130357.48669087561</v>
      </c>
      <c r="Q80" s="111">
        <f t="shared" si="34"/>
        <v>0</v>
      </c>
      <c r="R80" s="253">
        <f t="shared" si="34"/>
        <v>0</v>
      </c>
      <c r="S80" s="270">
        <f t="shared" ref="S80:Y80" si="35">S74-S76-S77+S78-S79</f>
        <v>0</v>
      </c>
      <c r="T80" s="51">
        <f t="shared" si="35"/>
        <v>4784094.8380285027</v>
      </c>
      <c r="U80" s="41">
        <f t="shared" ref="U80:W80" si="36">U74-U76-U77+U78-U79</f>
        <v>-34770223.550753132</v>
      </c>
      <c r="V80" s="41">
        <f t="shared" si="36"/>
        <v>77854.701909393276</v>
      </c>
      <c r="W80" s="41">
        <f t="shared" si="36"/>
        <v>211059.42648122436</v>
      </c>
      <c r="X80" s="41">
        <f t="shared" si="35"/>
        <v>0</v>
      </c>
      <c r="Y80" s="52">
        <f t="shared" si="35"/>
        <v>-251454.31819101423</v>
      </c>
    </row>
    <row r="81" spans="1:25">
      <c r="A81" s="61"/>
      <c r="B81" s="76"/>
      <c r="C81" s="20"/>
      <c r="D81" s="22"/>
      <c r="E81" s="20"/>
      <c r="F81" s="17"/>
      <c r="G81" s="22"/>
      <c r="H81" s="236"/>
      <c r="I81" s="22"/>
      <c r="J81" s="76"/>
      <c r="K81" s="236"/>
      <c r="L81" s="17"/>
      <c r="M81" s="17"/>
      <c r="N81" s="22"/>
      <c r="O81" s="236"/>
      <c r="P81" s="17"/>
      <c r="Q81" s="22"/>
      <c r="R81" s="236"/>
      <c r="S81" s="261"/>
      <c r="T81" s="20"/>
      <c r="U81" s="17"/>
      <c r="V81" s="17"/>
      <c r="W81" s="17"/>
      <c r="X81" s="17"/>
      <c r="Y81" s="22"/>
    </row>
    <row r="82" spans="1:25">
      <c r="A82" s="61" t="s">
        <v>125</v>
      </c>
      <c r="B82" s="76">
        <f>SUM(C82:Y82)</f>
        <v>0</v>
      </c>
      <c r="C82" s="20">
        <v>0</v>
      </c>
      <c r="D82" s="22">
        <v>0</v>
      </c>
      <c r="E82" s="20">
        <v>0</v>
      </c>
      <c r="F82" s="17">
        <v>0</v>
      </c>
      <c r="G82" s="22">
        <v>0</v>
      </c>
      <c r="H82" s="236">
        <v>0</v>
      </c>
      <c r="I82" s="22">
        <v>0</v>
      </c>
      <c r="J82" s="76">
        <v>0</v>
      </c>
      <c r="K82" s="236">
        <v>0</v>
      </c>
      <c r="L82" s="17">
        <v>0</v>
      </c>
      <c r="M82" s="17">
        <v>0</v>
      </c>
      <c r="N82" s="22">
        <v>0</v>
      </c>
      <c r="O82" s="236">
        <v>0</v>
      </c>
      <c r="P82" s="17">
        <v>0</v>
      </c>
      <c r="Q82" s="22">
        <v>0</v>
      </c>
      <c r="R82" s="236">
        <v>0</v>
      </c>
      <c r="S82" s="261">
        <v>0</v>
      </c>
      <c r="T82" s="18"/>
      <c r="U82" s="57"/>
      <c r="V82" s="57"/>
      <c r="W82" s="57"/>
      <c r="X82" s="57"/>
      <c r="Y82" s="114"/>
    </row>
    <row r="83" spans="1:25">
      <c r="A83" s="61" t="s">
        <v>126</v>
      </c>
      <c r="B83" s="76">
        <f>SUM(C83:Y83)</f>
        <v>-16635559.643705789</v>
      </c>
      <c r="C83" s="20">
        <f>C80-C82</f>
        <v>12402155.109999999</v>
      </c>
      <c r="D83" s="22">
        <f t="shared" ref="D83:Y83" si="37">D80-D82</f>
        <v>-17062.670165353691</v>
      </c>
      <c r="E83" s="20">
        <f t="shared" si="37"/>
        <v>-373894.73111577908</v>
      </c>
      <c r="F83" s="17">
        <f t="shared" si="37"/>
        <v>-237140.69999999995</v>
      </c>
      <c r="G83" s="22">
        <f t="shared" si="37"/>
        <v>62223.830000068992</v>
      </c>
      <c r="H83" s="236">
        <f t="shared" si="37"/>
        <v>0</v>
      </c>
      <c r="I83" s="22">
        <f t="shared" si="37"/>
        <v>1178569.3667911782</v>
      </c>
      <c r="J83" s="76">
        <f t="shared" si="37"/>
        <v>0</v>
      </c>
      <c r="K83" s="236">
        <f t="shared" si="37"/>
        <v>0</v>
      </c>
      <c r="L83" s="17">
        <f t="shared" si="37"/>
        <v>0</v>
      </c>
      <c r="M83" s="17">
        <f t="shared" si="37"/>
        <v>396368</v>
      </c>
      <c r="N83" s="22">
        <f t="shared" si="37"/>
        <v>32248.540000000008</v>
      </c>
      <c r="O83" s="236">
        <f t="shared" si="37"/>
        <v>0</v>
      </c>
      <c r="P83" s="17">
        <f t="shared" si="37"/>
        <v>-130357.48669087561</v>
      </c>
      <c r="Q83" s="22">
        <f t="shared" si="37"/>
        <v>0</v>
      </c>
      <c r="R83" s="236">
        <f t="shared" si="37"/>
        <v>0</v>
      </c>
      <c r="S83" s="261">
        <f t="shared" si="37"/>
        <v>0</v>
      </c>
      <c r="T83" s="18">
        <f t="shared" si="37"/>
        <v>4784094.8380285027</v>
      </c>
      <c r="U83" s="57">
        <f t="shared" ref="U83:W83" si="38">U80-U82</f>
        <v>-34770223.550753132</v>
      </c>
      <c r="V83" s="57">
        <f t="shared" si="38"/>
        <v>77854.701909393276</v>
      </c>
      <c r="W83" s="57">
        <f t="shared" si="38"/>
        <v>211059.42648122436</v>
      </c>
      <c r="X83" s="57">
        <f t="shared" si="37"/>
        <v>0</v>
      </c>
      <c r="Y83" s="114">
        <f t="shared" si="37"/>
        <v>-251454.31819101423</v>
      </c>
    </row>
    <row r="84" spans="1:25">
      <c r="A84" s="61"/>
      <c r="B84" s="76"/>
      <c r="C84" s="20"/>
      <c r="D84" s="22"/>
      <c r="E84" s="20"/>
      <c r="F84" s="17"/>
      <c r="G84" s="22"/>
      <c r="H84" s="236"/>
      <c r="I84" s="22"/>
      <c r="J84" s="76"/>
      <c r="K84" s="236"/>
      <c r="L84" s="17"/>
      <c r="M84" s="17"/>
      <c r="N84" s="22"/>
      <c r="O84" s="236"/>
      <c r="P84" s="17"/>
      <c r="Q84" s="22"/>
      <c r="R84" s="236"/>
      <c r="S84" s="261"/>
      <c r="T84" s="18"/>
      <c r="U84" s="57"/>
      <c r="V84" s="57"/>
      <c r="W84" s="57"/>
      <c r="X84" s="57"/>
      <c r="Y84" s="114"/>
    </row>
    <row r="85" spans="1:25">
      <c r="A85" s="61" t="s">
        <v>198</v>
      </c>
      <c r="B85" s="76">
        <f>SUM(C85:Y85)</f>
        <v>-5822445.8752970258</v>
      </c>
      <c r="C85" s="20">
        <f>C83*0.35</f>
        <v>4340754.2884999998</v>
      </c>
      <c r="D85" s="22">
        <f t="shared" ref="D85:Y85" si="39">D83*0.35</f>
        <v>-5971.9345578737912</v>
      </c>
      <c r="E85" s="20">
        <f t="shared" si="39"/>
        <v>-130863.15589052267</v>
      </c>
      <c r="F85" s="17">
        <f t="shared" si="39"/>
        <v>-82999.244999999981</v>
      </c>
      <c r="G85" s="22">
        <f t="shared" si="39"/>
        <v>21778.340500024147</v>
      </c>
      <c r="H85" s="236">
        <f t="shared" si="39"/>
        <v>0</v>
      </c>
      <c r="I85" s="22">
        <f t="shared" si="39"/>
        <v>412499.27837691235</v>
      </c>
      <c r="J85" s="76">
        <f t="shared" si="39"/>
        <v>0</v>
      </c>
      <c r="K85" s="236">
        <f t="shared" si="39"/>
        <v>0</v>
      </c>
      <c r="L85" s="17">
        <f t="shared" si="39"/>
        <v>0</v>
      </c>
      <c r="M85" s="17">
        <f t="shared" si="39"/>
        <v>138728.79999999999</v>
      </c>
      <c r="N85" s="22">
        <f t="shared" si="39"/>
        <v>11286.989000000001</v>
      </c>
      <c r="O85" s="236">
        <f t="shared" si="39"/>
        <v>0</v>
      </c>
      <c r="P85" s="17">
        <f t="shared" si="39"/>
        <v>-45625.120341806462</v>
      </c>
      <c r="Q85" s="22">
        <f t="shared" si="39"/>
        <v>0</v>
      </c>
      <c r="R85" s="236">
        <f t="shared" si="39"/>
        <v>0</v>
      </c>
      <c r="S85" s="261">
        <f t="shared" si="39"/>
        <v>0</v>
      </c>
      <c r="T85" s="18">
        <f t="shared" si="39"/>
        <v>1674433.1933099758</v>
      </c>
      <c r="U85" s="57">
        <f t="shared" ref="U85:W85" si="40">U83*0.35</f>
        <v>-12169578.242763596</v>
      </c>
      <c r="V85" s="57">
        <f t="shared" si="40"/>
        <v>27249.145668287645</v>
      </c>
      <c r="W85" s="57">
        <f t="shared" si="40"/>
        <v>73870.799268428527</v>
      </c>
      <c r="X85" s="57">
        <f t="shared" si="39"/>
        <v>0</v>
      </c>
      <c r="Y85" s="114">
        <f t="shared" si="39"/>
        <v>-88009.011366854975</v>
      </c>
    </row>
    <row r="86" spans="1:25">
      <c r="A86" s="61" t="s">
        <v>199</v>
      </c>
      <c r="B86" s="76">
        <f>SUM(C86:Y86)</f>
        <v>-5638736.2665997902</v>
      </c>
      <c r="C86" s="20"/>
      <c r="D86" s="22"/>
      <c r="E86" s="20"/>
      <c r="F86" s="17"/>
      <c r="G86" s="22"/>
      <c r="H86" s="236"/>
      <c r="I86" s="22"/>
      <c r="J86" s="76"/>
      <c r="K86" s="236"/>
      <c r="L86" s="17">
        <f>'[41]Lead Sheet'!$I$9</f>
        <v>-5638736.2665997902</v>
      </c>
      <c r="M86" s="17"/>
      <c r="N86" s="22"/>
      <c r="O86" s="236"/>
      <c r="P86" s="17"/>
      <c r="Q86" s="22"/>
      <c r="R86" s="236"/>
      <c r="S86" s="261"/>
      <c r="T86" s="18"/>
      <c r="U86" s="57"/>
      <c r="V86" s="57"/>
      <c r="W86" s="57"/>
      <c r="X86" s="57"/>
      <c r="Y86" s="114"/>
    </row>
    <row r="87" spans="1:25" s="57" customFormat="1" ht="13.5" thickBot="1">
      <c r="A87" s="61" t="s">
        <v>200</v>
      </c>
      <c r="B87" s="118">
        <f>SUM(C87:Y87)</f>
        <v>-11461182.141896816</v>
      </c>
      <c r="C87" s="115">
        <f>C85+C86</f>
        <v>4340754.2884999998</v>
      </c>
      <c r="D87" s="117">
        <f t="shared" ref="D87:Y87" si="41">D85+D86</f>
        <v>-5971.9345578737912</v>
      </c>
      <c r="E87" s="115">
        <f t="shared" si="41"/>
        <v>-130863.15589052267</v>
      </c>
      <c r="F87" s="116">
        <f t="shared" si="41"/>
        <v>-82999.244999999981</v>
      </c>
      <c r="G87" s="117">
        <f t="shared" si="41"/>
        <v>21778.340500024147</v>
      </c>
      <c r="H87" s="254">
        <f t="shared" si="41"/>
        <v>0</v>
      </c>
      <c r="I87" s="117">
        <f t="shared" si="41"/>
        <v>412499.27837691235</v>
      </c>
      <c r="J87" s="118">
        <f t="shared" si="41"/>
        <v>0</v>
      </c>
      <c r="K87" s="254">
        <f t="shared" si="41"/>
        <v>0</v>
      </c>
      <c r="L87" s="116">
        <f t="shared" si="41"/>
        <v>-5638736.2665997902</v>
      </c>
      <c r="M87" s="116">
        <f t="shared" si="41"/>
        <v>138728.79999999999</v>
      </c>
      <c r="N87" s="117">
        <f t="shared" si="41"/>
        <v>11286.989000000001</v>
      </c>
      <c r="O87" s="254">
        <f t="shared" si="41"/>
        <v>0</v>
      </c>
      <c r="P87" s="116">
        <f t="shared" si="41"/>
        <v>-45625.120341806462</v>
      </c>
      <c r="Q87" s="117">
        <f t="shared" si="41"/>
        <v>0</v>
      </c>
      <c r="R87" s="254">
        <f t="shared" si="41"/>
        <v>0</v>
      </c>
      <c r="S87" s="271">
        <f t="shared" si="41"/>
        <v>0</v>
      </c>
      <c r="T87" s="296">
        <f t="shared" si="41"/>
        <v>1674433.1933099758</v>
      </c>
      <c r="U87" s="62">
        <f t="shared" ref="U87:W87" si="42">U85+U86</f>
        <v>-12169578.242763596</v>
      </c>
      <c r="V87" s="62">
        <f t="shared" si="42"/>
        <v>27249.145668287645</v>
      </c>
      <c r="W87" s="62">
        <f t="shared" si="42"/>
        <v>73870.799268428527</v>
      </c>
      <c r="X87" s="62">
        <f t="shared" si="41"/>
        <v>0</v>
      </c>
      <c r="Y87" s="63">
        <f t="shared" si="41"/>
        <v>-88009.011366854975</v>
      </c>
    </row>
    <row r="88" spans="1:25" s="57" customFormat="1">
      <c r="A88" s="61"/>
      <c r="B88" s="17"/>
      <c r="C88" s="17"/>
      <c r="D88" s="17"/>
      <c r="E88" s="17"/>
      <c r="F88" s="17"/>
      <c r="G88" s="17"/>
      <c r="H88" s="17"/>
      <c r="I88" s="17"/>
      <c r="J88" s="17"/>
      <c r="K88" s="64"/>
      <c r="L88" s="17"/>
      <c r="M88" s="17"/>
      <c r="N88" s="17"/>
      <c r="O88" s="64"/>
      <c r="P88" s="17"/>
      <c r="Q88" s="17"/>
      <c r="R88" s="17"/>
      <c r="S88" s="17"/>
      <c r="T88" s="41"/>
      <c r="U88" s="41"/>
      <c r="V88" s="41"/>
      <c r="W88" s="41"/>
      <c r="X88" s="41"/>
      <c r="Y88" s="41"/>
    </row>
    <row r="89" spans="1:25" s="57" customFormat="1">
      <c r="A89" s="61"/>
      <c r="B89" s="17"/>
      <c r="C89" s="17"/>
      <c r="D89" s="17"/>
      <c r="E89" s="17"/>
      <c r="F89" s="17"/>
      <c r="G89" s="17"/>
      <c r="H89" s="17"/>
      <c r="I89" s="17"/>
      <c r="J89" s="17"/>
      <c r="K89" s="64"/>
      <c r="L89" s="17"/>
      <c r="M89" s="17"/>
      <c r="N89" s="17"/>
      <c r="O89" s="64"/>
      <c r="P89" s="17"/>
      <c r="Q89" s="17"/>
      <c r="R89" s="17"/>
      <c r="S89" s="17"/>
      <c r="T89" s="61"/>
      <c r="U89" s="61"/>
      <c r="V89" s="61"/>
      <c r="W89" s="61"/>
      <c r="X89" s="61"/>
      <c r="Y89" s="61"/>
    </row>
    <row r="90" spans="1:25" s="57" customFormat="1">
      <c r="A90" s="88"/>
      <c r="B90" s="17"/>
      <c r="C90" s="17"/>
      <c r="D90" s="17"/>
      <c r="E90" s="17"/>
      <c r="F90" s="17"/>
      <c r="G90" s="17"/>
      <c r="H90" s="17"/>
      <c r="I90" s="17"/>
      <c r="J90" s="17"/>
      <c r="K90" s="64"/>
      <c r="L90" s="17"/>
      <c r="M90" s="17"/>
      <c r="N90" s="17"/>
      <c r="O90" s="64"/>
      <c r="P90" s="17"/>
      <c r="Q90" s="17"/>
      <c r="R90" s="17"/>
      <c r="S90" s="17"/>
      <c r="T90" s="17"/>
      <c r="U90" s="17"/>
      <c r="V90" s="17"/>
      <c r="W90" s="17"/>
      <c r="X90" s="17"/>
      <c r="Y90" s="17"/>
    </row>
    <row r="91" spans="1:25" s="57" customFormat="1">
      <c r="A91" s="61"/>
      <c r="B91" s="17"/>
      <c r="C91" s="17"/>
      <c r="D91" s="17"/>
      <c r="E91" s="17"/>
      <c r="F91" s="17"/>
      <c r="G91" s="17"/>
      <c r="H91" s="17"/>
      <c r="I91" s="17"/>
      <c r="J91" s="17"/>
      <c r="K91" s="64"/>
      <c r="L91" s="17"/>
      <c r="M91" s="17"/>
      <c r="N91" s="17"/>
      <c r="O91" s="64"/>
      <c r="P91" s="17"/>
      <c r="Q91" s="17"/>
      <c r="R91" s="17"/>
      <c r="S91" s="17"/>
      <c r="T91" s="17"/>
      <c r="U91" s="17"/>
      <c r="V91" s="17"/>
      <c r="W91" s="17"/>
      <c r="X91" s="17"/>
      <c r="Y91" s="17"/>
    </row>
    <row r="92" spans="1:25" s="57" customFormat="1">
      <c r="A92" s="61"/>
      <c r="K92" s="2"/>
      <c r="O92" s="2"/>
    </row>
    <row r="93" spans="1:25" s="57" customFormat="1">
      <c r="A93" s="113"/>
      <c r="K93" s="2"/>
      <c r="O93" s="2"/>
    </row>
    <row r="94" spans="1:25" s="57" customFormat="1">
      <c r="K94" s="2"/>
      <c r="O94" s="2"/>
      <c r="T94" s="3"/>
      <c r="U94" s="3"/>
      <c r="V94" s="3"/>
      <c r="W94" s="3"/>
      <c r="X94" s="3"/>
      <c r="Y94" s="3"/>
    </row>
  </sheetData>
  <mergeCells count="1">
    <mergeCell ref="T7:Y7"/>
  </mergeCells>
  <phoneticPr fontId="3" type="noConversion"/>
  <pageMargins left="0.45" right="0.25" top="0.75" bottom="0.5" header="0.4" footer="0.5"/>
  <pageSetup scale="60" fitToWidth="6" orientation="portrait" r:id="rId1"/>
  <headerFooter alignWithMargins="0">
    <oddHeader xml:space="preserve">&amp;L&amp;12PacifiCorp
Washington General Rate Case - December 2009
Summary of Pro forma Adjustments (Rebuttal Position)&amp;R&amp;12Exhibit No.___(RBD-6) - Revised 12/10/10
Page 1.&amp;P+22
</oddHeader>
  </headerFooter>
  <colBreaks count="3" manualBreakCount="3">
    <brk id="7" max="1048575" man="1"/>
    <brk id="14" max="1048575" man="1"/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8"/>
  <sheetViews>
    <sheetView zoomScale="85" zoomScaleNormal="85" workbookViewId="0">
      <selection activeCell="F46" sqref="F46"/>
    </sheetView>
  </sheetViews>
  <sheetFormatPr defaultRowHeight="12.75"/>
  <cols>
    <col min="1" max="1" width="3" style="87" customWidth="1"/>
    <col min="2" max="2" width="63.140625" style="87" customWidth="1"/>
    <col min="3" max="3" width="16.5703125" style="87" customWidth="1"/>
    <col min="4" max="4" width="27.7109375" style="87" customWidth="1"/>
    <col min="5" max="5" width="19" style="87" customWidth="1"/>
    <col min="6" max="6" width="10.5703125" style="87" bestFit="1" customWidth="1"/>
    <col min="7" max="16384" width="9.140625" style="87"/>
  </cols>
  <sheetData>
    <row r="1" spans="2:4">
      <c r="B1" s="132" t="s">
        <v>60</v>
      </c>
    </row>
    <row r="2" spans="2:4">
      <c r="B2" s="132" t="s">
        <v>216</v>
      </c>
    </row>
    <row r="3" spans="2:4">
      <c r="B3" s="132" t="s">
        <v>221</v>
      </c>
    </row>
    <row r="5" spans="2:4">
      <c r="B5" s="133" t="s">
        <v>217</v>
      </c>
      <c r="D5" s="206" t="s">
        <v>256</v>
      </c>
    </row>
    <row r="6" spans="2:4">
      <c r="B6" s="132" t="s">
        <v>172</v>
      </c>
      <c r="C6" s="5">
        <v>0</v>
      </c>
      <c r="D6" s="205" t="s">
        <v>261</v>
      </c>
    </row>
    <row r="7" spans="2:4">
      <c r="D7" s="172"/>
    </row>
    <row r="8" spans="2:4">
      <c r="B8" s="184" t="s">
        <v>231</v>
      </c>
      <c r="D8" s="172"/>
    </row>
    <row r="9" spans="2:4">
      <c r="B9" s="185" t="s">
        <v>232</v>
      </c>
      <c r="C9" s="194">
        <f>Summary!F26</f>
        <v>240320813.98055631</v>
      </c>
      <c r="D9" s="202" t="s">
        <v>257</v>
      </c>
    </row>
    <row r="10" spans="2:4">
      <c r="B10" s="186" t="s">
        <v>229</v>
      </c>
      <c r="C10" s="19"/>
      <c r="D10" s="201"/>
    </row>
    <row r="11" spans="2:4">
      <c r="B11" s="187" t="s">
        <v>230</v>
      </c>
      <c r="C11" s="19">
        <f>-[1]Report!$K$377</f>
        <v>-331425.601479618</v>
      </c>
      <c r="D11" s="201" t="s">
        <v>258</v>
      </c>
    </row>
    <row r="12" spans="2:4">
      <c r="B12" s="188" t="s">
        <v>233</v>
      </c>
      <c r="C12" s="19">
        <f>-[1]Report!$K$390</f>
        <v>-35851280.58592236</v>
      </c>
      <c r="D12" s="201" t="s">
        <v>259</v>
      </c>
    </row>
    <row r="13" spans="2:4">
      <c r="B13" s="187" t="s">
        <v>234</v>
      </c>
      <c r="C13" s="195">
        <f>-[1]Report!$K$644</f>
        <v>-40562599.875692278</v>
      </c>
      <c r="D13" s="201" t="s">
        <v>260</v>
      </c>
    </row>
    <row r="14" spans="2:4">
      <c r="B14" s="187" t="s">
        <v>235</v>
      </c>
      <c r="C14" s="19">
        <f>-[1]Report!$K$704</f>
        <v>8025121</v>
      </c>
      <c r="D14" s="201" t="s">
        <v>262</v>
      </c>
    </row>
    <row r="15" spans="2:4">
      <c r="B15" s="188" t="s">
        <v>236</v>
      </c>
      <c r="C15" s="196">
        <f>-[1]Report!$K$715</f>
        <v>-84327279.147866249</v>
      </c>
      <c r="D15" s="201" t="s">
        <v>263</v>
      </c>
    </row>
    <row r="16" spans="2:4">
      <c r="B16" s="189" t="s">
        <v>237</v>
      </c>
      <c r="C16" s="194">
        <f>SUBTOTAL(9,C11:C15)</f>
        <v>-153047464.21096051</v>
      </c>
      <c r="D16" s="201"/>
    </row>
    <row r="17" spans="2:5">
      <c r="B17" s="188"/>
      <c r="C17" s="195"/>
      <c r="D17" s="201"/>
    </row>
    <row r="18" spans="2:5">
      <c r="B18" s="186" t="s">
        <v>238</v>
      </c>
      <c r="C18" s="195"/>
      <c r="D18" s="201"/>
    </row>
    <row r="19" spans="2:5">
      <c r="B19" s="188" t="s">
        <v>239</v>
      </c>
      <c r="C19" s="195">
        <f>-'[42]Lead Sheet - 5.1'!$I$30</f>
        <v>1306516.3102050694</v>
      </c>
      <c r="D19" s="201" t="s">
        <v>341</v>
      </c>
    </row>
    <row r="20" spans="2:5">
      <c r="B20" s="188" t="s">
        <v>240</v>
      </c>
      <c r="C20" s="195">
        <f>-'[42]Lead Sheet - 5.1'!$I$31</f>
        <v>1654574.4183215983</v>
      </c>
      <c r="D20" s="201" t="s">
        <v>341</v>
      </c>
    </row>
    <row r="21" spans="2:5">
      <c r="B21" s="190" t="s">
        <v>241</v>
      </c>
      <c r="C21" s="19">
        <f>-'[42]Lead Sheet - 5.1'!$I$21</f>
        <v>4235345.8895238079</v>
      </c>
      <c r="D21" s="201" t="s">
        <v>341</v>
      </c>
    </row>
    <row r="22" spans="2:5">
      <c r="B22" s="190" t="s">
        <v>242</v>
      </c>
      <c r="C22" s="197">
        <f>-'[10]Lead Sheet'!$I$12</f>
        <v>-8025121</v>
      </c>
      <c r="D22" s="201" t="s">
        <v>342</v>
      </c>
    </row>
    <row r="23" spans="2:5">
      <c r="B23" s="190" t="s">
        <v>243</v>
      </c>
      <c r="C23" s="19">
        <f>-SUM('[6]Lead Sheet 4.2'!$I$14:$I$16)</f>
        <v>280.23387541312576</v>
      </c>
      <c r="D23" s="201" t="s">
        <v>343</v>
      </c>
    </row>
    <row r="24" spans="2:5">
      <c r="B24" s="189" t="s">
        <v>244</v>
      </c>
      <c r="C24" s="198">
        <f>SUBTOTAL(9,C19:C23)</f>
        <v>-828404.14807411132</v>
      </c>
      <c r="D24" s="203"/>
    </row>
    <row r="25" spans="2:5">
      <c r="B25" s="190"/>
      <c r="C25" s="19"/>
      <c r="D25" s="201"/>
    </row>
    <row r="26" spans="2:5" ht="13.5" thickBot="1">
      <c r="B26" s="191" t="s">
        <v>245</v>
      </c>
      <c r="C26" s="198">
        <f>SUBTOTAL(9,C9:C24)</f>
        <v>86444945.621521682</v>
      </c>
      <c r="D26" s="201"/>
    </row>
    <row r="27" spans="2:5">
      <c r="B27" s="189"/>
      <c r="C27" s="199">
        <f>1/8</f>
        <v>0.125</v>
      </c>
      <c r="D27" s="203"/>
      <c r="E27" s="182" t="s">
        <v>226</v>
      </c>
    </row>
    <row r="28" spans="2:5" ht="13.5" thickBot="1">
      <c r="B28" s="184" t="s">
        <v>246</v>
      </c>
      <c r="C28" s="194">
        <f>C26*C27</f>
        <v>10805618.20269021</v>
      </c>
      <c r="D28" s="204"/>
      <c r="E28" s="183">
        <f>C28-C6</f>
        <v>10805618.20269021</v>
      </c>
    </row>
    <row r="29" spans="2:5">
      <c r="B29" s="192"/>
      <c r="C29" s="194"/>
      <c r="D29" s="204"/>
    </row>
    <row r="30" spans="2:5">
      <c r="B30" s="184" t="s">
        <v>247</v>
      </c>
      <c r="C30" s="19"/>
      <c r="D30" s="205"/>
    </row>
    <row r="31" spans="2:5">
      <c r="B31" s="184" t="s">
        <v>248</v>
      </c>
      <c r="C31" s="194">
        <f>Summary!J26</f>
        <v>227563665.88818601</v>
      </c>
      <c r="D31" s="202" t="s">
        <v>264</v>
      </c>
    </row>
    <row r="32" spans="2:5">
      <c r="B32" s="188" t="s">
        <v>228</v>
      </c>
      <c r="C32" s="19">
        <f>C16</f>
        <v>-153047464.21096051</v>
      </c>
      <c r="D32" s="205" t="s">
        <v>255</v>
      </c>
    </row>
    <row r="33" spans="2:6">
      <c r="B33" s="188" t="s">
        <v>249</v>
      </c>
      <c r="C33" s="19">
        <f>C24</f>
        <v>-828404.14807411132</v>
      </c>
      <c r="D33" s="205" t="s">
        <v>255</v>
      </c>
    </row>
    <row r="34" spans="2:6">
      <c r="B34" s="190"/>
      <c r="C34" s="17"/>
      <c r="D34" s="205"/>
    </row>
    <row r="35" spans="2:6">
      <c r="B35" s="186" t="s">
        <v>250</v>
      </c>
      <c r="C35" s="200"/>
      <c r="D35" s="205"/>
    </row>
    <row r="36" spans="2:6">
      <c r="B36" s="188" t="s">
        <v>296</v>
      </c>
      <c r="C36" s="19">
        <f>-'[42]Lead Sheet - 12.6'!$I$30</f>
        <v>-3898053.4118813579</v>
      </c>
      <c r="D36" s="202" t="s">
        <v>344</v>
      </c>
    </row>
    <row r="37" spans="2:6">
      <c r="B37" s="188" t="s">
        <v>297</v>
      </c>
      <c r="C37" s="195">
        <f>-'[42]Lead Sheet - 12.6'!$I$31</f>
        <v>-2680028.4647450736</v>
      </c>
      <c r="D37" s="202" t="s">
        <v>344</v>
      </c>
    </row>
    <row r="38" spans="2:6">
      <c r="B38" s="190" t="s">
        <v>298</v>
      </c>
      <c r="C38" s="19">
        <f>-'[42]Lead Sheet - 12.6'!$I$21</f>
        <v>22001083.43130691</v>
      </c>
      <c r="D38" s="202" t="s">
        <v>344</v>
      </c>
    </row>
    <row r="39" spans="2:6">
      <c r="B39" s="188" t="s">
        <v>299</v>
      </c>
      <c r="C39" s="195">
        <f>-SUM('[33]Lead Sheet'!$I$29:$I$31,'[33]Lead Sheet'!$I$52)</f>
        <v>68532.778984652512</v>
      </c>
      <c r="D39" s="201" t="s">
        <v>345</v>
      </c>
    </row>
    <row r="40" spans="2:6">
      <c r="B40" s="188" t="s">
        <v>300</v>
      </c>
      <c r="C40" s="19">
        <f>-'[33]Lead Sheet'!$I$53</f>
        <v>73513.538259193301</v>
      </c>
      <c r="D40" s="205" t="s">
        <v>346</v>
      </c>
    </row>
    <row r="41" spans="2:6">
      <c r="B41" s="190" t="s">
        <v>301</v>
      </c>
      <c r="C41" s="19">
        <f>-SUM('[33]Lead Sheet'!$I$47:$I$49)</f>
        <v>102684.8700173893</v>
      </c>
      <c r="D41" s="205" t="s">
        <v>346</v>
      </c>
    </row>
    <row r="42" spans="2:6">
      <c r="B42" s="188" t="s">
        <v>251</v>
      </c>
      <c r="C42" s="19">
        <f>-SUM('[6]Lead Sheet 4.3'!$I$14:$I$16)</f>
        <v>3622.5799944048504</v>
      </c>
      <c r="D42" s="205" t="s">
        <v>347</v>
      </c>
    </row>
    <row r="43" spans="2:6">
      <c r="B43" s="184" t="s">
        <v>252</v>
      </c>
      <c r="C43" s="198">
        <f>SUBTOTAL(9,C36:C42)</f>
        <v>15671355.321936117</v>
      </c>
      <c r="D43" s="205"/>
    </row>
    <row r="44" spans="2:6">
      <c r="B44" s="193"/>
      <c r="C44" s="201"/>
      <c r="D44" s="205"/>
    </row>
    <row r="45" spans="2:6" ht="13.5" thickBot="1">
      <c r="B45" s="191" t="s">
        <v>253</v>
      </c>
      <c r="C45" s="198">
        <f>SUBTOTAL(9,C31:C43)</f>
        <v>89359152.851087525</v>
      </c>
      <c r="D45" s="205"/>
    </row>
    <row r="46" spans="2:6">
      <c r="B46" s="189"/>
      <c r="C46" s="199">
        <f>1/8</f>
        <v>0.125</v>
      </c>
      <c r="D46" s="205"/>
      <c r="E46" s="182" t="s">
        <v>227</v>
      </c>
    </row>
    <row r="47" spans="2:6" ht="13.5" thickBot="1">
      <c r="B47" s="184" t="s">
        <v>254</v>
      </c>
      <c r="C47" s="200">
        <f>C45*C46</f>
        <v>11169894.106385941</v>
      </c>
      <c r="D47" s="205" t="s">
        <v>261</v>
      </c>
      <c r="E47" s="183">
        <f>C47-C28</f>
        <v>364275.90369573049</v>
      </c>
      <c r="F47" s="54"/>
    </row>
    <row r="48" spans="2:6">
      <c r="D48" s="172"/>
    </row>
  </sheetData>
  <pageMargins left="0.7" right="0.7" top="0.75" bottom="0.75" header="0.3" footer="0.3"/>
  <pageSetup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D26"/>
  <sheetViews>
    <sheetView zoomScale="85" zoomScaleNormal="85" workbookViewId="0">
      <selection activeCell="C26" sqref="C26"/>
    </sheetView>
  </sheetViews>
  <sheetFormatPr defaultRowHeight="12.75"/>
  <cols>
    <col min="1" max="1" width="3.140625" style="87" customWidth="1"/>
    <col min="2" max="2" width="42.28515625" style="87" customWidth="1"/>
    <col min="3" max="3" width="16.28515625" style="87" customWidth="1"/>
    <col min="4" max="4" width="26.28515625" style="87" customWidth="1"/>
    <col min="5" max="5" width="14" style="87" bestFit="1" customWidth="1"/>
    <col min="6" max="16384" width="9.140625" style="87"/>
  </cols>
  <sheetData>
    <row r="1" spans="2:4">
      <c r="B1" s="132" t="s">
        <v>60</v>
      </c>
    </row>
    <row r="2" spans="2:4">
      <c r="B2" s="132" t="s">
        <v>216</v>
      </c>
    </row>
    <row r="3" spans="2:4">
      <c r="B3" s="132" t="s">
        <v>187</v>
      </c>
    </row>
    <row r="5" spans="2:4">
      <c r="B5" s="133" t="s">
        <v>217</v>
      </c>
      <c r="D5" s="206" t="s">
        <v>256</v>
      </c>
    </row>
    <row r="6" spans="2:4">
      <c r="B6" s="87" t="s">
        <v>188</v>
      </c>
      <c r="C6" s="3">
        <f>Summary!B74</f>
        <v>25236151.190422058</v>
      </c>
      <c r="D6" s="207" t="s">
        <v>265</v>
      </c>
    </row>
    <row r="9" spans="2:4">
      <c r="B9" s="133" t="s">
        <v>193</v>
      </c>
    </row>
    <row r="10" spans="2:4">
      <c r="B10" s="87" t="s">
        <v>189</v>
      </c>
      <c r="C10" s="3">
        <f>Summary!F64</f>
        <v>766131032.52991462</v>
      </c>
      <c r="D10" s="207" t="s">
        <v>267</v>
      </c>
    </row>
    <row r="11" spans="2:4">
      <c r="B11" s="87" t="s">
        <v>190</v>
      </c>
      <c r="C11" s="154">
        <f>Variables!$E$8</f>
        <v>2.80364E-2</v>
      </c>
      <c r="D11" s="87" t="s">
        <v>270</v>
      </c>
    </row>
    <row r="12" spans="2:4">
      <c r="B12" s="87" t="s">
        <v>191</v>
      </c>
      <c r="C12" s="3">
        <f>C10*C11</f>
        <v>21479556.080421697</v>
      </c>
      <c r="D12" s="207" t="s">
        <v>266</v>
      </c>
    </row>
    <row r="14" spans="2:4">
      <c r="B14" s="87" t="s">
        <v>188</v>
      </c>
      <c r="C14" s="3">
        <f>Summary!B74</f>
        <v>25236151.190422058</v>
      </c>
      <c r="D14" s="87" t="s">
        <v>255</v>
      </c>
    </row>
    <row r="16" spans="2:4">
      <c r="B16" s="87" t="s">
        <v>192</v>
      </c>
      <c r="C16" s="3">
        <f>C12-C14</f>
        <v>-3756595.1100003608</v>
      </c>
      <c r="D16" s="87" t="s">
        <v>348</v>
      </c>
    </row>
    <row r="19" spans="2:4">
      <c r="B19" s="133" t="s">
        <v>194</v>
      </c>
    </row>
    <row r="20" spans="2:4">
      <c r="B20" s="87" t="s">
        <v>195</v>
      </c>
      <c r="C20" s="3">
        <f>Summary!J64</f>
        <v>775099884.38646591</v>
      </c>
      <c r="D20" s="207" t="s">
        <v>269</v>
      </c>
    </row>
    <row r="21" spans="2:4">
      <c r="B21" s="87" t="s">
        <v>190</v>
      </c>
      <c r="C21" s="154">
        <f>Variables!$E$8</f>
        <v>2.80364E-2</v>
      </c>
      <c r="D21" s="87" t="s">
        <v>270</v>
      </c>
    </row>
    <row r="22" spans="2:4">
      <c r="B22" s="87" t="s">
        <v>196</v>
      </c>
      <c r="C22" s="3">
        <f>C20*C21</f>
        <v>21731010.398612712</v>
      </c>
      <c r="D22" s="207" t="s">
        <v>268</v>
      </c>
    </row>
    <row r="24" spans="2:4">
      <c r="B24" s="87" t="s">
        <v>191</v>
      </c>
      <c r="C24" s="3">
        <f>C12</f>
        <v>21479556.080421697</v>
      </c>
      <c r="D24" s="208" t="s">
        <v>255</v>
      </c>
    </row>
    <row r="26" spans="2:4">
      <c r="B26" s="87" t="s">
        <v>197</v>
      </c>
      <c r="C26" s="3">
        <f>C22-C24</f>
        <v>251454.31819101423</v>
      </c>
      <c r="D26" s="87" t="s">
        <v>348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35"/>
  <sheetViews>
    <sheetView showGridLines="0" zoomScale="85" zoomScaleNormal="85" workbookViewId="0">
      <selection activeCell="D16" sqref="D16"/>
    </sheetView>
  </sheetViews>
  <sheetFormatPr defaultRowHeight="12.75"/>
  <cols>
    <col min="1" max="1" width="3.85546875" style="87" customWidth="1"/>
    <col min="2" max="5" width="15.7109375" style="87" customWidth="1"/>
    <col min="6" max="16384" width="9.140625" style="87"/>
  </cols>
  <sheetData>
    <row r="1" spans="2:5">
      <c r="B1" s="132" t="s">
        <v>60</v>
      </c>
    </row>
    <row r="2" spans="2:5">
      <c r="B2" s="132" t="s">
        <v>216</v>
      </c>
    </row>
    <row r="3" spans="2:5">
      <c r="B3" s="132" t="s">
        <v>220</v>
      </c>
    </row>
    <row r="6" spans="2:5">
      <c r="B6" s="161" t="s">
        <v>218</v>
      </c>
      <c r="C6" s="170"/>
      <c r="D6" s="170"/>
      <c r="E6" s="170"/>
    </row>
    <row r="7" spans="2:5" s="172" customFormat="1">
      <c r="B7" s="162"/>
      <c r="C7" s="162" t="s">
        <v>36</v>
      </c>
      <c r="D7" s="163" t="s">
        <v>37</v>
      </c>
      <c r="E7" s="162" t="s">
        <v>38</v>
      </c>
    </row>
    <row r="8" spans="2:5">
      <c r="B8" s="164" t="s">
        <v>39</v>
      </c>
      <c r="C8" s="165">
        <v>0.47599999999999998</v>
      </c>
      <c r="D8" s="155">
        <v>5.8900000000000001E-2</v>
      </c>
      <c r="E8" s="165">
        <f>C8*D8</f>
        <v>2.80364E-2</v>
      </c>
    </row>
    <row r="9" spans="2:5">
      <c r="B9" s="164" t="s">
        <v>40</v>
      </c>
      <c r="C9" s="165">
        <v>3.0000000000000001E-3</v>
      </c>
      <c r="D9" s="155">
        <v>5.4100000000000002E-2</v>
      </c>
      <c r="E9" s="165">
        <f>C9*D9</f>
        <v>1.6230000000000001E-4</v>
      </c>
    </row>
    <row r="10" spans="2:5">
      <c r="B10" s="166" t="s">
        <v>41</v>
      </c>
      <c r="C10" s="167">
        <v>0.52100000000000002</v>
      </c>
      <c r="D10" s="156">
        <v>0.106</v>
      </c>
      <c r="E10" s="167">
        <f>C10*D10</f>
        <v>5.5225999999999997E-2</v>
      </c>
    </row>
    <row r="11" spans="2:5">
      <c r="E11" s="168">
        <f>ROUND(SUM(E8:E10),4)</f>
        <v>8.3400000000000002E-2</v>
      </c>
    </row>
    <row r="16" spans="2:5">
      <c r="B16" s="133" t="s">
        <v>213</v>
      </c>
      <c r="C16" s="173"/>
    </row>
    <row r="17" spans="2:6">
      <c r="B17" s="87" t="s">
        <v>118</v>
      </c>
      <c r="D17" s="154">
        <v>1</v>
      </c>
    </row>
    <row r="18" spans="2:6">
      <c r="D18" s="154"/>
    </row>
    <row r="19" spans="2:6">
      <c r="B19" s="87" t="s">
        <v>205</v>
      </c>
      <c r="D19" s="154"/>
    </row>
    <row r="20" spans="2:6">
      <c r="B20" s="87" t="s">
        <v>206</v>
      </c>
      <c r="D20" s="154">
        <v>5.6100000000000004E-3</v>
      </c>
      <c r="F20" s="178"/>
    </row>
    <row r="21" spans="2:6">
      <c r="B21" s="87" t="s">
        <v>204</v>
      </c>
      <c r="D21" s="154">
        <v>2E-3</v>
      </c>
    </row>
    <row r="22" spans="2:6">
      <c r="B22" s="87" t="s">
        <v>207</v>
      </c>
      <c r="D22" s="154">
        <v>3.8730000000000001E-2</v>
      </c>
    </row>
    <row r="23" spans="2:6">
      <c r="B23" s="87" t="s">
        <v>208</v>
      </c>
      <c r="D23" s="155">
        <v>0</v>
      </c>
    </row>
    <row r="24" spans="2:6">
      <c r="B24" s="87" t="s">
        <v>209</v>
      </c>
      <c r="D24" s="156">
        <v>0</v>
      </c>
    </row>
    <row r="25" spans="2:6">
      <c r="D25" s="154"/>
    </row>
    <row r="26" spans="2:6">
      <c r="B26" s="87" t="s">
        <v>210</v>
      </c>
      <c r="D26" s="174">
        <f>D17-SUM(D19:D24)</f>
        <v>0.95365999999999995</v>
      </c>
    </row>
    <row r="27" spans="2:6">
      <c r="D27" s="154"/>
    </row>
    <row r="28" spans="2:6">
      <c r="B28" s="87" t="s">
        <v>214</v>
      </c>
      <c r="D28" s="156">
        <v>0</v>
      </c>
    </row>
    <row r="29" spans="2:6">
      <c r="D29" s="154"/>
    </row>
    <row r="30" spans="2:6">
      <c r="B30" s="87" t="s">
        <v>210</v>
      </c>
      <c r="D30" s="174">
        <f>D26-D28</f>
        <v>0.95365999999999995</v>
      </c>
    </row>
    <row r="31" spans="2:6">
      <c r="D31" s="154"/>
    </row>
    <row r="32" spans="2:6">
      <c r="B32" s="87" t="s">
        <v>211</v>
      </c>
      <c r="D32" s="156">
        <f>D30*0.35</f>
        <v>0.33378099999999994</v>
      </c>
    </row>
    <row r="33" spans="2:4">
      <c r="D33" s="175"/>
    </row>
    <row r="34" spans="2:4" ht="13.5" thickBot="1">
      <c r="B34" s="87" t="s">
        <v>212</v>
      </c>
      <c r="D34" s="176">
        <f>ROUND(D30-D32,5)</f>
        <v>0.61987999999999999</v>
      </c>
    </row>
    <row r="35" spans="2:4" ht="13.5" thickTop="1">
      <c r="D35" s="177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44"/>
  <sheetViews>
    <sheetView topLeftCell="L1" zoomScale="85" zoomScaleNormal="85" workbookViewId="0">
      <selection activeCell="AD21" sqref="AD21"/>
    </sheetView>
  </sheetViews>
  <sheetFormatPr defaultRowHeight="12.75"/>
  <cols>
    <col min="1" max="1" width="36.85546875" style="87" customWidth="1"/>
    <col min="2" max="4" width="13.85546875" style="87" customWidth="1"/>
    <col min="5" max="5" width="3.140625" style="87" customWidth="1"/>
    <col min="6" max="8" width="13.85546875" style="87" customWidth="1"/>
    <col min="9" max="9" width="3.140625" style="87" customWidth="1"/>
    <col min="10" max="12" width="13.85546875" style="87" customWidth="1"/>
    <col min="13" max="13" width="3.5703125" style="87" customWidth="1"/>
    <col min="14" max="16" width="13.85546875" style="87" customWidth="1"/>
    <col min="17" max="17" width="3.5703125" style="87" customWidth="1"/>
    <col min="18" max="20" width="13.85546875" style="87" customWidth="1"/>
    <col min="21" max="21" width="3.5703125" style="87" customWidth="1"/>
    <col min="22" max="24" width="13.85546875" style="87" customWidth="1"/>
    <col min="25" max="16384" width="9.140625" style="87"/>
  </cols>
  <sheetData>
    <row r="1" spans="1:24">
      <c r="A1" s="5" t="s">
        <v>60</v>
      </c>
    </row>
    <row r="2" spans="1:24">
      <c r="A2" s="1" t="s">
        <v>61</v>
      </c>
    </row>
    <row r="3" spans="1:24">
      <c r="A3" s="1" t="s">
        <v>225</v>
      </c>
    </row>
    <row r="4" spans="1:24">
      <c r="A4" s="1"/>
    </row>
    <row r="5" spans="1:24">
      <c r="A5" s="1"/>
    </row>
    <row r="6" spans="1:24">
      <c r="A6" s="180"/>
      <c r="B6" s="181" t="s">
        <v>217</v>
      </c>
      <c r="C6" s="130"/>
      <c r="D6" s="130"/>
      <c r="F6" s="181" t="s">
        <v>173</v>
      </c>
      <c r="G6" s="130"/>
      <c r="H6" s="130"/>
      <c r="J6" s="181" t="s">
        <v>193</v>
      </c>
      <c r="K6" s="130"/>
      <c r="L6" s="130"/>
      <c r="N6" s="181" t="s">
        <v>175</v>
      </c>
      <c r="O6" s="130"/>
      <c r="P6" s="130"/>
      <c r="R6" s="181" t="s">
        <v>194</v>
      </c>
      <c r="S6" s="130"/>
      <c r="T6" s="130"/>
      <c r="V6" s="181" t="s">
        <v>201</v>
      </c>
      <c r="W6" s="130"/>
      <c r="X6" s="130"/>
    </row>
    <row r="7" spans="1:24" ht="38.25">
      <c r="A7" s="88"/>
      <c r="B7" s="179" t="s">
        <v>223</v>
      </c>
      <c r="C7" s="179" t="s">
        <v>224</v>
      </c>
      <c r="D7" s="179" t="s">
        <v>222</v>
      </c>
      <c r="F7" s="179" t="s">
        <v>223</v>
      </c>
      <c r="G7" s="179" t="s">
        <v>224</v>
      </c>
      <c r="H7" s="179" t="s">
        <v>222</v>
      </c>
      <c r="J7" s="179" t="s">
        <v>223</v>
      </c>
      <c r="K7" s="179" t="s">
        <v>224</v>
      </c>
      <c r="L7" s="179" t="s">
        <v>222</v>
      </c>
      <c r="N7" s="179" t="s">
        <v>223</v>
      </c>
      <c r="O7" s="179" t="s">
        <v>224</v>
      </c>
      <c r="P7" s="179" t="s">
        <v>222</v>
      </c>
      <c r="R7" s="179" t="s">
        <v>223</v>
      </c>
      <c r="S7" s="179" t="s">
        <v>224</v>
      </c>
      <c r="T7" s="179" t="s">
        <v>222</v>
      </c>
      <c r="V7" s="179" t="s">
        <v>223</v>
      </c>
      <c r="W7" s="179" t="s">
        <v>224</v>
      </c>
      <c r="X7" s="179" t="s">
        <v>222</v>
      </c>
    </row>
    <row r="8" spans="1:24">
      <c r="A8" s="61" t="s">
        <v>65</v>
      </c>
      <c r="B8" s="41"/>
      <c r="C8" s="41"/>
      <c r="D8" s="41"/>
      <c r="F8" s="41"/>
      <c r="G8" s="41"/>
      <c r="H8" s="41"/>
      <c r="J8" s="41"/>
      <c r="K8" s="41"/>
      <c r="L8" s="41"/>
      <c r="N8" s="41"/>
      <c r="O8" s="41"/>
      <c r="P8" s="41"/>
      <c r="R8" s="41"/>
      <c r="S8" s="41"/>
      <c r="T8" s="41"/>
      <c r="V8" s="41"/>
      <c r="W8" s="41"/>
      <c r="X8" s="41"/>
    </row>
    <row r="9" spans="1:24">
      <c r="A9" s="61" t="s">
        <v>66</v>
      </c>
      <c r="B9" s="41">
        <f>Summary!$B$9</f>
        <v>266100834.98999998</v>
      </c>
      <c r="C9" s="41">
        <f>[2]Results!$C$11</f>
        <v>266100834.98999998</v>
      </c>
      <c r="D9" s="41">
        <f>C9-B9</f>
        <v>0</v>
      </c>
      <c r="F9" s="41">
        <f>Summary!$D$9</f>
        <v>-6737565.5899999887</v>
      </c>
      <c r="G9" s="41">
        <f>[2]Results!$D$11</f>
        <v>-6737565.5899999887</v>
      </c>
      <c r="H9" s="41">
        <f>G9-F9</f>
        <v>0</v>
      </c>
      <c r="J9" s="41">
        <f>Summary!$F$9</f>
        <v>259363269.39999998</v>
      </c>
      <c r="K9" s="41">
        <f>[2]Results!$E$11</f>
        <v>259363269.39999998</v>
      </c>
      <c r="L9" s="41">
        <f>K9-J9</f>
        <v>0</v>
      </c>
      <c r="N9" s="41">
        <f>Summary!$H$9</f>
        <v>12402155.109999999</v>
      </c>
      <c r="O9" s="41">
        <f>[2]Results!$H$11</f>
        <v>12402155.109999999</v>
      </c>
      <c r="P9" s="41">
        <f>O9-N9</f>
        <v>0</v>
      </c>
      <c r="R9" s="41">
        <f>Summary!$J$9</f>
        <v>271765424.50999999</v>
      </c>
      <c r="S9" s="41">
        <f>[2]Results!$I$11</f>
        <v>271765424.50999999</v>
      </c>
      <c r="T9" s="41">
        <f>S9-R9</f>
        <v>0</v>
      </c>
      <c r="V9" s="41">
        <f>Summary!$L$9</f>
        <v>48499340.263352945</v>
      </c>
      <c r="W9" s="41">
        <f>[2]Results!$H$100</f>
        <v>48499339.911084995</v>
      </c>
      <c r="X9" s="41">
        <f>W9-V9</f>
        <v>-0.35226795077323914</v>
      </c>
    </row>
    <row r="10" spans="1:24">
      <c r="A10" s="61" t="s">
        <v>67</v>
      </c>
      <c r="B10" s="41">
        <f>Summary!$B$10</f>
        <v>0</v>
      </c>
      <c r="C10" s="41">
        <f>[2]Results!$C$12</f>
        <v>0</v>
      </c>
      <c r="D10" s="41">
        <f t="shared" ref="D10:D13" si="0">C10-B10</f>
        <v>0</v>
      </c>
      <c r="F10" s="41">
        <f>Summary!$D$10</f>
        <v>0</v>
      </c>
      <c r="G10" s="41">
        <f>[2]Results!$D$12</f>
        <v>0</v>
      </c>
      <c r="H10" s="41">
        <f t="shared" ref="H10:H13" si="1">G10-F10</f>
        <v>0</v>
      </c>
      <c r="J10" s="41">
        <f>Summary!$F$10</f>
        <v>0</v>
      </c>
      <c r="K10" s="41">
        <f>[2]Results!$E$12</f>
        <v>0</v>
      </c>
      <c r="L10" s="41">
        <f t="shared" ref="L10:L13" si="2">K10-J10</f>
        <v>0</v>
      </c>
      <c r="N10" s="41">
        <f>Summary!$H$10</f>
        <v>0</v>
      </c>
      <c r="O10" s="41">
        <f>[2]Results!$H$12</f>
        <v>0</v>
      </c>
      <c r="P10" s="41">
        <f t="shared" ref="P10:P13" si="3">O10-N10</f>
        <v>0</v>
      </c>
      <c r="R10" s="41">
        <f>Summary!$J$10</f>
        <v>0</v>
      </c>
      <c r="S10" s="41">
        <f>[2]Results!$I$12</f>
        <v>0</v>
      </c>
      <c r="T10" s="41">
        <f t="shared" ref="T10:T13" si="4">S10-R10</f>
        <v>0</v>
      </c>
      <c r="V10" s="41">
        <f>Summary!$L$10</f>
        <v>0</v>
      </c>
      <c r="W10" s="41"/>
      <c r="X10" s="41">
        <f t="shared" ref="X10:X13" si="5">W10-V10</f>
        <v>0</v>
      </c>
    </row>
    <row r="11" spans="1:24">
      <c r="A11" s="61" t="s">
        <v>68</v>
      </c>
      <c r="B11" s="41">
        <f>Summary!$B$11</f>
        <v>78723890.002297029</v>
      </c>
      <c r="C11" s="41">
        <f>[2]Results!$C$13</f>
        <v>78723890.002297029</v>
      </c>
      <c r="D11" s="41">
        <f t="shared" si="0"/>
        <v>0</v>
      </c>
      <c r="F11" s="41">
        <f>Summary!$D$11</f>
        <v>3803644.2032988709</v>
      </c>
      <c r="G11" s="41">
        <f>[2]Results!$D$13</f>
        <v>3803644.2032988709</v>
      </c>
      <c r="H11" s="41">
        <f t="shared" si="1"/>
        <v>0</v>
      </c>
      <c r="J11" s="41">
        <f>Summary!$F$11</f>
        <v>82527534.205595896</v>
      </c>
      <c r="K11" s="41">
        <f>[2]Results!$E$13</f>
        <v>82527534.205595896</v>
      </c>
      <c r="L11" s="41">
        <f t="shared" si="2"/>
        <v>0</v>
      </c>
      <c r="N11" s="41">
        <f>Summary!$H$11</f>
        <v>-46215933.386372209</v>
      </c>
      <c r="O11" s="41">
        <f>[2]Results!$H$13</f>
        <v>-46215933.386372209</v>
      </c>
      <c r="P11" s="41">
        <f t="shared" si="3"/>
        <v>0</v>
      </c>
      <c r="R11" s="41">
        <f>Summary!$J$11</f>
        <v>36311600.819223687</v>
      </c>
      <c r="S11" s="41">
        <f>[2]Results!$I$13</f>
        <v>36311600.819223687</v>
      </c>
      <c r="T11" s="41">
        <f t="shared" si="4"/>
        <v>0</v>
      </c>
      <c r="V11" s="41">
        <f>Summary!$L$11</f>
        <v>0</v>
      </c>
      <c r="W11" s="41"/>
      <c r="X11" s="41">
        <f t="shared" si="5"/>
        <v>0</v>
      </c>
    </row>
    <row r="12" spans="1:24">
      <c r="A12" s="61" t="s">
        <v>69</v>
      </c>
      <c r="B12" s="41">
        <f>Summary!$B$12</f>
        <v>12554856.948306177</v>
      </c>
      <c r="C12" s="41">
        <f>[2]Results!$C$14</f>
        <v>12554856.948306177</v>
      </c>
      <c r="D12" s="41">
        <f t="shared" si="0"/>
        <v>0</v>
      </c>
      <c r="F12" s="41">
        <f>Summary!$D$12</f>
        <v>-4108989.02950744</v>
      </c>
      <c r="G12" s="41">
        <f>[2]Results!$D$14</f>
        <v>-4108989.02950744</v>
      </c>
      <c r="H12" s="41">
        <f t="shared" si="1"/>
        <v>0</v>
      </c>
      <c r="J12" s="41">
        <f>Summary!$F$12</f>
        <v>8445867.9187987372</v>
      </c>
      <c r="K12" s="41">
        <f>[2]Results!$E$14</f>
        <v>8445867.9187987372</v>
      </c>
      <c r="L12" s="41">
        <f t="shared" si="2"/>
        <v>0</v>
      </c>
      <c r="N12" s="41">
        <f>Summary!$H$12</f>
        <v>2935061.5718090199</v>
      </c>
      <c r="O12" s="41">
        <f>[2]Results!$H$14</f>
        <v>2935061.5718090204</v>
      </c>
      <c r="P12" s="41">
        <f t="shared" si="3"/>
        <v>0</v>
      </c>
      <c r="R12" s="41">
        <f>Summary!$J$12</f>
        <v>11380929.490607757</v>
      </c>
      <c r="S12" s="41">
        <f>[2]Results!$I$14</f>
        <v>11380929.490607757</v>
      </c>
      <c r="T12" s="41">
        <f t="shared" si="4"/>
        <v>0</v>
      </c>
      <c r="V12" s="41">
        <f>Summary!$L$12</f>
        <v>0</v>
      </c>
      <c r="W12" s="41"/>
      <c r="X12" s="41">
        <f t="shared" si="5"/>
        <v>0</v>
      </c>
    </row>
    <row r="13" spans="1:24" ht="13.5" thickBot="1">
      <c r="A13" s="61" t="s">
        <v>70</v>
      </c>
      <c r="B13" s="60">
        <f>Summary!$B$13</f>
        <v>357379581.9406032</v>
      </c>
      <c r="C13" s="60">
        <f>[2]Results!$C$15</f>
        <v>357379581.9406032</v>
      </c>
      <c r="D13" s="60">
        <f t="shared" si="0"/>
        <v>0</v>
      </c>
      <c r="F13" s="60">
        <f>Summary!$D$13</f>
        <v>-7042910.4162085578</v>
      </c>
      <c r="G13" s="60">
        <f>[2]Results!$D$15</f>
        <v>-7042910.4162085578</v>
      </c>
      <c r="H13" s="60">
        <f t="shared" si="1"/>
        <v>0</v>
      </c>
      <c r="J13" s="60">
        <f>Summary!$F$13</f>
        <v>350336671.52439463</v>
      </c>
      <c r="K13" s="60">
        <f>[2]Results!$E$15</f>
        <v>350336671.52439463</v>
      </c>
      <c r="L13" s="60">
        <f t="shared" si="2"/>
        <v>0</v>
      </c>
      <c r="N13" s="60">
        <f>Summary!$H$13</f>
        <v>-30878716.704563189</v>
      </c>
      <c r="O13" s="60">
        <f>[2]Results!$H$15</f>
        <v>-30878716.704563189</v>
      </c>
      <c r="P13" s="60">
        <f t="shared" si="3"/>
        <v>0</v>
      </c>
      <c r="R13" s="60">
        <f>Summary!$J$13</f>
        <v>319457954.81983143</v>
      </c>
      <c r="S13" s="60">
        <f>[2]Results!$I$15</f>
        <v>319457954.81983143</v>
      </c>
      <c r="T13" s="60">
        <f t="shared" si="4"/>
        <v>0</v>
      </c>
      <c r="V13" s="60">
        <f>Summary!$L$13</f>
        <v>48499340.263352945</v>
      </c>
      <c r="W13" s="60">
        <f>SUM(W9:W12)</f>
        <v>48499339.911084995</v>
      </c>
      <c r="X13" s="60">
        <f t="shared" si="5"/>
        <v>-0.35226795077323914</v>
      </c>
    </row>
    <row r="14" spans="1:24" ht="13.5" thickTop="1">
      <c r="A14" s="61"/>
      <c r="B14" s="41"/>
      <c r="C14" s="41"/>
      <c r="D14" s="41"/>
      <c r="F14" s="41"/>
      <c r="G14" s="41"/>
      <c r="H14" s="41"/>
      <c r="J14" s="41"/>
      <c r="K14" s="41"/>
      <c r="L14" s="41"/>
      <c r="N14" s="41"/>
      <c r="O14" s="41"/>
      <c r="P14" s="41"/>
      <c r="R14" s="41"/>
      <c r="S14" s="41"/>
      <c r="T14" s="41"/>
      <c r="V14" s="41"/>
      <c r="W14" s="41"/>
      <c r="X14" s="41"/>
    </row>
    <row r="15" spans="1:24">
      <c r="A15" s="61" t="s">
        <v>71</v>
      </c>
      <c r="B15" s="41"/>
      <c r="C15" s="41"/>
      <c r="D15" s="41"/>
      <c r="F15" s="41"/>
      <c r="G15" s="41"/>
      <c r="H15" s="41"/>
      <c r="J15" s="41"/>
      <c r="K15" s="41"/>
      <c r="L15" s="41"/>
      <c r="N15" s="41"/>
      <c r="O15" s="41"/>
      <c r="P15" s="41"/>
      <c r="R15" s="41"/>
      <c r="S15" s="41"/>
      <c r="T15" s="41"/>
      <c r="V15" s="41"/>
      <c r="W15" s="41"/>
      <c r="X15" s="41"/>
    </row>
    <row r="16" spans="1:24">
      <c r="A16" s="61" t="s">
        <v>72</v>
      </c>
      <c r="B16" s="41">
        <f>Summary!$B$16</f>
        <v>48371132.770529747</v>
      </c>
      <c r="C16" s="41">
        <f>[2]Results!$C$18</f>
        <v>48371132.770529747</v>
      </c>
      <c r="D16" s="41">
        <f t="shared" ref="D16:D35" si="6">C16-B16</f>
        <v>0</v>
      </c>
      <c r="F16" s="41">
        <f>Summary!$D$16</f>
        <v>-1302039.490000973</v>
      </c>
      <c r="G16" s="41">
        <f>[2]Results!$D$18</f>
        <v>-1302039.490000973</v>
      </c>
      <c r="H16" s="41">
        <f t="shared" ref="H16:H35" si="7">G16-F16</f>
        <v>0</v>
      </c>
      <c r="J16" s="41">
        <f>Summary!$F$16</f>
        <v>47069093.280528776</v>
      </c>
      <c r="K16" s="41">
        <f>[2]Results!$E$18</f>
        <v>47069093.280528776</v>
      </c>
      <c r="L16" s="41">
        <f t="shared" ref="L16:L35" si="8">K16-J16</f>
        <v>0</v>
      </c>
      <c r="N16" s="41">
        <f>Summary!$H$16</f>
        <v>3866911.1401345837</v>
      </c>
      <c r="O16" s="41">
        <f>[2]Results!$H$18</f>
        <v>3866911.1401345846</v>
      </c>
      <c r="P16" s="41">
        <f t="shared" ref="P16:P35" si="9">O16-N16</f>
        <v>0</v>
      </c>
      <c r="R16" s="41">
        <f>Summary!$J$16</f>
        <v>50936004.420663357</v>
      </c>
      <c r="S16" s="41">
        <f>[2]Results!$I$18</f>
        <v>50936004.420663364</v>
      </c>
      <c r="T16" s="41">
        <f t="shared" ref="T16:T35" si="10">S16-R16</f>
        <v>0</v>
      </c>
      <c r="V16" s="41">
        <f>Summary!$L$16</f>
        <v>0</v>
      </c>
      <c r="W16" s="41"/>
      <c r="X16" s="41">
        <f t="shared" ref="X16:X35" si="11">W16-V16</f>
        <v>0</v>
      </c>
    </row>
    <row r="17" spans="1:24">
      <c r="A17" s="61" t="s">
        <v>73</v>
      </c>
      <c r="B17" s="41">
        <f>Summary!$B$17</f>
        <v>0</v>
      </c>
      <c r="C17" s="41">
        <f>[2]Results!$C$19</f>
        <v>0</v>
      </c>
      <c r="D17" s="41">
        <f t="shared" si="6"/>
        <v>0</v>
      </c>
      <c r="F17" s="41">
        <f>Summary!$D$17</f>
        <v>0</v>
      </c>
      <c r="G17" s="41">
        <f>[2]Results!$D$19</f>
        <v>0</v>
      </c>
      <c r="H17" s="41">
        <f t="shared" si="7"/>
        <v>0</v>
      </c>
      <c r="J17" s="41">
        <f>Summary!$F$17</f>
        <v>0</v>
      </c>
      <c r="K17" s="41">
        <f>[2]Results!$E$19</f>
        <v>0</v>
      </c>
      <c r="L17" s="41">
        <f t="shared" si="8"/>
        <v>0</v>
      </c>
      <c r="N17" s="41">
        <f>Summary!$H$17</f>
        <v>0</v>
      </c>
      <c r="O17" s="41">
        <f>[2]Results!$H$19</f>
        <v>0</v>
      </c>
      <c r="P17" s="41">
        <f t="shared" si="9"/>
        <v>0</v>
      </c>
      <c r="R17" s="41">
        <f>Summary!$J$17</f>
        <v>0</v>
      </c>
      <c r="S17" s="41">
        <f>[2]Results!$I$19</f>
        <v>0</v>
      </c>
      <c r="T17" s="41">
        <f t="shared" si="10"/>
        <v>0</v>
      </c>
      <c r="V17" s="41">
        <f>Summary!$L$17</f>
        <v>0</v>
      </c>
      <c r="W17" s="41"/>
      <c r="X17" s="41">
        <f t="shared" si="11"/>
        <v>0</v>
      </c>
    </row>
    <row r="18" spans="1:24">
      <c r="A18" s="61" t="s">
        <v>74</v>
      </c>
      <c r="B18" s="41">
        <f>Summary!$B$18</f>
        <v>6349037.5511267083</v>
      </c>
      <c r="C18" s="41">
        <f>[2]Results!$C$20</f>
        <v>6349037.5511267083</v>
      </c>
      <c r="D18" s="41">
        <f t="shared" si="6"/>
        <v>0</v>
      </c>
      <c r="F18" s="41">
        <f>Summary!$D$18</f>
        <v>1964.8349516471831</v>
      </c>
      <c r="G18" s="41">
        <f>[2]Results!$D$20</f>
        <v>1964.8349516471831</v>
      </c>
      <c r="H18" s="41">
        <f t="shared" si="7"/>
        <v>0</v>
      </c>
      <c r="J18" s="41">
        <f>Summary!$F$18</f>
        <v>6351002.3860783558</v>
      </c>
      <c r="K18" s="41">
        <f>[2]Results!$E$20</f>
        <v>6351002.3860783558</v>
      </c>
      <c r="L18" s="41">
        <f t="shared" si="8"/>
        <v>0</v>
      </c>
      <c r="N18" s="41">
        <f>Summary!$H$18</f>
        <v>14128.087987025239</v>
      </c>
      <c r="O18" s="41">
        <f>[2]Results!$H$20</f>
        <v>14128.087987025521</v>
      </c>
      <c r="P18" s="41">
        <f t="shared" si="9"/>
        <v>2.8194335754960775E-10</v>
      </c>
      <c r="R18" s="41">
        <f>Summary!$J$18</f>
        <v>6365130.4740653811</v>
      </c>
      <c r="S18" s="41">
        <f>[2]Results!$I$20</f>
        <v>6365130.4740653811</v>
      </c>
      <c r="T18" s="41">
        <f t="shared" si="10"/>
        <v>0</v>
      </c>
      <c r="V18" s="41">
        <f>Summary!$L$18</f>
        <v>0</v>
      </c>
      <c r="W18" s="41"/>
      <c r="X18" s="41">
        <f t="shared" si="11"/>
        <v>0</v>
      </c>
    </row>
    <row r="19" spans="1:24">
      <c r="A19" s="61" t="s">
        <v>75</v>
      </c>
      <c r="B19" s="41">
        <f>Summary!$B$19</f>
        <v>125305885.00091264</v>
      </c>
      <c r="C19" s="41">
        <f>[2]Results!$C$21</f>
        <v>125305885.00091264</v>
      </c>
      <c r="D19" s="41">
        <f t="shared" si="6"/>
        <v>0</v>
      </c>
      <c r="F19" s="41">
        <f>Summary!$D$19</f>
        <v>2206561.8332285574</v>
      </c>
      <c r="G19" s="41">
        <f>[2]Results!$D$21</f>
        <v>2206561.8332285578</v>
      </c>
      <c r="H19" s="41">
        <f t="shared" si="7"/>
        <v>0</v>
      </c>
      <c r="J19" s="41">
        <f>Summary!$F$19</f>
        <v>127512446.83414119</v>
      </c>
      <c r="K19" s="41">
        <f>[2]Results!$E$21</f>
        <v>127512446.83414119</v>
      </c>
      <c r="L19" s="41">
        <f t="shared" si="8"/>
        <v>0</v>
      </c>
      <c r="N19" s="41">
        <f>Summary!$H$19</f>
        <v>-19481406.007589854</v>
      </c>
      <c r="O19" s="41">
        <f>[2]Results!$H$21</f>
        <v>-19481406.007589854</v>
      </c>
      <c r="P19" s="41">
        <f t="shared" si="9"/>
        <v>0</v>
      </c>
      <c r="R19" s="41">
        <f>Summary!$J$19</f>
        <v>108031040.82655135</v>
      </c>
      <c r="S19" s="41">
        <f>[2]Results!$I$21</f>
        <v>108031040.82655135</v>
      </c>
      <c r="T19" s="41">
        <f t="shared" si="10"/>
        <v>0</v>
      </c>
      <c r="V19" s="41">
        <f>Summary!$L$19</f>
        <v>0</v>
      </c>
      <c r="W19" s="41"/>
      <c r="X19" s="41">
        <f t="shared" si="11"/>
        <v>0</v>
      </c>
    </row>
    <row r="20" spans="1:24">
      <c r="A20" s="61" t="s">
        <v>76</v>
      </c>
      <c r="B20" s="41">
        <f>Summary!$B$20</f>
        <v>25362553.335236829</v>
      </c>
      <c r="C20" s="41">
        <f>[2]Results!$C$22</f>
        <v>25362553.335236829</v>
      </c>
      <c r="D20" s="41">
        <f t="shared" si="6"/>
        <v>0</v>
      </c>
      <c r="F20" s="41">
        <f>Summary!$D$20</f>
        <v>-119205.98724489645</v>
      </c>
      <c r="G20" s="41">
        <f>[2]Results!$D$22</f>
        <v>-119205.98724489645</v>
      </c>
      <c r="H20" s="41">
        <f t="shared" si="7"/>
        <v>0</v>
      </c>
      <c r="J20" s="41">
        <f>Summary!$F$20</f>
        <v>25243347.347991932</v>
      </c>
      <c r="K20" s="41">
        <f>[2]Results!$E$22</f>
        <v>25243347.347991932</v>
      </c>
      <c r="L20" s="41">
        <f t="shared" si="8"/>
        <v>0</v>
      </c>
      <c r="N20" s="41">
        <f>Summary!$H$20</f>
        <v>4020309.1765103331</v>
      </c>
      <c r="O20" s="41">
        <f>[2]Results!$H$22</f>
        <v>4020309.1765103331</v>
      </c>
      <c r="P20" s="41">
        <f t="shared" si="9"/>
        <v>0</v>
      </c>
      <c r="R20" s="41">
        <f>Summary!$J$20</f>
        <v>29263656.524502266</v>
      </c>
      <c r="S20" s="41">
        <f>[2]Results!$I$22</f>
        <v>29263656.524502266</v>
      </c>
      <c r="T20" s="41">
        <f t="shared" si="10"/>
        <v>0</v>
      </c>
      <c r="V20" s="41">
        <f>Summary!$L$20</f>
        <v>0</v>
      </c>
      <c r="W20" s="41"/>
      <c r="X20" s="41">
        <f t="shared" si="11"/>
        <v>0</v>
      </c>
    </row>
    <row r="21" spans="1:24">
      <c r="A21" s="61" t="s">
        <v>77</v>
      </c>
      <c r="B21" s="41">
        <f>Summary!$B$21</f>
        <v>13621606.721800074</v>
      </c>
      <c r="C21" s="41">
        <f>[2]Results!$C$23</f>
        <v>13621606.721800074</v>
      </c>
      <c r="D21" s="41">
        <f t="shared" si="6"/>
        <v>0</v>
      </c>
      <c r="F21" s="41">
        <f>Summary!$D$21</f>
        <v>6969.4824389372116</v>
      </c>
      <c r="G21" s="41">
        <f>[2]Results!$D$23</f>
        <v>6969.4824389372116</v>
      </c>
      <c r="H21" s="41">
        <f t="shared" si="7"/>
        <v>0</v>
      </c>
      <c r="J21" s="41">
        <f>Summary!$F$21</f>
        <v>13628576.204239011</v>
      </c>
      <c r="K21" s="41">
        <f>[2]Results!$E$23</f>
        <v>13628576.204239011</v>
      </c>
      <c r="L21" s="41">
        <f t="shared" si="8"/>
        <v>0</v>
      </c>
      <c r="N21" s="41">
        <f>Summary!$H$21</f>
        <v>91505.452370337007</v>
      </c>
      <c r="O21" s="41">
        <f>[2]Results!$H$23</f>
        <v>91505.452370337007</v>
      </c>
      <c r="P21" s="41">
        <f t="shared" si="9"/>
        <v>0</v>
      </c>
      <c r="R21" s="41">
        <f>Summary!$J$21</f>
        <v>13720081.656609347</v>
      </c>
      <c r="S21" s="41">
        <f>[2]Results!$I$23</f>
        <v>13720081.656609347</v>
      </c>
      <c r="T21" s="41">
        <f t="shared" si="10"/>
        <v>0</v>
      </c>
      <c r="V21" s="41">
        <f>Summary!$L$21</f>
        <v>0</v>
      </c>
      <c r="W21" s="41"/>
      <c r="X21" s="41">
        <f t="shared" si="11"/>
        <v>0</v>
      </c>
    </row>
    <row r="22" spans="1:24">
      <c r="A22" s="61" t="s">
        <v>78</v>
      </c>
      <c r="B22" s="41">
        <f>Summary!$B$22</f>
        <v>8025975.3729733964</v>
      </c>
      <c r="C22" s="41">
        <f>[2]Results!$C$24</f>
        <v>8025975.3729733964</v>
      </c>
      <c r="D22" s="41">
        <f t="shared" si="6"/>
        <v>0</v>
      </c>
      <c r="F22" s="41">
        <f>Summary!$D$22</f>
        <v>4466.1128616715359</v>
      </c>
      <c r="G22" s="41">
        <f>[2]Results!$D$24</f>
        <v>4466.1128616715359</v>
      </c>
      <c r="H22" s="41">
        <f t="shared" si="7"/>
        <v>0</v>
      </c>
      <c r="J22" s="41">
        <f>Summary!$F$22</f>
        <v>8030441.4858350679</v>
      </c>
      <c r="K22" s="41">
        <f>[2]Results!$E$24</f>
        <v>8030441.4858350679</v>
      </c>
      <c r="L22" s="41">
        <f t="shared" si="8"/>
        <v>0</v>
      </c>
      <c r="N22" s="41">
        <f>Summary!$H$22</f>
        <v>57733.388162278228</v>
      </c>
      <c r="O22" s="41">
        <f>[2]Results!$H$24</f>
        <v>57733.388162278228</v>
      </c>
      <c r="P22" s="41">
        <f t="shared" si="9"/>
        <v>0</v>
      </c>
      <c r="R22" s="41">
        <f>Summary!$J$22</f>
        <v>8088174.8739973465</v>
      </c>
      <c r="S22" s="41">
        <f>[2]Results!$I$24</f>
        <v>8088174.8739973465</v>
      </c>
      <c r="T22" s="41">
        <f t="shared" si="10"/>
        <v>0</v>
      </c>
      <c r="V22" s="41">
        <f>Summary!$L$22</f>
        <v>272081.29887741007</v>
      </c>
      <c r="W22" s="41">
        <f>[2]Results!$H$113</f>
        <v>272081.29690118681</v>
      </c>
      <c r="X22" s="41">
        <f t="shared" si="11"/>
        <v>-1.9762232550419867E-3</v>
      </c>
    </row>
    <row r="23" spans="1:24">
      <c r="A23" s="61" t="s">
        <v>79</v>
      </c>
      <c r="B23" s="41">
        <f>Summary!$B$23</f>
        <v>5423426.4819710292</v>
      </c>
      <c r="C23" s="41">
        <f>[2]Results!$C$25</f>
        <v>5423426.4819710292</v>
      </c>
      <c r="D23" s="41">
        <f t="shared" si="6"/>
        <v>0</v>
      </c>
      <c r="F23" s="41">
        <f>Summary!$D$23</f>
        <v>-4860648.457373553</v>
      </c>
      <c r="G23" s="41">
        <f>[2]Results!$D$25</f>
        <v>-4860648.457373553</v>
      </c>
      <c r="H23" s="41">
        <f t="shared" si="7"/>
        <v>0</v>
      </c>
      <c r="J23" s="41">
        <f>Summary!$F$23</f>
        <v>562778.02459747624</v>
      </c>
      <c r="K23" s="41">
        <f>[2]Results!$E$25</f>
        <v>562778.02459747624</v>
      </c>
      <c r="L23" s="41">
        <f t="shared" si="8"/>
        <v>0</v>
      </c>
      <c r="N23" s="41">
        <f>Summary!$H$23</f>
        <v>2679.2924333421715</v>
      </c>
      <c r="O23" s="41">
        <f>[2]Results!$H$25</f>
        <v>2679.2924333421715</v>
      </c>
      <c r="P23" s="41">
        <f t="shared" si="9"/>
        <v>0</v>
      </c>
      <c r="R23" s="41">
        <f>Summary!$J$23</f>
        <v>565457.31703081843</v>
      </c>
      <c r="S23" s="41">
        <f>[2]Results!$I$25</f>
        <v>565457.31703081843</v>
      </c>
      <c r="T23" s="41">
        <f t="shared" si="10"/>
        <v>0</v>
      </c>
      <c r="V23" s="41">
        <f>Summary!$L$23</f>
        <v>0</v>
      </c>
      <c r="W23" s="41"/>
      <c r="X23" s="41">
        <f t="shared" si="11"/>
        <v>0</v>
      </c>
    </row>
    <row r="24" spans="1:24">
      <c r="A24" s="61" t="s">
        <v>80</v>
      </c>
      <c r="B24" s="41">
        <f>Summary!$B$24</f>
        <v>0</v>
      </c>
      <c r="C24" s="41">
        <f>[2]Results!$C$26</f>
        <v>0</v>
      </c>
      <c r="D24" s="41">
        <f t="shared" si="6"/>
        <v>0</v>
      </c>
      <c r="F24" s="41">
        <f>Summary!$D$24</f>
        <v>0</v>
      </c>
      <c r="G24" s="41">
        <f>[2]Results!$D$26</f>
        <v>0</v>
      </c>
      <c r="H24" s="41">
        <f t="shared" si="7"/>
        <v>0</v>
      </c>
      <c r="J24" s="41">
        <f>Summary!$F$24</f>
        <v>0</v>
      </c>
      <c r="K24" s="41">
        <f>[2]Results!$E$26</f>
        <v>0</v>
      </c>
      <c r="L24" s="41">
        <f t="shared" si="8"/>
        <v>0</v>
      </c>
      <c r="N24" s="41">
        <f>Summary!$H$24</f>
        <v>0</v>
      </c>
      <c r="O24" s="41">
        <f>[2]Results!$H$26</f>
        <v>0</v>
      </c>
      <c r="P24" s="41">
        <f t="shared" si="9"/>
        <v>0</v>
      </c>
      <c r="R24" s="41">
        <f>Summary!$J$24</f>
        <v>0</v>
      </c>
      <c r="S24" s="41">
        <f>[2]Results!$I$26</f>
        <v>0</v>
      </c>
      <c r="T24" s="41">
        <f t="shared" si="10"/>
        <v>0</v>
      </c>
      <c r="V24" s="41">
        <f>Summary!$L$24</f>
        <v>0</v>
      </c>
      <c r="W24" s="41"/>
      <c r="X24" s="41">
        <f t="shared" si="11"/>
        <v>0</v>
      </c>
    </row>
    <row r="25" spans="1:24">
      <c r="A25" s="61" t="s">
        <v>81</v>
      </c>
      <c r="B25" s="41">
        <f>Summary!$B$25</f>
        <v>12167262.867714064</v>
      </c>
      <c r="C25" s="41">
        <f>[2]Results!$C$27</f>
        <v>12167262.867714064</v>
      </c>
      <c r="D25" s="41">
        <f t="shared" si="6"/>
        <v>0</v>
      </c>
      <c r="F25" s="41">
        <f>Summary!$D$25</f>
        <v>-244134.45056957737</v>
      </c>
      <c r="G25" s="41">
        <f>[2]Results!$D$27</f>
        <v>-244134.45056957746</v>
      </c>
      <c r="H25" s="41">
        <f t="shared" si="7"/>
        <v>0</v>
      </c>
      <c r="J25" s="41">
        <f>Summary!$F$25</f>
        <v>11923128.417144487</v>
      </c>
      <c r="K25" s="41">
        <f>[2]Results!$E$27</f>
        <v>11923128.417144487</v>
      </c>
      <c r="L25" s="41">
        <f t="shared" si="8"/>
        <v>0</v>
      </c>
      <c r="N25" s="41">
        <f>Summary!$H$25</f>
        <v>-1329008.6223783894</v>
      </c>
      <c r="O25" s="41">
        <f>[2]Results!$H$27</f>
        <v>-1329008.6223783894</v>
      </c>
      <c r="P25" s="41">
        <f t="shared" si="9"/>
        <v>0</v>
      </c>
      <c r="R25" s="41">
        <f>Summary!$J$25</f>
        <v>10594119.794766098</v>
      </c>
      <c r="S25" s="41">
        <f>[2]Results!$I$27</f>
        <v>10594119.794766098</v>
      </c>
      <c r="T25" s="41">
        <f t="shared" si="10"/>
        <v>0</v>
      </c>
      <c r="V25" s="41">
        <f>Summary!$L$25</f>
        <v>0</v>
      </c>
      <c r="W25" s="41"/>
      <c r="X25" s="41">
        <f t="shared" si="11"/>
        <v>0</v>
      </c>
    </row>
    <row r="26" spans="1:24">
      <c r="A26" s="61" t="s">
        <v>82</v>
      </c>
      <c r="B26" s="32">
        <f>Summary!$B$26</f>
        <v>244626880.10226449</v>
      </c>
      <c r="C26" s="32">
        <f>[2]Results!$C$28</f>
        <v>244626880.10226449</v>
      </c>
      <c r="D26" s="32">
        <f t="shared" si="6"/>
        <v>0</v>
      </c>
      <c r="F26" s="32">
        <f>Summary!$D$26</f>
        <v>-4306066.1217081863</v>
      </c>
      <c r="G26" s="32">
        <f>[2]Results!$D$28</f>
        <v>-4306066.1217081863</v>
      </c>
      <c r="H26" s="32">
        <f t="shared" si="7"/>
        <v>0</v>
      </c>
      <c r="J26" s="32">
        <f>Summary!$F$26</f>
        <v>240320813.98055631</v>
      </c>
      <c r="K26" s="32">
        <f>[2]Results!$E$28</f>
        <v>240320813.98055631</v>
      </c>
      <c r="L26" s="32">
        <f t="shared" si="8"/>
        <v>0</v>
      </c>
      <c r="N26" s="32">
        <f>Summary!$H$26</f>
        <v>-12757148.092370346</v>
      </c>
      <c r="O26" s="32">
        <f>[2]Results!$H$28</f>
        <v>-12757148.092370346</v>
      </c>
      <c r="P26" s="32">
        <f t="shared" si="9"/>
        <v>0</v>
      </c>
      <c r="R26" s="32">
        <f>Summary!$J$26</f>
        <v>227563665.88818601</v>
      </c>
      <c r="S26" s="32">
        <f>[2]Results!$I$28</f>
        <v>227563665.88818601</v>
      </c>
      <c r="T26" s="32">
        <f t="shared" si="10"/>
        <v>0</v>
      </c>
      <c r="V26" s="32">
        <f>Summary!$L$26</f>
        <v>272081.29887741007</v>
      </c>
      <c r="W26" s="32">
        <f>SUM(W16:W25)</f>
        <v>272081.29690118681</v>
      </c>
      <c r="X26" s="32">
        <f t="shared" si="11"/>
        <v>-1.9762232550419867E-3</v>
      </c>
    </row>
    <row r="27" spans="1:24">
      <c r="A27" s="61" t="s">
        <v>83</v>
      </c>
      <c r="B27" s="41">
        <f>Summary!$B$27</f>
        <v>36705844.209221087</v>
      </c>
      <c r="C27" s="41">
        <f>[2]Results!$C$29</f>
        <v>36705844.209221087</v>
      </c>
      <c r="D27" s="41">
        <f t="shared" si="6"/>
        <v>0</v>
      </c>
      <c r="F27" s="41">
        <f>Summary!$D$27</f>
        <v>-415222.55433080252</v>
      </c>
      <c r="G27" s="41">
        <f>[2]Results!$D$29</f>
        <v>-415222.55433080252</v>
      </c>
      <c r="H27" s="41">
        <f t="shared" si="7"/>
        <v>0</v>
      </c>
      <c r="J27" s="41">
        <f>Summary!$F$27</f>
        <v>36290621.654890284</v>
      </c>
      <c r="K27" s="41">
        <f>[2]Results!$E$29</f>
        <v>36290621.654890284</v>
      </c>
      <c r="L27" s="41">
        <f t="shared" si="8"/>
        <v>0</v>
      </c>
      <c r="N27" s="41">
        <f>Summary!$H$27</f>
        <v>-29238.355724457651</v>
      </c>
      <c r="O27" s="41">
        <f>[2]Results!$H$29</f>
        <v>-29238.355724457091</v>
      </c>
      <c r="P27" s="41">
        <f t="shared" si="9"/>
        <v>5.6024873629212379E-10</v>
      </c>
      <c r="R27" s="41">
        <f>Summary!$J$27</f>
        <v>36261383.29916583</v>
      </c>
      <c r="S27" s="41">
        <f>[2]Results!$I$29</f>
        <v>36261383.29916583</v>
      </c>
      <c r="T27" s="41">
        <f t="shared" si="10"/>
        <v>0</v>
      </c>
      <c r="V27" s="41">
        <f>Summary!$L$27</f>
        <v>0</v>
      </c>
      <c r="W27" s="41"/>
      <c r="X27" s="41">
        <f t="shared" si="11"/>
        <v>0</v>
      </c>
    </row>
    <row r="28" spans="1:24">
      <c r="A28" s="61" t="s">
        <v>84</v>
      </c>
      <c r="B28" s="41">
        <f>Summary!$B$28</f>
        <v>4017010.1383138788</v>
      </c>
      <c r="C28" s="41">
        <f>[2]Results!$C$30</f>
        <v>4017010.1383138788</v>
      </c>
      <c r="D28" s="41">
        <f t="shared" si="6"/>
        <v>0</v>
      </c>
      <c r="F28" s="41">
        <f>Summary!$D$28</f>
        <v>-169568.97296169098</v>
      </c>
      <c r="G28" s="41">
        <f>[2]Results!$D$30</f>
        <v>-169568.97296169098</v>
      </c>
      <c r="H28" s="41">
        <f t="shared" si="7"/>
        <v>0</v>
      </c>
      <c r="J28" s="41">
        <f>Summary!$F$28</f>
        <v>3847441.1653521881</v>
      </c>
      <c r="K28" s="41">
        <f>[2]Results!$E$30</f>
        <v>3847441.1653521881</v>
      </c>
      <c r="L28" s="41">
        <f t="shared" si="8"/>
        <v>0</v>
      </c>
      <c r="N28" s="41">
        <f>Summary!$H$28</f>
        <v>-182288.98018681514</v>
      </c>
      <c r="O28" s="41">
        <f>[2]Results!$H$30</f>
        <v>-182288.98018681514</v>
      </c>
      <c r="P28" s="41">
        <f t="shared" si="9"/>
        <v>0</v>
      </c>
      <c r="R28" s="41">
        <f>Summary!$J$28</f>
        <v>3665152.1851653727</v>
      </c>
      <c r="S28" s="41">
        <f>[2]Results!$I$30</f>
        <v>3665152.1851653727</v>
      </c>
      <c r="T28" s="41">
        <f t="shared" si="10"/>
        <v>0</v>
      </c>
      <c r="V28" s="41">
        <f>Summary!$L$28</f>
        <v>0</v>
      </c>
      <c r="W28" s="41"/>
      <c r="X28" s="41">
        <f t="shared" si="11"/>
        <v>0</v>
      </c>
    </row>
    <row r="29" spans="1:24">
      <c r="A29" s="61" t="s">
        <v>85</v>
      </c>
      <c r="B29" s="41">
        <f>Summary!$B$29</f>
        <v>17744812.254208628</v>
      </c>
      <c r="C29" s="41">
        <f>[2]Results!$C$31</f>
        <v>17744812.254208628</v>
      </c>
      <c r="D29" s="41">
        <f t="shared" si="6"/>
        <v>0</v>
      </c>
      <c r="F29" s="41">
        <f>Summary!$D$29</f>
        <v>-42124.459304340671</v>
      </c>
      <c r="G29" s="41">
        <f>[2]Results!$D$31</f>
        <v>-42124.459304340671</v>
      </c>
      <c r="H29" s="41">
        <f t="shared" si="7"/>
        <v>0</v>
      </c>
      <c r="J29" s="41">
        <f>Summary!$F$29</f>
        <v>17702687.794904288</v>
      </c>
      <c r="K29" s="41">
        <f>[2]Results!$E$31</f>
        <v>17702687.794904288</v>
      </c>
      <c r="L29" s="41">
        <f t="shared" si="8"/>
        <v>0</v>
      </c>
      <c r="N29" s="41">
        <f>Summary!$H$29</f>
        <v>-428616.54000000004</v>
      </c>
      <c r="O29" s="41">
        <f>[2]Results!$H$31</f>
        <v>-428616.54</v>
      </c>
      <c r="P29" s="41">
        <f t="shared" si="9"/>
        <v>0</v>
      </c>
      <c r="R29" s="41">
        <f>Summary!$J$29</f>
        <v>17274071.254904289</v>
      </c>
      <c r="S29" s="41">
        <f>[2]Results!$I$31</f>
        <v>17274071.254904289</v>
      </c>
      <c r="T29" s="41">
        <f t="shared" si="10"/>
        <v>0</v>
      </c>
      <c r="V29" s="41">
        <f>Summary!$L$29</f>
        <v>1975378.1289263656</v>
      </c>
      <c r="W29" s="41">
        <f>[2]Results!H120</f>
        <v>1975378.114578492</v>
      </c>
      <c r="X29" s="41">
        <f t="shared" si="11"/>
        <v>-1.4347873628139496E-2</v>
      </c>
    </row>
    <row r="30" spans="1:24">
      <c r="A30" s="61" t="s">
        <v>86</v>
      </c>
      <c r="B30" s="41">
        <f>Summary!$B$30</f>
        <v>-13966180.340332307</v>
      </c>
      <c r="C30" s="41">
        <f>[2]Results!$C$32</f>
        <v>-13966180.340332296</v>
      </c>
      <c r="D30" s="41">
        <f t="shared" si="6"/>
        <v>0</v>
      </c>
      <c r="F30" s="41">
        <f>Summary!$D$30</f>
        <v>194287.75429866073</v>
      </c>
      <c r="G30" s="41">
        <f>[2]Results!$D$32</f>
        <v>194287.75381242129</v>
      </c>
      <c r="H30" s="41">
        <f t="shared" si="7"/>
        <v>-4.8623944167047739E-4</v>
      </c>
      <c r="J30" s="41">
        <f>Summary!$F$30</f>
        <v>-13771892.58603365</v>
      </c>
      <c r="K30" s="41">
        <f>[2]Results!$E$32</f>
        <v>-13771892.586519875</v>
      </c>
      <c r="L30" s="41">
        <f t="shared" si="8"/>
        <v>-4.8622488975524902E-4</v>
      </c>
      <c r="N30" s="41">
        <f>Summary!$H$30</f>
        <v>-11461182.141896818</v>
      </c>
      <c r="O30" s="41">
        <f>[2]Results!$H$32</f>
        <v>-11461182.021078767</v>
      </c>
      <c r="P30" s="41">
        <f t="shared" si="9"/>
        <v>0.12081805057823658</v>
      </c>
      <c r="R30" s="41">
        <f>Summary!$J$30</f>
        <v>-25233074.727930486</v>
      </c>
      <c r="S30" s="41">
        <f>[2]Results!$I$32</f>
        <v>-25233074.60759864</v>
      </c>
      <c r="T30" s="41">
        <f t="shared" si="10"/>
        <v>0.12033184617757797</v>
      </c>
      <c r="V30" s="41">
        <f>Summary!$L$30</f>
        <v>16188158.292442208</v>
      </c>
      <c r="W30" s="41">
        <f>[2]Results!H121</f>
        <v>16188158.174861858</v>
      </c>
      <c r="X30" s="41">
        <f t="shared" si="11"/>
        <v>-0.1175803504884243</v>
      </c>
    </row>
    <row r="31" spans="1:24">
      <c r="A31" s="61" t="s">
        <v>87</v>
      </c>
      <c r="B31" s="41">
        <f>Summary!$B$31</f>
        <v>0</v>
      </c>
      <c r="C31" s="41">
        <f>[2]Results!$C$33</f>
        <v>0</v>
      </c>
      <c r="D31" s="41">
        <f t="shared" si="6"/>
        <v>0</v>
      </c>
      <c r="F31" s="41">
        <f>Summary!$D$31</f>
        <v>0</v>
      </c>
      <c r="G31" s="41">
        <f>[2]Results!$D$33</f>
        <v>0</v>
      </c>
      <c r="H31" s="41">
        <f t="shared" si="7"/>
        <v>0</v>
      </c>
      <c r="J31" s="41">
        <f>Summary!$F$31</f>
        <v>0</v>
      </c>
      <c r="K31" s="41">
        <f>[2]Results!$E$33</f>
        <v>0</v>
      </c>
      <c r="L31" s="41">
        <f t="shared" si="8"/>
        <v>0</v>
      </c>
      <c r="N31" s="41">
        <f>Summary!$H$31</f>
        <v>0</v>
      </c>
      <c r="O31" s="41">
        <f>[2]Results!$H$33</f>
        <v>0</v>
      </c>
      <c r="P31" s="41">
        <f t="shared" si="9"/>
        <v>0</v>
      </c>
      <c r="R31" s="41">
        <f>Summary!$J$31</f>
        <v>0</v>
      </c>
      <c r="S31" s="41">
        <f>[2]Results!$I$33</f>
        <v>0</v>
      </c>
      <c r="T31" s="41">
        <f t="shared" si="10"/>
        <v>0</v>
      </c>
      <c r="V31" s="41">
        <f>Summary!$L$31</f>
        <v>0</v>
      </c>
      <c r="W31" s="41"/>
      <c r="X31" s="41">
        <f t="shared" si="11"/>
        <v>0</v>
      </c>
    </row>
    <row r="32" spans="1:24">
      <c r="A32" s="61" t="s">
        <v>88</v>
      </c>
      <c r="B32" s="41">
        <f>Summary!$B$32</f>
        <v>22359798.153024439</v>
      </c>
      <c r="C32" s="41">
        <f>[2]Results!$C$34</f>
        <v>22359798.153024439</v>
      </c>
      <c r="D32" s="41">
        <f t="shared" si="6"/>
        <v>0</v>
      </c>
      <c r="F32" s="41">
        <f>Summary!$D$32</f>
        <v>4258073.6394843711</v>
      </c>
      <c r="G32" s="41">
        <f>[2]Results!$D$34</f>
        <v>4258073.6394843701</v>
      </c>
      <c r="H32" s="41">
        <f t="shared" si="7"/>
        <v>0</v>
      </c>
      <c r="J32" s="41">
        <f>Summary!$F$32</f>
        <v>26617871.792508811</v>
      </c>
      <c r="K32" s="41">
        <f>[2]Results!$E$34</f>
        <v>26617871.792508811</v>
      </c>
      <c r="L32" s="41">
        <f t="shared" si="8"/>
        <v>0</v>
      </c>
      <c r="N32" s="41">
        <f>Summary!$H$32</f>
        <v>-417013.79217773164</v>
      </c>
      <c r="O32" s="41">
        <f>[2]Results!$H$34</f>
        <v>-417014.14510028285</v>
      </c>
      <c r="P32" s="41">
        <f t="shared" si="9"/>
        <v>-0.35292255121748894</v>
      </c>
      <c r="R32" s="41">
        <f>Summary!$J$32</f>
        <v>26200858.000331078</v>
      </c>
      <c r="S32" s="41">
        <f>[2]Results!$I$34</f>
        <v>26200857.647408526</v>
      </c>
      <c r="T32" s="41">
        <f t="shared" si="10"/>
        <v>-0.35292255133390427</v>
      </c>
      <c r="V32" s="41">
        <f>Summary!$L$32</f>
        <v>0</v>
      </c>
      <c r="W32" s="41"/>
      <c r="X32" s="41">
        <f t="shared" si="11"/>
        <v>0</v>
      </c>
    </row>
    <row r="33" spans="1:24">
      <c r="A33" s="61" t="s">
        <v>89</v>
      </c>
      <c r="B33" s="41">
        <f>Summary!$B$33</f>
        <v>0</v>
      </c>
      <c r="C33" s="41">
        <f>[2]Results!$C$35</f>
        <v>0</v>
      </c>
      <c r="D33" s="41">
        <f t="shared" si="6"/>
        <v>0</v>
      </c>
      <c r="F33" s="41">
        <f>Summary!$D$33</f>
        <v>0</v>
      </c>
      <c r="G33" s="41">
        <f>[2]Results!$D$35</f>
        <v>0</v>
      </c>
      <c r="H33" s="41">
        <f t="shared" si="7"/>
        <v>0</v>
      </c>
      <c r="J33" s="41">
        <f>Summary!$F$33</f>
        <v>0</v>
      </c>
      <c r="K33" s="41">
        <f>[2]Results!$E$35</f>
        <v>0</v>
      </c>
      <c r="L33" s="41">
        <f t="shared" si="8"/>
        <v>0</v>
      </c>
      <c r="N33" s="41">
        <f>Summary!$H$33</f>
        <v>0</v>
      </c>
      <c r="O33" s="41">
        <f>[2]Results!$H$35</f>
        <v>0</v>
      </c>
      <c r="P33" s="41">
        <f t="shared" si="9"/>
        <v>0</v>
      </c>
      <c r="R33" s="41">
        <f>Summary!$J$33</f>
        <v>0</v>
      </c>
      <c r="S33" s="41">
        <f>[2]Results!$I$35</f>
        <v>0</v>
      </c>
      <c r="T33" s="41">
        <f t="shared" si="10"/>
        <v>0</v>
      </c>
      <c r="V33" s="41">
        <f>Summary!$L$33</f>
        <v>0</v>
      </c>
      <c r="W33" s="41"/>
      <c r="X33" s="41">
        <f t="shared" si="11"/>
        <v>0</v>
      </c>
    </row>
    <row r="34" spans="1:24">
      <c r="A34" s="61" t="s">
        <v>90</v>
      </c>
      <c r="B34" s="41">
        <f>Summary!$B$34</f>
        <v>-341244.31117613171</v>
      </c>
      <c r="C34" s="41">
        <f>[2]Results!$C$36</f>
        <v>-341244.31117613171</v>
      </c>
      <c r="D34" s="41">
        <f t="shared" si="6"/>
        <v>0</v>
      </c>
      <c r="F34" s="41">
        <f>Summary!$D$34</f>
        <v>-513913.347966392</v>
      </c>
      <c r="G34" s="41">
        <f>[2]Results!$D$36</f>
        <v>-513913.347966392</v>
      </c>
      <c r="H34" s="41">
        <f t="shared" si="7"/>
        <v>0</v>
      </c>
      <c r="J34" s="41">
        <f>Summary!$F$34</f>
        <v>-855157.65914252377</v>
      </c>
      <c r="K34" s="41">
        <f>[2]Results!$E$36</f>
        <v>-855157.65914252377</v>
      </c>
      <c r="L34" s="41">
        <f t="shared" si="8"/>
        <v>0</v>
      </c>
      <c r="N34" s="41">
        <f>Summary!$H$34</f>
        <v>1497.2637677959865</v>
      </c>
      <c r="O34" s="41">
        <f>[2]Results!$H$36</f>
        <v>1497.2637677959865</v>
      </c>
      <c r="P34" s="41">
        <f t="shared" si="9"/>
        <v>0</v>
      </c>
      <c r="R34" s="41">
        <f>Summary!$J$34</f>
        <v>-853660.39537472778</v>
      </c>
      <c r="S34" s="41">
        <f>[2]Results!$I$36</f>
        <v>-853660.39537472778</v>
      </c>
      <c r="T34" s="41">
        <f t="shared" si="10"/>
        <v>0</v>
      </c>
      <c r="V34" s="41">
        <f>Summary!$L$34</f>
        <v>0</v>
      </c>
      <c r="W34" s="41"/>
      <c r="X34" s="41">
        <f t="shared" si="11"/>
        <v>0</v>
      </c>
    </row>
    <row r="35" spans="1:24">
      <c r="A35" s="61" t="s">
        <v>91</v>
      </c>
      <c r="B35" s="32">
        <f>Summary!$B$35</f>
        <v>311146920.20552409</v>
      </c>
      <c r="C35" s="32">
        <f>[2]Results!$C$37</f>
        <v>311146920.20552415</v>
      </c>
      <c r="D35" s="32">
        <f t="shared" si="6"/>
        <v>0</v>
      </c>
      <c r="F35" s="32">
        <f>Summary!$D$35</f>
        <v>-994534.06248838129</v>
      </c>
      <c r="G35" s="32">
        <f>[2]Results!$D$37</f>
        <v>-994534.06297462201</v>
      </c>
      <c r="H35" s="32">
        <f t="shared" si="7"/>
        <v>-4.8624072223901749E-4</v>
      </c>
      <c r="J35" s="32">
        <f>Summary!$F$35</f>
        <v>310152386.14303577</v>
      </c>
      <c r="K35" s="32">
        <f>[2]Results!$E$37</f>
        <v>310152386.14254951</v>
      </c>
      <c r="L35" s="32">
        <f t="shared" si="8"/>
        <v>-4.8625469207763672E-4</v>
      </c>
      <c r="N35" s="32">
        <f>Summary!$H$35</f>
        <v>-25273990.638588373</v>
      </c>
      <c r="O35" s="32">
        <f>[2]Results!$H$37</f>
        <v>-25273990.870692872</v>
      </c>
      <c r="P35" s="32">
        <f t="shared" si="9"/>
        <v>-0.23210449889302254</v>
      </c>
      <c r="R35" s="32">
        <f>Summary!$J$35</f>
        <v>284878395.5044474</v>
      </c>
      <c r="S35" s="32">
        <f>[2]Results!$I$37</f>
        <v>284878395.27185667</v>
      </c>
      <c r="T35" s="32">
        <f t="shared" si="10"/>
        <v>-0.23259073495864868</v>
      </c>
      <c r="V35" s="32">
        <f>Summary!$L$35</f>
        <v>18435617.720245983</v>
      </c>
      <c r="W35" s="32">
        <f>SUM(W26:W34)</f>
        <v>18435617.586341538</v>
      </c>
      <c r="X35" s="32">
        <f t="shared" si="11"/>
        <v>-0.13390444591641426</v>
      </c>
    </row>
    <row r="36" spans="1:24">
      <c r="A36" s="61"/>
      <c r="B36" s="41"/>
      <c r="C36" s="41"/>
      <c r="D36" s="41"/>
      <c r="F36" s="41"/>
      <c r="G36" s="41"/>
      <c r="H36" s="41"/>
      <c r="J36" s="41"/>
      <c r="K36" s="41"/>
      <c r="L36" s="41"/>
      <c r="N36" s="41"/>
      <c r="O36" s="41"/>
      <c r="P36" s="41"/>
      <c r="R36" s="41"/>
      <c r="S36" s="41"/>
      <c r="T36" s="41"/>
      <c r="V36" s="41"/>
      <c r="W36" s="41"/>
      <c r="X36" s="41"/>
    </row>
    <row r="37" spans="1:24" ht="13.5" thickBot="1">
      <c r="A37" s="61" t="s">
        <v>92</v>
      </c>
      <c r="B37" s="60">
        <f>Summary!$B$37</f>
        <v>46232661.73507911</v>
      </c>
      <c r="C37" s="60">
        <f>[2]Results!$C$39</f>
        <v>46232661.73507905</v>
      </c>
      <c r="D37" s="60">
        <f>C37-B37</f>
        <v>-5.9604644775390625E-8</v>
      </c>
      <c r="F37" s="60">
        <f>Summary!$D$37</f>
        <v>-6048376.353720177</v>
      </c>
      <c r="G37" s="60">
        <f>[2]Results!$D$39</f>
        <v>-6048376.3532339353</v>
      </c>
      <c r="H37" s="60">
        <f>G37-F37</f>
        <v>4.862416535615921E-4</v>
      </c>
      <c r="J37" s="60">
        <f>Summary!$F$37</f>
        <v>40184285.381358862</v>
      </c>
      <c r="K37" s="60">
        <f>[2]Results!$E$39</f>
        <v>40184285.381845117</v>
      </c>
      <c r="L37" s="60">
        <f>K37-J37</f>
        <v>4.8625469207763672E-4</v>
      </c>
      <c r="N37" s="60">
        <f>Summary!$H$37</f>
        <v>-5604726.0659748167</v>
      </c>
      <c r="O37" s="60">
        <f>[2]Results!$H$39</f>
        <v>-5604725.8338703178</v>
      </c>
      <c r="P37" s="60">
        <f>O37-N37</f>
        <v>0.23210449889302254</v>
      </c>
      <c r="R37" s="60">
        <f>Summary!$J$37</f>
        <v>34579559.31538403</v>
      </c>
      <c r="S37" s="60">
        <f>[2]Results!$I$39</f>
        <v>34579559.547974765</v>
      </c>
      <c r="T37" s="60">
        <f>S37-R37</f>
        <v>0.23259073495864868</v>
      </c>
      <c r="V37" s="60">
        <f>Summary!$L$37</f>
        <v>30063722.543106962</v>
      </c>
      <c r="W37" s="60">
        <f>W13-W35</f>
        <v>30063722.324743457</v>
      </c>
      <c r="X37" s="60">
        <f>W37-V37</f>
        <v>-0.21836350485682487</v>
      </c>
    </row>
    <row r="38" spans="1:24" ht="13.5" thickTop="1">
      <c r="A38" s="61"/>
      <c r="B38" s="41"/>
      <c r="C38" s="41"/>
      <c r="D38" s="41"/>
      <c r="F38" s="41"/>
      <c r="G38" s="41"/>
      <c r="H38" s="41"/>
      <c r="J38" s="41"/>
      <c r="K38" s="41"/>
      <c r="L38" s="41"/>
      <c r="N38" s="41"/>
      <c r="O38" s="41"/>
      <c r="P38" s="41"/>
      <c r="R38" s="41"/>
      <c r="S38" s="41"/>
      <c r="T38" s="41"/>
      <c r="V38" s="41"/>
      <c r="W38" s="41"/>
      <c r="X38" s="41"/>
    </row>
    <row r="39" spans="1:24">
      <c r="A39" s="61" t="s">
        <v>93</v>
      </c>
      <c r="B39" s="41"/>
      <c r="C39" s="41"/>
      <c r="D39" s="41"/>
      <c r="F39" s="41"/>
      <c r="G39" s="41"/>
      <c r="H39" s="41"/>
      <c r="J39" s="41"/>
      <c r="K39" s="41"/>
      <c r="L39" s="41"/>
      <c r="N39" s="41"/>
      <c r="O39" s="41"/>
      <c r="P39" s="41"/>
      <c r="R39" s="41"/>
      <c r="S39" s="41"/>
      <c r="T39" s="41"/>
      <c r="V39" s="41"/>
      <c r="W39" s="41"/>
      <c r="X39" s="41"/>
    </row>
    <row r="40" spans="1:24">
      <c r="A40" s="61" t="s">
        <v>94</v>
      </c>
      <c r="B40" s="41">
        <f>Summary!$B$40</f>
        <v>1398743840.7185168</v>
      </c>
      <c r="C40" s="41">
        <f>[2]Results!$C$42</f>
        <v>1398743840.7185168</v>
      </c>
      <c r="D40" s="41">
        <f t="shared" ref="D40:D51" si="12">C40-B40</f>
        <v>0</v>
      </c>
      <c r="F40" s="41">
        <f>Summary!$D$40</f>
        <v>27046917.071776655</v>
      </c>
      <c r="G40" s="41">
        <f>[2]Results!$D$42</f>
        <v>27046917.071776658</v>
      </c>
      <c r="H40" s="41">
        <f t="shared" ref="H40:H51" si="13">G40-F40</f>
        <v>0</v>
      </c>
      <c r="J40" s="41">
        <f>Summary!$F$40</f>
        <v>1425790757.7902935</v>
      </c>
      <c r="K40" s="41">
        <f>[2]Results!$E$42</f>
        <v>1425790757.7902935</v>
      </c>
      <c r="L40" s="41">
        <f t="shared" ref="L40:L51" si="14">K40-J40</f>
        <v>0</v>
      </c>
      <c r="N40" s="41">
        <f>Summary!$H$40</f>
        <v>-1161847.3348459222</v>
      </c>
      <c r="O40" s="41">
        <f>[2]Results!$H$42</f>
        <v>-1161846.8837236031</v>
      </c>
      <c r="P40" s="41">
        <f t="shared" ref="P40:P51" si="15">O40-N40</f>
        <v>0.45112231909297407</v>
      </c>
      <c r="R40" s="41">
        <f>Summary!$J$40</f>
        <v>1424628910.4554474</v>
      </c>
      <c r="S40" s="41">
        <f>[2]Results!$I$42</f>
        <v>1424628910.90657</v>
      </c>
      <c r="T40" s="41">
        <f t="shared" ref="T40:T51" si="16">S40-R40</f>
        <v>0.45112252235412598</v>
      </c>
      <c r="V40" s="41">
        <f>Summary!$L$40</f>
        <v>0</v>
      </c>
      <c r="W40" s="41"/>
      <c r="X40" s="41">
        <f t="shared" ref="X40:X51" si="17">W40-V40</f>
        <v>0</v>
      </c>
    </row>
    <row r="41" spans="1:24">
      <c r="A41" s="61" t="s">
        <v>95</v>
      </c>
      <c r="B41" s="41">
        <f>Summary!$B$41</f>
        <v>37310.24459140328</v>
      </c>
      <c r="C41" s="41">
        <f>[2]Results!$C$43</f>
        <v>37310.24459140328</v>
      </c>
      <c r="D41" s="41">
        <f t="shared" si="12"/>
        <v>0</v>
      </c>
      <c r="F41" s="41">
        <f>Summary!$D$41</f>
        <v>0</v>
      </c>
      <c r="G41" s="41">
        <f>[2]Results!$D$43</f>
        <v>0</v>
      </c>
      <c r="H41" s="41">
        <f t="shared" si="13"/>
        <v>0</v>
      </c>
      <c r="J41" s="41">
        <f>Summary!$F$41</f>
        <v>37310.24459140328</v>
      </c>
      <c r="K41" s="41">
        <f>[2]Results!$E$43</f>
        <v>37310.24459140328</v>
      </c>
      <c r="L41" s="41">
        <f t="shared" si="14"/>
        <v>0</v>
      </c>
      <c r="N41" s="41">
        <f>Summary!$H$41</f>
        <v>0</v>
      </c>
      <c r="O41" s="41">
        <f>[2]Results!$H$43</f>
        <v>0</v>
      </c>
      <c r="P41" s="41">
        <f t="shared" si="15"/>
        <v>0</v>
      </c>
      <c r="R41" s="41">
        <f>Summary!$J$41</f>
        <v>37310.24459140328</v>
      </c>
      <c r="S41" s="41">
        <f>[2]Results!$I$43</f>
        <v>37310.24459140328</v>
      </c>
      <c r="T41" s="41">
        <f t="shared" si="16"/>
        <v>0</v>
      </c>
      <c r="V41" s="41">
        <f>Summary!$L$41</f>
        <v>0</v>
      </c>
      <c r="W41" s="41"/>
      <c r="X41" s="41">
        <f t="shared" si="17"/>
        <v>0</v>
      </c>
    </row>
    <row r="42" spans="1:24">
      <c r="A42" s="61" t="s">
        <v>96</v>
      </c>
      <c r="B42" s="41">
        <f>Summary!$B$42</f>
        <v>6671729.2360731997</v>
      </c>
      <c r="C42" s="41">
        <f>[2]Results!$C$44</f>
        <v>6671729.2360731997</v>
      </c>
      <c r="D42" s="41">
        <f t="shared" si="12"/>
        <v>0</v>
      </c>
      <c r="F42" s="41">
        <f>Summary!$D$42</f>
        <v>-2197306.0259155687</v>
      </c>
      <c r="G42" s="41">
        <f>[2]Results!$D$44</f>
        <v>-2197306.0259155687</v>
      </c>
      <c r="H42" s="41">
        <f t="shared" si="13"/>
        <v>0</v>
      </c>
      <c r="J42" s="41">
        <f>Summary!$F$42</f>
        <v>4474423.210157631</v>
      </c>
      <c r="K42" s="41">
        <f>[2]Results!$E$44</f>
        <v>4474423.210157631</v>
      </c>
      <c r="L42" s="41">
        <f t="shared" si="14"/>
        <v>0</v>
      </c>
      <c r="N42" s="41">
        <f>Summary!$H$42</f>
        <v>15188002.091061195</v>
      </c>
      <c r="O42" s="41">
        <f>[2]Results!$H$44</f>
        <v>15188002.091061195</v>
      </c>
      <c r="P42" s="41">
        <f t="shared" si="15"/>
        <v>0</v>
      </c>
      <c r="R42" s="41">
        <f>Summary!$J$42</f>
        <v>19662425.301218826</v>
      </c>
      <c r="S42" s="41">
        <f>[2]Results!$I$44</f>
        <v>19662425.301218826</v>
      </c>
      <c r="T42" s="41">
        <f t="shared" si="16"/>
        <v>0</v>
      </c>
      <c r="V42" s="41">
        <f>Summary!$L$42</f>
        <v>0</v>
      </c>
      <c r="W42" s="41"/>
      <c r="X42" s="41">
        <f t="shared" si="17"/>
        <v>0</v>
      </c>
    </row>
    <row r="43" spans="1:24">
      <c r="A43" s="61" t="s">
        <v>97</v>
      </c>
      <c r="B43" s="41">
        <f>Summary!$B$43</f>
        <v>0</v>
      </c>
      <c r="C43" s="41">
        <f>[2]Results!$C$45</f>
        <v>0</v>
      </c>
      <c r="D43" s="41">
        <f t="shared" si="12"/>
        <v>0</v>
      </c>
      <c r="F43" s="41">
        <f>Summary!$D$43</f>
        <v>0</v>
      </c>
      <c r="G43" s="41">
        <f>[2]Results!$D$45</f>
        <v>0</v>
      </c>
      <c r="H43" s="41">
        <f t="shared" si="13"/>
        <v>0</v>
      </c>
      <c r="J43" s="41">
        <f>Summary!$F$43</f>
        <v>0</v>
      </c>
      <c r="K43" s="41">
        <f>[2]Results!$E$45</f>
        <v>0</v>
      </c>
      <c r="L43" s="41">
        <f t="shared" si="14"/>
        <v>0</v>
      </c>
      <c r="N43" s="41">
        <f>Summary!$H$43</f>
        <v>0</v>
      </c>
      <c r="O43" s="41">
        <f>[2]Results!$H$45</f>
        <v>0</v>
      </c>
      <c r="P43" s="41">
        <f t="shared" si="15"/>
        <v>0</v>
      </c>
      <c r="R43" s="41">
        <f>Summary!$J$43</f>
        <v>0</v>
      </c>
      <c r="S43" s="41">
        <f>[2]Results!$I$45</f>
        <v>0</v>
      </c>
      <c r="T43" s="41">
        <f t="shared" si="16"/>
        <v>0</v>
      </c>
      <c r="V43" s="41">
        <f>Summary!$L$43</f>
        <v>0</v>
      </c>
      <c r="W43" s="41"/>
      <c r="X43" s="41">
        <f t="shared" si="17"/>
        <v>0</v>
      </c>
    </row>
    <row r="44" spans="1:24">
      <c r="A44" s="61" t="s">
        <v>98</v>
      </c>
      <c r="B44" s="41">
        <f>Summary!$B$44</f>
        <v>0</v>
      </c>
      <c r="C44" s="41">
        <f>[2]Results!$C$46</f>
        <v>0</v>
      </c>
      <c r="D44" s="41">
        <f t="shared" si="12"/>
        <v>0</v>
      </c>
      <c r="F44" s="41">
        <f>Summary!$D$44</f>
        <v>0</v>
      </c>
      <c r="G44" s="41">
        <f>[2]Results!$D$46</f>
        <v>0</v>
      </c>
      <c r="H44" s="41">
        <f t="shared" si="13"/>
        <v>0</v>
      </c>
      <c r="J44" s="41">
        <f>Summary!$F$44</f>
        <v>0</v>
      </c>
      <c r="K44" s="41">
        <f>[2]Results!$E$46</f>
        <v>0</v>
      </c>
      <c r="L44" s="41">
        <f t="shared" si="14"/>
        <v>0</v>
      </c>
      <c r="N44" s="41">
        <f>Summary!$H$44</f>
        <v>0</v>
      </c>
      <c r="O44" s="41">
        <f>[2]Results!$H$46</f>
        <v>0</v>
      </c>
      <c r="P44" s="41">
        <f t="shared" si="15"/>
        <v>0</v>
      </c>
      <c r="R44" s="41">
        <f>Summary!$J$44</f>
        <v>0</v>
      </c>
      <c r="S44" s="41">
        <f>[2]Results!$I$46</f>
        <v>0</v>
      </c>
      <c r="T44" s="41">
        <f t="shared" si="16"/>
        <v>0</v>
      </c>
      <c r="V44" s="41">
        <f>Summary!$L$44</f>
        <v>0</v>
      </c>
      <c r="W44" s="41"/>
      <c r="X44" s="41">
        <f t="shared" si="17"/>
        <v>0</v>
      </c>
    </row>
    <row r="45" spans="1:24">
      <c r="A45" s="61" t="s">
        <v>99</v>
      </c>
      <c r="B45" s="41">
        <f>Summary!$B$45</f>
        <v>2850427.943054324</v>
      </c>
      <c r="C45" s="41">
        <f>[2]Results!$C$47</f>
        <v>2850427.943054324</v>
      </c>
      <c r="D45" s="41">
        <f t="shared" si="12"/>
        <v>0</v>
      </c>
      <c r="F45" s="41">
        <f>Summary!$D$45</f>
        <v>-2850427.9619466118</v>
      </c>
      <c r="G45" s="41">
        <f>[2]Results!$D$47</f>
        <v>-2850427.9619466118</v>
      </c>
      <c r="H45" s="41">
        <f t="shared" si="13"/>
        <v>0</v>
      </c>
      <c r="J45" s="41">
        <f>Summary!$F$45</f>
        <v>-1.8892287742346525E-2</v>
      </c>
      <c r="K45" s="41">
        <f>[2]Results!$E$47</f>
        <v>-1.8892287742346525E-2</v>
      </c>
      <c r="L45" s="41">
        <f t="shared" si="14"/>
        <v>0</v>
      </c>
      <c r="N45" s="41">
        <f>Summary!$H$45</f>
        <v>0</v>
      </c>
      <c r="O45" s="41">
        <f>[2]Results!$H$47</f>
        <v>0</v>
      </c>
      <c r="P45" s="41">
        <f t="shared" si="15"/>
        <v>0</v>
      </c>
      <c r="R45" s="41">
        <f>Summary!$J$45</f>
        <v>-1.8892287742346525E-2</v>
      </c>
      <c r="S45" s="41">
        <f>[2]Results!$I$47</f>
        <v>-1.8892287742346525E-2</v>
      </c>
      <c r="T45" s="41">
        <f t="shared" si="16"/>
        <v>0</v>
      </c>
      <c r="V45" s="41">
        <f>Summary!$L$45</f>
        <v>0</v>
      </c>
      <c r="W45" s="41"/>
      <c r="X45" s="41">
        <f t="shared" si="17"/>
        <v>0</v>
      </c>
    </row>
    <row r="46" spans="1:24">
      <c r="A46" s="61" t="s">
        <v>100</v>
      </c>
      <c r="B46" s="41">
        <f>Summary!$B$46</f>
        <v>3524551.0469494397</v>
      </c>
      <c r="C46" s="41">
        <f>[2]Results!$C$48</f>
        <v>3524551.0469494397</v>
      </c>
      <c r="D46" s="41">
        <f t="shared" si="12"/>
        <v>0</v>
      </c>
      <c r="F46" s="41">
        <f>Summary!$D$46</f>
        <v>2033952.2560125524</v>
      </c>
      <c r="G46" s="41">
        <f>[2]Results!$D$48</f>
        <v>2033952.2560125524</v>
      </c>
      <c r="H46" s="41">
        <f t="shared" si="13"/>
        <v>0</v>
      </c>
      <c r="J46" s="41">
        <f>Summary!$F$46</f>
        <v>5558503.3029619921</v>
      </c>
      <c r="K46" s="41">
        <f>[2]Results!$E$48</f>
        <v>5558503.3029619921</v>
      </c>
      <c r="L46" s="41">
        <f t="shared" si="14"/>
        <v>0</v>
      </c>
      <c r="N46" s="41">
        <f>Summary!$H$46</f>
        <v>-3595.335989266634</v>
      </c>
      <c r="O46" s="41">
        <f>[2]Results!$H$48</f>
        <v>-3595.335989266634</v>
      </c>
      <c r="P46" s="41">
        <f t="shared" si="15"/>
        <v>0</v>
      </c>
      <c r="R46" s="41">
        <f>Summary!$J$46</f>
        <v>5554907.9669727255</v>
      </c>
      <c r="S46" s="41">
        <f>[2]Results!$I$48</f>
        <v>5554907.9669727255</v>
      </c>
      <c r="T46" s="41">
        <f t="shared" si="16"/>
        <v>0</v>
      </c>
      <c r="V46" s="41">
        <f>Summary!$L$46</f>
        <v>0</v>
      </c>
      <c r="W46" s="41"/>
      <c r="X46" s="41">
        <f t="shared" si="17"/>
        <v>0</v>
      </c>
    </row>
    <row r="47" spans="1:24">
      <c r="A47" s="61" t="s">
        <v>101</v>
      </c>
      <c r="B47" s="41">
        <f>Summary!$B$47</f>
        <v>7763142.7157643503</v>
      </c>
      <c r="C47" s="41">
        <f>[2]Results!$C$49</f>
        <v>7763142.7157643503</v>
      </c>
      <c r="D47" s="41">
        <f t="shared" si="12"/>
        <v>0</v>
      </c>
      <c r="F47" s="41">
        <f>Summary!$D$47</f>
        <v>2018177.8990736436</v>
      </c>
      <c r="G47" s="41">
        <f>[2]Results!$D$49</f>
        <v>2018177.8990736436</v>
      </c>
      <c r="H47" s="41">
        <f t="shared" si="13"/>
        <v>0</v>
      </c>
      <c r="J47" s="41">
        <f>Summary!$F$47</f>
        <v>9781320.6148379929</v>
      </c>
      <c r="K47" s="41">
        <f>[2]Results!$E$49</f>
        <v>9781320.6148379929</v>
      </c>
      <c r="L47" s="41">
        <f t="shared" si="14"/>
        <v>0</v>
      </c>
      <c r="N47" s="41">
        <f>Summary!$H$47</f>
        <v>-3545.2505568028428</v>
      </c>
      <c r="O47" s="41">
        <f>[2]Results!$H$49</f>
        <v>-3545.2505568028428</v>
      </c>
      <c r="P47" s="41">
        <f t="shared" si="15"/>
        <v>0</v>
      </c>
      <c r="R47" s="41">
        <f>Summary!$J$47</f>
        <v>9777775.3642811906</v>
      </c>
      <c r="S47" s="41">
        <f>[2]Results!$I$49</f>
        <v>9777775.3642811906</v>
      </c>
      <c r="T47" s="41">
        <f t="shared" si="16"/>
        <v>0</v>
      </c>
      <c r="V47" s="41">
        <f>Summary!$L$47</f>
        <v>0</v>
      </c>
      <c r="W47" s="41"/>
      <c r="X47" s="41">
        <f t="shared" si="17"/>
        <v>0</v>
      </c>
    </row>
    <row r="48" spans="1:24">
      <c r="A48" s="61" t="s">
        <v>102</v>
      </c>
      <c r="B48" s="41">
        <f>Summary!$B$48</f>
        <v>2159291.1506739343</v>
      </c>
      <c r="C48" s="41">
        <f>[2]Results!$C$50</f>
        <v>2159291.1506739343</v>
      </c>
      <c r="D48" s="41">
        <f t="shared" si="12"/>
        <v>0</v>
      </c>
      <c r="F48" s="41">
        <f>Summary!$D$48</f>
        <v>8646327.0520162769</v>
      </c>
      <c r="G48" s="41">
        <f>[2]Results!$D$50</f>
        <v>8646327.0520162769</v>
      </c>
      <c r="H48" s="41">
        <f t="shared" si="13"/>
        <v>0</v>
      </c>
      <c r="J48" s="41">
        <f>Summary!$F$48</f>
        <v>10805618.20269021</v>
      </c>
      <c r="K48" s="41">
        <f>[2]Results!$E$50</f>
        <v>10805618.20269021</v>
      </c>
      <c r="L48" s="41">
        <f t="shared" si="14"/>
        <v>0</v>
      </c>
      <c r="N48" s="41">
        <f>Summary!$H$48</f>
        <v>364275.90369573049</v>
      </c>
      <c r="O48" s="41">
        <f>[2]Results!$H$50</f>
        <v>364275.90369573049</v>
      </c>
      <c r="P48" s="41">
        <f t="shared" si="15"/>
        <v>0</v>
      </c>
      <c r="R48" s="41">
        <f>Summary!$J$48</f>
        <v>11169894.106385941</v>
      </c>
      <c r="S48" s="41">
        <f>[2]Results!$I$50</f>
        <v>11169894.106385941</v>
      </c>
      <c r="T48" s="41">
        <f t="shared" si="16"/>
        <v>0</v>
      </c>
      <c r="V48" s="41">
        <f>Summary!$L$48</f>
        <v>0</v>
      </c>
      <c r="W48" s="41"/>
      <c r="X48" s="41">
        <f t="shared" si="17"/>
        <v>0</v>
      </c>
    </row>
    <row r="49" spans="1:24">
      <c r="A49" s="61" t="s">
        <v>103</v>
      </c>
      <c r="B49" s="41">
        <f>Summary!$B$49</f>
        <v>2046740.5986772478</v>
      </c>
      <c r="C49" s="41">
        <f>[2]Results!$C$51</f>
        <v>2046740.5986772478</v>
      </c>
      <c r="D49" s="41">
        <f t="shared" si="12"/>
        <v>0</v>
      </c>
      <c r="F49" s="41">
        <f>Summary!$D$49</f>
        <v>0</v>
      </c>
      <c r="G49" s="41">
        <f>[2]Results!$D$51</f>
        <v>0</v>
      </c>
      <c r="H49" s="41">
        <f t="shared" si="13"/>
        <v>0</v>
      </c>
      <c r="J49" s="41">
        <f>Summary!$F$49</f>
        <v>2046740.5986772478</v>
      </c>
      <c r="K49" s="41">
        <f>[2]Results!$E$51</f>
        <v>2046740.5986772478</v>
      </c>
      <c r="L49" s="41">
        <f t="shared" si="14"/>
        <v>0</v>
      </c>
      <c r="N49" s="41">
        <f>Summary!$H$49</f>
        <v>0</v>
      </c>
      <c r="O49" s="41">
        <f>[2]Results!$H$51</f>
        <v>0</v>
      </c>
      <c r="P49" s="41">
        <f t="shared" si="15"/>
        <v>0</v>
      </c>
      <c r="R49" s="41">
        <f>Summary!$J$49</f>
        <v>2046740.5986772478</v>
      </c>
      <c r="S49" s="41">
        <f>[2]Results!$I$51</f>
        <v>2046740.5986772478</v>
      </c>
      <c r="T49" s="41">
        <f t="shared" si="16"/>
        <v>0</v>
      </c>
      <c r="V49" s="41">
        <f>Summary!$L$49</f>
        <v>0</v>
      </c>
      <c r="W49" s="41"/>
      <c r="X49" s="41">
        <f t="shared" si="17"/>
        <v>0</v>
      </c>
    </row>
    <row r="50" spans="1:24">
      <c r="A50" s="61" t="s">
        <v>104</v>
      </c>
      <c r="B50" s="41">
        <f>Summary!$B$50</f>
        <v>268576.60807565699</v>
      </c>
      <c r="C50" s="41">
        <f>[2]Results!$C$52</f>
        <v>268576.60807565699</v>
      </c>
      <c r="D50" s="41">
        <f t="shared" si="12"/>
        <v>0</v>
      </c>
      <c r="F50" s="41">
        <f>Summary!$D$50</f>
        <v>-268576.60836182453</v>
      </c>
      <c r="G50" s="41">
        <f>[2]Results!$D$52</f>
        <v>-268576.60836182453</v>
      </c>
      <c r="H50" s="41">
        <f t="shared" si="13"/>
        <v>0</v>
      </c>
      <c r="J50" s="41">
        <f>Summary!$F$50</f>
        <v>-2.86167545709759E-4</v>
      </c>
      <c r="K50" s="41">
        <f>[2]Results!$E$52</f>
        <v>-2.86167545709759E-4</v>
      </c>
      <c r="L50" s="41">
        <f t="shared" si="14"/>
        <v>0</v>
      </c>
      <c r="N50" s="41">
        <f>Summary!$H$50</f>
        <v>0</v>
      </c>
      <c r="O50" s="41">
        <f>[2]Results!$H$52</f>
        <v>0</v>
      </c>
      <c r="P50" s="41">
        <f t="shared" si="15"/>
        <v>0</v>
      </c>
      <c r="R50" s="41">
        <f>Summary!$J$50</f>
        <v>-2.86167545709759E-4</v>
      </c>
      <c r="S50" s="41">
        <f>[2]Results!$I$52</f>
        <v>-2.86167545709759E-4</v>
      </c>
      <c r="T50" s="41">
        <f t="shared" si="16"/>
        <v>0</v>
      </c>
      <c r="V50" s="41">
        <f>Summary!$L$50</f>
        <v>0</v>
      </c>
      <c r="W50" s="41"/>
      <c r="X50" s="41">
        <f t="shared" si="17"/>
        <v>0</v>
      </c>
    </row>
    <row r="51" spans="1:24" ht="13.5" thickBot="1">
      <c r="A51" s="61" t="s">
        <v>105</v>
      </c>
      <c r="B51" s="60">
        <f>Summary!$B$51</f>
        <v>1424065610.2623763</v>
      </c>
      <c r="C51" s="60">
        <f>[2]Results!$C$53</f>
        <v>1424065610.2623763</v>
      </c>
      <c r="D51" s="60">
        <f t="shared" si="12"/>
        <v>0</v>
      </c>
      <c r="F51" s="60">
        <f>Summary!$D$51</f>
        <v>34429063.682655126</v>
      </c>
      <c r="G51" s="60">
        <f>[2]Results!$D$53</f>
        <v>34429063.682655126</v>
      </c>
      <c r="H51" s="60">
        <f t="shared" si="13"/>
        <v>0</v>
      </c>
      <c r="J51" s="60">
        <f>Summary!$F$51</f>
        <v>1458494673.9450314</v>
      </c>
      <c r="K51" s="60">
        <f>[2]Results!$E$53</f>
        <v>1458494673.9450314</v>
      </c>
      <c r="L51" s="60">
        <f t="shared" si="14"/>
        <v>0</v>
      </c>
      <c r="N51" s="60">
        <f>Summary!$H$51</f>
        <v>14383290.073364934</v>
      </c>
      <c r="O51" s="60">
        <f>[2]Results!$H$53</f>
        <v>14383290.524487253</v>
      </c>
      <c r="P51" s="60">
        <f t="shared" si="15"/>
        <v>0.45112231932580471</v>
      </c>
      <c r="R51" s="60">
        <f>Summary!$J$51</f>
        <v>1472877964.0183964</v>
      </c>
      <c r="S51" s="60">
        <f>[2]Results!$I$53</f>
        <v>1472877964.4695189</v>
      </c>
      <c r="T51" s="60">
        <f t="shared" si="16"/>
        <v>0.45112252235412598</v>
      </c>
      <c r="V51" s="60">
        <f>Summary!$L$51</f>
        <v>0</v>
      </c>
      <c r="W51" s="60"/>
      <c r="X51" s="60">
        <f t="shared" si="17"/>
        <v>0</v>
      </c>
    </row>
    <row r="52" spans="1:24" ht="13.5" thickTop="1">
      <c r="A52" s="61"/>
      <c r="B52" s="41"/>
      <c r="C52" s="41"/>
      <c r="D52" s="41"/>
      <c r="F52" s="41"/>
      <c r="G52" s="41"/>
      <c r="H52" s="41"/>
      <c r="J52" s="41"/>
      <c r="K52" s="41"/>
      <c r="L52" s="41"/>
      <c r="N52" s="41"/>
      <c r="O52" s="41"/>
      <c r="P52" s="41"/>
      <c r="R52" s="41"/>
      <c r="S52" s="41"/>
      <c r="T52" s="41"/>
      <c r="V52" s="41"/>
      <c r="W52" s="41"/>
      <c r="X52" s="41"/>
    </row>
    <row r="53" spans="1:24">
      <c r="A53" s="61" t="s">
        <v>106</v>
      </c>
      <c r="B53" s="41"/>
      <c r="C53" s="41"/>
      <c r="D53" s="41"/>
      <c r="F53" s="41"/>
      <c r="G53" s="41"/>
      <c r="H53" s="41"/>
      <c r="J53" s="41"/>
      <c r="K53" s="41"/>
      <c r="L53" s="41"/>
      <c r="N53" s="41"/>
      <c r="O53" s="41"/>
      <c r="P53" s="41"/>
      <c r="R53" s="41"/>
      <c r="S53" s="41"/>
      <c r="T53" s="41"/>
      <c r="V53" s="41"/>
      <c r="W53" s="41"/>
      <c r="X53" s="41"/>
    </row>
    <row r="54" spans="1:24">
      <c r="A54" s="61" t="s">
        <v>107</v>
      </c>
      <c r="B54" s="41">
        <f>Summary!$B$54</f>
        <v>-503192583.84775847</v>
      </c>
      <c r="C54" s="41">
        <f>[2]Results!$C$56</f>
        <v>-503192583.84775847</v>
      </c>
      <c r="D54" s="41">
        <f t="shared" ref="D54:D62" si="18">C54-B54</f>
        <v>0</v>
      </c>
      <c r="F54" s="41">
        <f>Summary!$D$54</f>
        <v>-7446965.4092337936</v>
      </c>
      <c r="G54" s="41">
        <f>[2]Results!$D$56</f>
        <v>-7446965.4092337936</v>
      </c>
      <c r="H54" s="41">
        <f t="shared" ref="H54:H62" si="19">G54-F54</f>
        <v>0</v>
      </c>
      <c r="J54" s="41">
        <f>Summary!$F$54</f>
        <v>-510639549.25699228</v>
      </c>
      <c r="K54" s="41">
        <f>[2]Results!$E$56</f>
        <v>-510639549.25699228</v>
      </c>
      <c r="L54" s="41">
        <f t="shared" ref="L54:L62" si="20">K54-J54</f>
        <v>0</v>
      </c>
      <c r="N54" s="41">
        <f>Summary!$H$54</f>
        <v>123289.41095568537</v>
      </c>
      <c r="O54" s="41">
        <f>[2]Results!$H$56</f>
        <v>123289.41095567844</v>
      </c>
      <c r="P54" s="41">
        <f t="shared" ref="P54:P62" si="21">O54-N54</f>
        <v>-6.9267116487026215E-9</v>
      </c>
      <c r="R54" s="41">
        <f>Summary!$J$54</f>
        <v>-510516259.84603661</v>
      </c>
      <c r="S54" s="41">
        <f>[2]Results!$I$56</f>
        <v>-510516259.84603661</v>
      </c>
      <c r="T54" s="41">
        <f t="shared" ref="T54:T62" si="22">S54-R54</f>
        <v>0</v>
      </c>
      <c r="V54" s="41">
        <f>Summary!$L$54</f>
        <v>0</v>
      </c>
      <c r="W54" s="41"/>
      <c r="X54" s="41">
        <f t="shared" ref="X54:X62" si="23">W54-V54</f>
        <v>0</v>
      </c>
    </row>
    <row r="55" spans="1:24">
      <c r="A55" s="61" t="s">
        <v>108</v>
      </c>
      <c r="B55" s="41">
        <f>Summary!$B$55</f>
        <v>-34606345.321051545</v>
      </c>
      <c r="C55" s="41">
        <f>[2]Results!$C$57</f>
        <v>-34606345.321051545</v>
      </c>
      <c r="D55" s="41">
        <f t="shared" si="18"/>
        <v>0</v>
      </c>
      <c r="F55" s="41">
        <f>Summary!$D$55</f>
        <v>0</v>
      </c>
      <c r="G55" s="41">
        <f>[2]Results!$D$57</f>
        <v>0</v>
      </c>
      <c r="H55" s="41">
        <f t="shared" si="19"/>
        <v>0</v>
      </c>
      <c r="J55" s="41">
        <f>Summary!$F$55</f>
        <v>-34606345.321051545</v>
      </c>
      <c r="K55" s="41">
        <f>[2]Results!$E$57</f>
        <v>-34606345.321051545</v>
      </c>
      <c r="L55" s="41">
        <f t="shared" si="20"/>
        <v>0</v>
      </c>
      <c r="N55" s="41">
        <f>Summary!$H$55</f>
        <v>0</v>
      </c>
      <c r="O55" s="41">
        <f>[2]Results!$H$57</f>
        <v>0</v>
      </c>
      <c r="P55" s="41">
        <f t="shared" si="21"/>
        <v>0</v>
      </c>
      <c r="R55" s="41">
        <f>Summary!$J$55</f>
        <v>-34606345.321051545</v>
      </c>
      <c r="S55" s="41">
        <f>[2]Results!$I$57</f>
        <v>-34606345.321051545</v>
      </c>
      <c r="T55" s="41">
        <f t="shared" si="22"/>
        <v>0</v>
      </c>
      <c r="V55" s="41">
        <f>Summary!$L$55</f>
        <v>0</v>
      </c>
      <c r="W55" s="41"/>
      <c r="X55" s="41">
        <f t="shared" si="23"/>
        <v>0</v>
      </c>
    </row>
    <row r="56" spans="1:24">
      <c r="A56" s="61" t="s">
        <v>109</v>
      </c>
      <c r="B56" s="41">
        <f>Summary!$B$56</f>
        <v>-128569574.10448816</v>
      </c>
      <c r="C56" s="41">
        <f>[2]Results!$C$58</f>
        <v>-128569574.10448816</v>
      </c>
      <c r="D56" s="41">
        <f t="shared" si="18"/>
        <v>0</v>
      </c>
      <c r="F56" s="41">
        <f>Summary!$D$56</f>
        <v>-6648465.3569998443</v>
      </c>
      <c r="G56" s="41">
        <f>[2]Results!$D$58</f>
        <v>-6648465.3074480388</v>
      </c>
      <c r="H56" s="41">
        <f t="shared" si="19"/>
        <v>4.9551805481314659E-2</v>
      </c>
      <c r="J56" s="41">
        <f>Summary!$F$56</f>
        <v>-135218039.46148801</v>
      </c>
      <c r="K56" s="41">
        <f>[2]Results!$E$58</f>
        <v>-135218039.41193619</v>
      </c>
      <c r="L56" s="41">
        <f t="shared" si="20"/>
        <v>4.9551814794540405E-2</v>
      </c>
      <c r="N56" s="41">
        <f>Summary!$H$56</f>
        <v>-5544377.6454294352</v>
      </c>
      <c r="O56" s="41">
        <f>[2]Results!$H$58</f>
        <v>-5544377.9755178178</v>
      </c>
      <c r="P56" s="41">
        <f t="shared" si="21"/>
        <v>-0.33008838258683681</v>
      </c>
      <c r="R56" s="41">
        <f>Summary!$J$56</f>
        <v>-140762417.10691744</v>
      </c>
      <c r="S56" s="41">
        <f>[2]Results!$I$58</f>
        <v>-140762417.387454</v>
      </c>
      <c r="T56" s="41">
        <f t="shared" si="22"/>
        <v>-0.28053656220436096</v>
      </c>
      <c r="V56" s="41">
        <f>Summary!$L$56</f>
        <v>0</v>
      </c>
      <c r="W56" s="41"/>
      <c r="X56" s="41">
        <f t="shared" si="23"/>
        <v>0</v>
      </c>
    </row>
    <row r="57" spans="1:24">
      <c r="A57" s="61" t="s">
        <v>110</v>
      </c>
      <c r="B57" s="41">
        <f>Summary!$B$57</f>
        <v>-1096753.183804</v>
      </c>
      <c r="C57" s="41">
        <f>[2]Results!$C$59</f>
        <v>-1096753.183804</v>
      </c>
      <c r="D57" s="41">
        <f t="shared" si="18"/>
        <v>0</v>
      </c>
      <c r="F57" s="41">
        <f>Summary!$D$57</f>
        <v>144385.82344165733</v>
      </c>
      <c r="G57" s="41">
        <f>[2]Results!$D$59</f>
        <v>144385.82344165733</v>
      </c>
      <c r="H57" s="41">
        <f t="shared" si="19"/>
        <v>0</v>
      </c>
      <c r="J57" s="41">
        <f>Summary!$F$57</f>
        <v>-952367.36036234268</v>
      </c>
      <c r="K57" s="41">
        <f>[2]Results!$E$59</f>
        <v>-952367.36036234268</v>
      </c>
      <c r="L57" s="41">
        <f t="shared" si="20"/>
        <v>0</v>
      </c>
      <c r="N57" s="41">
        <f>Summary!$H$57</f>
        <v>0</v>
      </c>
      <c r="O57" s="41">
        <f>[2]Results!$H$59</f>
        <v>0</v>
      </c>
      <c r="P57" s="41">
        <f t="shared" si="21"/>
        <v>0</v>
      </c>
      <c r="R57" s="41">
        <f>Summary!$J$57</f>
        <v>-952367.36036234268</v>
      </c>
      <c r="S57" s="41">
        <f>[2]Results!$I$59</f>
        <v>-952367.36036234268</v>
      </c>
      <c r="T57" s="41">
        <f t="shared" si="22"/>
        <v>0</v>
      </c>
      <c r="V57" s="41">
        <f>Summary!$L$57</f>
        <v>0</v>
      </c>
      <c r="W57" s="41"/>
      <c r="X57" s="41">
        <f t="shared" si="23"/>
        <v>0</v>
      </c>
    </row>
    <row r="58" spans="1:24">
      <c r="A58" s="61" t="s">
        <v>111</v>
      </c>
      <c r="B58" s="41">
        <f>Summary!$B$58</f>
        <v>-334499.98611589998</v>
      </c>
      <c r="C58" s="41">
        <f>[2]Results!$C$60</f>
        <v>-334499.98611589998</v>
      </c>
      <c r="D58" s="41">
        <f t="shared" si="18"/>
        <v>0</v>
      </c>
      <c r="F58" s="41">
        <f>Summary!$D$58</f>
        <v>23142.536575635779</v>
      </c>
      <c r="G58" s="41">
        <f>[2]Results!$D$60</f>
        <v>23142.536575635779</v>
      </c>
      <c r="H58" s="41">
        <f t="shared" si="19"/>
        <v>0</v>
      </c>
      <c r="J58" s="41">
        <f>Summary!$F$58</f>
        <v>-311357.44954026421</v>
      </c>
      <c r="K58" s="41">
        <f>[2]Results!$E$60</f>
        <v>-311357.44954026421</v>
      </c>
      <c r="L58" s="41">
        <f t="shared" si="20"/>
        <v>0</v>
      </c>
      <c r="N58" s="41">
        <f>Summary!$H$58</f>
        <v>0</v>
      </c>
      <c r="O58" s="41">
        <f>[2]Results!$H$60</f>
        <v>0</v>
      </c>
      <c r="P58" s="41">
        <f t="shared" si="21"/>
        <v>0</v>
      </c>
      <c r="R58" s="41">
        <f>Summary!$J$58</f>
        <v>-311357.44954026421</v>
      </c>
      <c r="S58" s="41">
        <f>[2]Results!$I$60</f>
        <v>-311357.44954026421</v>
      </c>
      <c r="T58" s="41">
        <f t="shared" si="22"/>
        <v>0</v>
      </c>
      <c r="V58" s="41">
        <f>Summary!$L$58</f>
        <v>0</v>
      </c>
      <c r="W58" s="41"/>
      <c r="X58" s="41">
        <f t="shared" si="23"/>
        <v>0</v>
      </c>
    </row>
    <row r="59" spans="1:24">
      <c r="A59" s="61" t="s">
        <v>112</v>
      </c>
      <c r="B59" s="41">
        <f>Summary!$B$59</f>
        <v>0</v>
      </c>
      <c r="C59" s="41">
        <f>[2]Results!$C$61</f>
        <v>0</v>
      </c>
      <c r="D59" s="41">
        <f t="shared" si="18"/>
        <v>0</v>
      </c>
      <c r="F59" s="41">
        <f>Summary!$D$59</f>
        <v>-2980495.6783333328</v>
      </c>
      <c r="G59" s="41">
        <f>[2]Results!$D$61</f>
        <v>-2980495.6783333328</v>
      </c>
      <c r="H59" s="41">
        <f t="shared" si="19"/>
        <v>0</v>
      </c>
      <c r="J59" s="41">
        <f>Summary!$F$59</f>
        <v>-2980495.6783333328</v>
      </c>
      <c r="K59" s="41">
        <f>[2]Results!$E$61</f>
        <v>-2980495.6783333328</v>
      </c>
      <c r="L59" s="41">
        <f t="shared" si="20"/>
        <v>0</v>
      </c>
      <c r="N59" s="41">
        <f>Summary!$H$59</f>
        <v>0</v>
      </c>
      <c r="O59" s="41">
        <f>[2]Results!$H$61</f>
        <v>0</v>
      </c>
      <c r="P59" s="41">
        <f t="shared" si="21"/>
        <v>0</v>
      </c>
      <c r="R59" s="41">
        <f>Summary!$J$59</f>
        <v>-2980495.6783333328</v>
      </c>
      <c r="S59" s="41">
        <f>[2]Results!$I$61</f>
        <v>-2980495.6783333328</v>
      </c>
      <c r="T59" s="41">
        <f t="shared" si="22"/>
        <v>0</v>
      </c>
      <c r="V59" s="41">
        <f>Summary!$L$59</f>
        <v>0</v>
      </c>
      <c r="W59" s="41"/>
      <c r="X59" s="41">
        <f t="shared" si="23"/>
        <v>0</v>
      </c>
    </row>
    <row r="60" spans="1:24">
      <c r="A60" s="61" t="s">
        <v>113</v>
      </c>
      <c r="B60" s="41">
        <f>Summary!$B$60</f>
        <v>-4865967.0740704359</v>
      </c>
      <c r="C60" s="41">
        <f>[2]Results!$C$62</f>
        <v>-4865967.0740704359</v>
      </c>
      <c r="D60" s="41">
        <f t="shared" si="18"/>
        <v>0</v>
      </c>
      <c r="F60" s="41">
        <f>Summary!$D$60</f>
        <v>-2789519.813278635</v>
      </c>
      <c r="G60" s="41">
        <f>[2]Results!$D$62</f>
        <v>-2789519.813278635</v>
      </c>
      <c r="H60" s="41">
        <f t="shared" si="19"/>
        <v>0</v>
      </c>
      <c r="J60" s="41">
        <f>Summary!$F$60</f>
        <v>-7655486.887349071</v>
      </c>
      <c r="K60" s="41">
        <f>[2]Results!$E$62</f>
        <v>-7655486.887349071</v>
      </c>
      <c r="L60" s="41">
        <f t="shared" si="20"/>
        <v>0</v>
      </c>
      <c r="N60" s="41">
        <f>Summary!$H$60</f>
        <v>6650.0176601060666</v>
      </c>
      <c r="O60" s="41">
        <f>[2]Results!$H$62</f>
        <v>6650.0176601060666</v>
      </c>
      <c r="P60" s="41">
        <f t="shared" si="21"/>
        <v>0</v>
      </c>
      <c r="R60" s="41">
        <f>Summary!$J$60</f>
        <v>-7648836.8696889654</v>
      </c>
      <c r="S60" s="41">
        <f>[2]Results!$I$62</f>
        <v>-7648836.8696889654</v>
      </c>
      <c r="T60" s="41">
        <f t="shared" si="22"/>
        <v>0</v>
      </c>
      <c r="V60" s="41">
        <f>Summary!$L$60</f>
        <v>0</v>
      </c>
      <c r="W60" s="41"/>
      <c r="X60" s="41">
        <f t="shared" si="23"/>
        <v>0</v>
      </c>
    </row>
    <row r="61" spans="1:24">
      <c r="A61" s="61"/>
      <c r="B61" s="41">
        <f>Summary!$B$61</f>
        <v>0</v>
      </c>
      <c r="C61" s="41">
        <f>[2]Results!$C$63</f>
        <v>0</v>
      </c>
      <c r="D61" s="41">
        <f t="shared" si="18"/>
        <v>0</v>
      </c>
      <c r="F61" s="41">
        <f>Summary!$D$61</f>
        <v>0</v>
      </c>
      <c r="G61" s="41">
        <f>[2]Results!$D$63</f>
        <v>0</v>
      </c>
      <c r="H61" s="41">
        <f t="shared" si="19"/>
        <v>0</v>
      </c>
      <c r="J61" s="41">
        <f>Summary!$F$61</f>
        <v>0</v>
      </c>
      <c r="K61" s="41">
        <f>[2]Results!$E$63</f>
        <v>0</v>
      </c>
      <c r="L61" s="41">
        <f t="shared" si="20"/>
        <v>0</v>
      </c>
      <c r="N61" s="41">
        <f>Summary!$H$61</f>
        <v>0</v>
      </c>
      <c r="O61" s="41">
        <f>[2]Results!$H$63</f>
        <v>0</v>
      </c>
      <c r="P61" s="41">
        <f t="shared" si="21"/>
        <v>0</v>
      </c>
      <c r="R61" s="41">
        <f>Summary!$J$61</f>
        <v>0</v>
      </c>
      <c r="S61" s="41">
        <f>[2]Results!$I$63</f>
        <v>0</v>
      </c>
      <c r="T61" s="41">
        <f t="shared" si="22"/>
        <v>0</v>
      </c>
      <c r="V61" s="41">
        <f>Summary!$L$61</f>
        <v>0</v>
      </c>
      <c r="W61" s="41"/>
      <c r="X61" s="41">
        <f t="shared" si="23"/>
        <v>0</v>
      </c>
    </row>
    <row r="62" spans="1:24" ht="13.5" thickBot="1">
      <c r="A62" s="61" t="s">
        <v>114</v>
      </c>
      <c r="B62" s="60">
        <f>Summary!$B$62</f>
        <v>-672665723.51728857</v>
      </c>
      <c r="C62" s="60">
        <f>[2]Results!$C$64</f>
        <v>-672665723.51728857</v>
      </c>
      <c r="D62" s="60">
        <f t="shared" si="18"/>
        <v>0</v>
      </c>
      <c r="F62" s="60">
        <f>Summary!$D$62</f>
        <v>-19697917.897828311</v>
      </c>
      <c r="G62" s="60">
        <f>[2]Results!$D$64</f>
        <v>-19697917.848276507</v>
      </c>
      <c r="H62" s="60">
        <f t="shared" si="19"/>
        <v>4.955180361866951E-2</v>
      </c>
      <c r="J62" s="60">
        <f>Summary!$F$62</f>
        <v>-692363641.41511679</v>
      </c>
      <c r="K62" s="60">
        <f>[2]Results!$E$64</f>
        <v>-692363641.36556494</v>
      </c>
      <c r="L62" s="60">
        <f t="shared" si="20"/>
        <v>4.9551844596862793E-2</v>
      </c>
      <c r="N62" s="60">
        <f>Summary!$H$62</f>
        <v>-5414438.2168136444</v>
      </c>
      <c r="O62" s="60">
        <f>[2]Results!$H$64</f>
        <v>-5414438.5469020326</v>
      </c>
      <c r="P62" s="60">
        <f t="shared" si="21"/>
        <v>-0.33008838817477226</v>
      </c>
      <c r="R62" s="60">
        <f>Summary!$J$62</f>
        <v>-697778079.63193047</v>
      </c>
      <c r="S62" s="60">
        <f>[2]Results!$I$64</f>
        <v>-697778079.912467</v>
      </c>
      <c r="T62" s="60">
        <f t="shared" si="22"/>
        <v>-0.28053653240203857</v>
      </c>
      <c r="V62" s="60">
        <f>Summary!$L$62</f>
        <v>0</v>
      </c>
      <c r="W62" s="60"/>
      <c r="X62" s="60">
        <f t="shared" si="23"/>
        <v>0</v>
      </c>
    </row>
    <row r="63" spans="1:24" ht="13.5" thickTop="1">
      <c r="A63" s="61"/>
      <c r="B63" s="41"/>
      <c r="C63" s="41"/>
      <c r="D63" s="41"/>
      <c r="F63" s="41"/>
      <c r="G63" s="41"/>
      <c r="H63" s="41"/>
      <c r="J63" s="41"/>
      <c r="K63" s="41"/>
      <c r="L63" s="41"/>
      <c r="N63" s="41"/>
      <c r="O63" s="41"/>
      <c r="P63" s="41"/>
      <c r="R63" s="41"/>
      <c r="S63" s="41"/>
      <c r="T63" s="41"/>
      <c r="V63" s="41"/>
      <c r="W63" s="41"/>
      <c r="X63" s="41"/>
    </row>
    <row r="64" spans="1:24" ht="13.5" thickBot="1">
      <c r="A64" s="61" t="s">
        <v>115</v>
      </c>
      <c r="B64" s="60">
        <f>Summary!$B$64</f>
        <v>751399886.74508774</v>
      </c>
      <c r="C64" s="60">
        <f>[2]Results!$C$66</f>
        <v>751399886.74508774</v>
      </c>
      <c r="D64" s="60">
        <f>C64-B64</f>
        <v>0</v>
      </c>
      <c r="F64" s="60">
        <f>Summary!$D$64</f>
        <v>14731145.784826815</v>
      </c>
      <c r="G64" s="60">
        <f>[2]Results!$D$66</f>
        <v>14731145.834378619</v>
      </c>
      <c r="H64" s="60">
        <f>G64-F64</f>
        <v>4.955180361866951E-2</v>
      </c>
      <c r="J64" s="60">
        <f>Summary!$F$64</f>
        <v>766131032.52991462</v>
      </c>
      <c r="K64" s="60">
        <f>[2]Results!$E$66</f>
        <v>766131032.57946646</v>
      </c>
      <c r="L64" s="60">
        <f>K64-J64</f>
        <v>4.9551844596862793E-2</v>
      </c>
      <c r="N64" s="60">
        <f>Summary!$H$64</f>
        <v>8968851.8565512896</v>
      </c>
      <c r="O64" s="60">
        <f>[2]Results!$H$66</f>
        <v>8968851.9775852207</v>
      </c>
      <c r="P64" s="60">
        <f>O64-N64</f>
        <v>0.12103393115103245</v>
      </c>
      <c r="R64" s="60">
        <f>Summary!$J$64</f>
        <v>775099884.38646591</v>
      </c>
      <c r="S64" s="60">
        <f>[2]Results!$I$66</f>
        <v>775099884.5570519</v>
      </c>
      <c r="T64" s="60">
        <f>S64-R64</f>
        <v>0.1705859899520874</v>
      </c>
      <c r="V64" s="60">
        <f>Summary!$L$64</f>
        <v>0</v>
      </c>
      <c r="W64" s="60"/>
      <c r="X64" s="60">
        <f>W64-V64</f>
        <v>0</v>
      </c>
    </row>
    <row r="65" spans="1:24" ht="13.5" thickTop="1">
      <c r="A65" s="61"/>
      <c r="B65" s="41"/>
      <c r="C65" s="41"/>
      <c r="D65" s="41"/>
      <c r="F65" s="41"/>
      <c r="G65" s="41"/>
      <c r="H65" s="41"/>
      <c r="J65" s="41"/>
      <c r="K65" s="41"/>
      <c r="L65" s="41"/>
      <c r="N65" s="41"/>
      <c r="O65" s="41"/>
      <c r="P65" s="41"/>
      <c r="R65" s="41"/>
      <c r="S65" s="41"/>
      <c r="T65" s="41"/>
      <c r="V65" s="41"/>
      <c r="W65" s="41"/>
      <c r="X65" s="41"/>
    </row>
    <row r="66" spans="1:24">
      <c r="A66" s="61" t="s">
        <v>64</v>
      </c>
      <c r="B66" s="119"/>
      <c r="C66" s="119"/>
      <c r="D66" s="119"/>
      <c r="F66" s="119"/>
      <c r="G66" s="119"/>
      <c r="H66" s="119"/>
      <c r="J66" s="119"/>
      <c r="K66" s="119"/>
      <c r="L66" s="119"/>
      <c r="N66" s="119"/>
      <c r="O66" s="119"/>
      <c r="P66" s="119"/>
      <c r="R66" s="119"/>
      <c r="S66" s="119"/>
      <c r="T66" s="119"/>
      <c r="V66" s="119"/>
      <c r="W66" s="119"/>
      <c r="X66" s="119"/>
    </row>
    <row r="67" spans="1:24">
      <c r="A67" s="61" t="s">
        <v>116</v>
      </c>
      <c r="B67" s="119">
        <f>Summary!$B$67</f>
        <v>6.3973137599340243E-2</v>
      </c>
      <c r="C67" s="119">
        <f>[2]Results!$C$69</f>
        <v>6.3973137599340105E-2</v>
      </c>
      <c r="D67" s="119">
        <f t="shared" ref="D67" si="24">C67-B67</f>
        <v>-1.3877787807814457E-16</v>
      </c>
      <c r="F67" s="119">
        <f>Summary!$D$67</f>
        <v>-1.7423751243350813E-2</v>
      </c>
      <c r="G67" s="119">
        <f>[2]Results!$D$69</f>
        <v>-1.7423751248643829E-2</v>
      </c>
      <c r="H67" s="119">
        <f t="shared" ref="H67" si="25">G67-F67</f>
        <v>-5.2930160254760494E-12</v>
      </c>
      <c r="J67" s="119">
        <f>Summary!$F$67</f>
        <v>4.6549386355989431E-2</v>
      </c>
      <c r="K67" s="119">
        <f>[2]Results!$E$69</f>
        <v>4.6549386350696262E-2</v>
      </c>
      <c r="L67" s="119">
        <f t="shared" ref="L67" si="26">K67-J67</f>
        <v>-5.2931686811419354E-12</v>
      </c>
      <c r="N67" s="119">
        <f>Summary!$H$67</f>
        <v>-1.504394231012221E-2</v>
      </c>
      <c r="O67" s="119">
        <f>[2]Results!$H$69</f>
        <v>-1.504394174770831E-2</v>
      </c>
      <c r="P67" s="119">
        <f t="shared" ref="P67" si="27">O67-N67</f>
        <v>5.6241390017364168E-10</v>
      </c>
      <c r="R67" s="119">
        <f>Summary!$J$67</f>
        <v>3.150544404586722E-2</v>
      </c>
      <c r="S67" s="119">
        <f>[2]Results!$I$69</f>
        <v>3.1505444602987862E-2</v>
      </c>
      <c r="T67" s="119">
        <f t="shared" ref="T67" si="28">S67-R67</f>
        <v>5.5712064128687899E-10</v>
      </c>
      <c r="V67" s="119"/>
      <c r="W67" s="119"/>
      <c r="X67" s="119"/>
    </row>
    <row r="68" spans="1:24">
      <c r="A68" s="61"/>
      <c r="B68" s="105"/>
      <c r="C68" s="105"/>
      <c r="D68" s="105"/>
      <c r="F68" s="105"/>
      <c r="G68" s="105"/>
      <c r="H68" s="105"/>
      <c r="J68" s="105"/>
      <c r="K68" s="105"/>
      <c r="L68" s="105"/>
      <c r="N68" s="105"/>
      <c r="O68" s="105"/>
      <c r="P68" s="105"/>
      <c r="R68" s="105"/>
      <c r="S68" s="105"/>
      <c r="T68" s="105"/>
      <c r="V68" s="105"/>
      <c r="W68" s="105"/>
      <c r="X68" s="105"/>
    </row>
    <row r="69" spans="1:24">
      <c r="A69" s="61" t="s">
        <v>117</v>
      </c>
      <c r="B69" s="41"/>
      <c r="C69" s="41"/>
      <c r="D69" s="41"/>
      <c r="F69" s="41"/>
      <c r="G69" s="41"/>
      <c r="H69" s="41"/>
      <c r="J69" s="41"/>
      <c r="K69" s="41"/>
      <c r="L69" s="41"/>
      <c r="N69" s="41"/>
      <c r="O69" s="41"/>
      <c r="P69" s="41"/>
      <c r="R69" s="41"/>
      <c r="S69" s="41"/>
      <c r="T69" s="41"/>
      <c r="V69" s="41"/>
      <c r="W69" s="41"/>
      <c r="X69" s="41"/>
    </row>
    <row r="70" spans="1:24">
      <c r="A70" s="61" t="s">
        <v>118</v>
      </c>
      <c r="B70" s="41">
        <f>Summary!$B$71</f>
        <v>54626279.547771238</v>
      </c>
      <c r="C70" s="41">
        <f>[2]Results!$C$72</f>
        <v>54626279.547771238</v>
      </c>
      <c r="D70" s="41">
        <f t="shared" ref="D70:D79" si="29">C70-B70</f>
        <v>0</v>
      </c>
      <c r="F70" s="41">
        <f>Summary!$D$71</f>
        <v>-1596014.959937145</v>
      </c>
      <c r="G70" s="41">
        <f>[2]Results!$D$72</f>
        <v>-1596014.959937145</v>
      </c>
      <c r="H70" s="41">
        <f t="shared" ref="H70:H76" si="30">G70-F70</f>
        <v>0</v>
      </c>
      <c r="J70" s="41">
        <f>Summary!$F$71</f>
        <v>53030264.58783409</v>
      </c>
      <c r="K70" s="41">
        <f>[2]Results!$E$72</f>
        <v>53030264.58783409</v>
      </c>
      <c r="L70" s="41">
        <f t="shared" ref="L70:L76" si="31">K70-J70</f>
        <v>0</v>
      </c>
      <c r="N70" s="41">
        <f>Summary!$H$71</f>
        <v>-17482922.000049368</v>
      </c>
      <c r="O70" s="41">
        <f>[2]Results!$H$72</f>
        <v>-17482922.000049364</v>
      </c>
      <c r="P70" s="41">
        <f t="shared" ref="P70:P76" si="32">O70-N70</f>
        <v>0</v>
      </c>
      <c r="R70" s="41">
        <f>Summary!$J$71</f>
        <v>35547342.587784663</v>
      </c>
      <c r="S70" s="41">
        <f>[2]Results!$I$72</f>
        <v>35547342.587784663</v>
      </c>
      <c r="T70" s="41">
        <f t="shared" ref="T70:T76" si="33">S70-R70</f>
        <v>0</v>
      </c>
      <c r="V70" s="41">
        <f>Summary!$L$71</f>
        <v>46251880.835549168</v>
      </c>
      <c r="W70" s="41">
        <f>[2]Results!$H$161</f>
        <v>46251880.499605313</v>
      </c>
      <c r="X70" s="41">
        <f t="shared" ref="X70:X76" si="34">W70-V70</f>
        <v>-0.33594385534524918</v>
      </c>
    </row>
    <row r="71" spans="1:24">
      <c r="A71" s="61" t="s">
        <v>119</v>
      </c>
      <c r="B71" s="41">
        <f>Summary!$B$72</f>
        <v>0</v>
      </c>
      <c r="C71" s="41">
        <f>[2]Results!$C$73</f>
        <v>0</v>
      </c>
      <c r="D71" s="41">
        <f t="shared" si="29"/>
        <v>0</v>
      </c>
      <c r="F71" s="41">
        <f>Summary!$D$72</f>
        <v>0</v>
      </c>
      <c r="G71" s="41">
        <f>[2]Results!$D$73</f>
        <v>0</v>
      </c>
      <c r="H71" s="41">
        <f t="shared" si="30"/>
        <v>0</v>
      </c>
      <c r="J71" s="41">
        <f>Summary!$F$72</f>
        <v>0</v>
      </c>
      <c r="K71" s="41">
        <f>[2]Results!$E$73</f>
        <v>0</v>
      </c>
      <c r="L71" s="41">
        <f t="shared" si="31"/>
        <v>0</v>
      </c>
      <c r="N71" s="41">
        <f>Summary!$H$72</f>
        <v>0</v>
      </c>
      <c r="O71" s="41">
        <f>[2]Results!$H$73</f>
        <v>0</v>
      </c>
      <c r="P71" s="41">
        <f t="shared" si="32"/>
        <v>0</v>
      </c>
      <c r="R71" s="41">
        <f>Summary!$J$72</f>
        <v>0</v>
      </c>
      <c r="S71" s="41">
        <f>[2]Results!$I$73</f>
        <v>0</v>
      </c>
      <c r="T71" s="41">
        <f t="shared" si="33"/>
        <v>0</v>
      </c>
      <c r="V71" s="41">
        <f>Summary!$L$72</f>
        <v>0</v>
      </c>
      <c r="W71" s="41"/>
      <c r="X71" s="41">
        <f t="shared" si="34"/>
        <v>0</v>
      </c>
    </row>
    <row r="72" spans="1:24">
      <c r="A72" s="61" t="s">
        <v>120</v>
      </c>
      <c r="B72" s="41">
        <f>Summary!$B$73</f>
        <v>-4599793.2770370385</v>
      </c>
      <c r="C72" s="41">
        <f>[2]Results!$C$74</f>
        <v>-4599793.2770370385</v>
      </c>
      <c r="D72" s="41">
        <f t="shared" si="29"/>
        <v>0</v>
      </c>
      <c r="F72" s="41">
        <f>Summary!$D$73</f>
        <v>217013.20626896209</v>
      </c>
      <c r="G72" s="41">
        <f>[2]Results!$D$74</f>
        <v>217013.20626896209</v>
      </c>
      <c r="H72" s="41">
        <f t="shared" si="30"/>
        <v>0</v>
      </c>
      <c r="J72" s="41">
        <f>Summary!$F$73</f>
        <v>-4382780.070768076</v>
      </c>
      <c r="K72" s="41">
        <f>[2]Results!$E$74</f>
        <v>-4382780.070768076</v>
      </c>
      <c r="L72" s="41">
        <f t="shared" si="31"/>
        <v>0</v>
      </c>
      <c r="N72" s="41">
        <f>Summary!$H$73</f>
        <v>0</v>
      </c>
      <c r="O72" s="41">
        <f>[2]Results!$H$74</f>
        <v>0</v>
      </c>
      <c r="P72" s="41">
        <f t="shared" si="32"/>
        <v>0</v>
      </c>
      <c r="R72" s="41">
        <f>Summary!$J$73</f>
        <v>-4382780.070768076</v>
      </c>
      <c r="S72" s="41">
        <f>[2]Results!$I$74</f>
        <v>-4382780.070768076</v>
      </c>
      <c r="T72" s="41">
        <f t="shared" si="33"/>
        <v>0</v>
      </c>
      <c r="V72" s="41">
        <f>Summary!$L$73</f>
        <v>0</v>
      </c>
      <c r="W72" s="41"/>
      <c r="X72" s="41">
        <f t="shared" si="34"/>
        <v>0</v>
      </c>
    </row>
    <row r="73" spans="1:24">
      <c r="A73" s="61" t="s">
        <v>121</v>
      </c>
      <c r="B73" s="41">
        <f>Summary!$B$74</f>
        <v>25236151.190422058</v>
      </c>
      <c r="C73" s="41">
        <f>[2]Results!$C$75</f>
        <v>25236151.190422058</v>
      </c>
      <c r="D73" s="41">
        <f t="shared" si="29"/>
        <v>0</v>
      </c>
      <c r="F73" s="41">
        <f>Summary!$D$74</f>
        <v>-3756595.1100003608</v>
      </c>
      <c r="G73" s="41">
        <f>[2]Results!$D$75</f>
        <v>-3756595.1086111031</v>
      </c>
      <c r="H73" s="41">
        <f t="shared" si="30"/>
        <v>1.3892576098442078E-3</v>
      </c>
      <c r="J73" s="41">
        <f>Summary!$F$74</f>
        <v>21479556.080421697</v>
      </c>
      <c r="K73" s="41">
        <f>[2]Results!$E$75</f>
        <v>21479556.081810955</v>
      </c>
      <c r="L73" s="41">
        <f t="shared" si="31"/>
        <v>1.3892576098442078E-3</v>
      </c>
      <c r="N73" s="41">
        <f>Summary!$H$74</f>
        <v>251454.31819101423</v>
      </c>
      <c r="O73" s="41">
        <f>[2]Results!$H$75</f>
        <v>251454.32158437371</v>
      </c>
      <c r="P73" s="41">
        <f t="shared" si="32"/>
        <v>3.3933594822883606E-3</v>
      </c>
      <c r="R73" s="41">
        <f>Summary!$J$74</f>
        <v>21731010.398612712</v>
      </c>
      <c r="S73" s="41">
        <f>[2]Results!$I$75</f>
        <v>21731010.403395329</v>
      </c>
      <c r="T73" s="41">
        <f t="shared" si="33"/>
        <v>4.7826170921325684E-3</v>
      </c>
      <c r="V73" s="41">
        <f>Summary!$L$74</f>
        <v>0</v>
      </c>
      <c r="W73" s="41"/>
      <c r="X73" s="41">
        <f t="shared" si="34"/>
        <v>0</v>
      </c>
    </row>
    <row r="74" spans="1:24">
      <c r="A74" s="61" t="s">
        <v>122</v>
      </c>
      <c r="B74" s="41">
        <f>Summary!$B$75</f>
        <v>64493174.138834439</v>
      </c>
      <c r="C74" s="41">
        <f>[2]Results!$C$76</f>
        <v>64493174.138834439</v>
      </c>
      <c r="D74" s="41">
        <f t="shared" si="29"/>
        <v>0</v>
      </c>
      <c r="F74" s="41">
        <f>Summary!$D$75</f>
        <v>-2566569.5074167242</v>
      </c>
      <c r="G74" s="41">
        <f>[2]Results!$D$76</f>
        <v>-2566569.5074167242</v>
      </c>
      <c r="H74" s="41">
        <f t="shared" si="30"/>
        <v>0</v>
      </c>
      <c r="J74" s="41">
        <f>Summary!$F$75</f>
        <v>61926604.631417714</v>
      </c>
      <c r="K74" s="41">
        <f>[2]Results!$E$76</f>
        <v>61926604.631417714</v>
      </c>
      <c r="L74" s="41">
        <f t="shared" si="31"/>
        <v>0</v>
      </c>
      <c r="N74" s="41">
        <f>Summary!$H$75</f>
        <v>2050306.5331223093</v>
      </c>
      <c r="O74" s="41">
        <f>[2]Results!$H$76</f>
        <v>2050306.5331223095</v>
      </c>
      <c r="P74" s="41">
        <f t="shared" si="32"/>
        <v>0</v>
      </c>
      <c r="R74" s="41">
        <f>Summary!$J$75</f>
        <v>63976911.164540023</v>
      </c>
      <c r="S74" s="41">
        <f>[2]Results!$I$76</f>
        <v>63976911.164540023</v>
      </c>
      <c r="T74" s="41">
        <f t="shared" si="33"/>
        <v>0</v>
      </c>
      <c r="V74" s="41">
        <f>Summary!$L$75</f>
        <v>0</v>
      </c>
      <c r="W74" s="41"/>
      <c r="X74" s="41">
        <f t="shared" si="34"/>
        <v>0</v>
      </c>
    </row>
    <row r="75" spans="1:24">
      <c r="A75" s="61" t="s">
        <v>123</v>
      </c>
      <c r="B75" s="36">
        <f>Summary!$B$76</f>
        <v>138386468.17417011</v>
      </c>
      <c r="C75" s="36">
        <f>[2]Results!$C$77</f>
        <v>138386468.17417011</v>
      </c>
      <c r="D75" s="36">
        <f t="shared" si="29"/>
        <v>0</v>
      </c>
      <c r="F75" s="36">
        <f>Summary!$D$76</f>
        <v>-1178110.4330472155</v>
      </c>
      <c r="G75" s="36">
        <f>[2]Results!$D$77</f>
        <v>-1178110.4330472155</v>
      </c>
      <c r="H75" s="36">
        <f t="shared" si="30"/>
        <v>0</v>
      </c>
      <c r="J75" s="36">
        <f>Summary!$F$76</f>
        <v>137208357.7411229</v>
      </c>
      <c r="K75" s="36">
        <f>[2]Results!$E$77</f>
        <v>137208357.7411229</v>
      </c>
      <c r="L75" s="36">
        <f t="shared" si="31"/>
        <v>0</v>
      </c>
      <c r="N75" s="36">
        <f>Summary!$H$76</f>
        <v>951489.85858771845</v>
      </c>
      <c r="O75" s="36">
        <f>[2]Results!$H$77</f>
        <v>951489.50999993121</v>
      </c>
      <c r="P75" s="36">
        <f t="shared" si="32"/>
        <v>-0.34858778724446893</v>
      </c>
      <c r="R75" s="36">
        <f>Summary!$J$76</f>
        <v>138159847.59971061</v>
      </c>
      <c r="S75" s="36">
        <f>[2]Results!$I$77</f>
        <v>138159847.25112283</v>
      </c>
      <c r="T75" s="36">
        <f t="shared" si="33"/>
        <v>-0.34858778119087219</v>
      </c>
      <c r="V75" s="36">
        <f>Summary!$L$76</f>
        <v>0</v>
      </c>
      <c r="W75" s="36"/>
      <c r="X75" s="36">
        <f t="shared" si="34"/>
        <v>0</v>
      </c>
    </row>
    <row r="76" spans="1:24">
      <c r="A76" s="61" t="s">
        <v>124</v>
      </c>
      <c r="B76" s="41">
        <f>Summary!$B$77</f>
        <v>-39903372.400949448</v>
      </c>
      <c r="C76" s="41">
        <f>[2]Results!$C$78</f>
        <v>-39903372.400949448</v>
      </c>
      <c r="D76" s="41">
        <f t="shared" si="29"/>
        <v>0</v>
      </c>
      <c r="F76" s="41">
        <f>Summary!$D$77</f>
        <v>555107.86942474497</v>
      </c>
      <c r="G76" s="41">
        <f>[2]Results!$D$78</f>
        <v>555107.86803548736</v>
      </c>
      <c r="H76" s="41">
        <f t="shared" si="30"/>
        <v>-1.3892576098442078E-3</v>
      </c>
      <c r="J76" s="41">
        <f>Summary!$F$77</f>
        <v>-39348264.531524718</v>
      </c>
      <c r="K76" s="41">
        <f>[2]Results!$E$78</f>
        <v>-39348264.532913961</v>
      </c>
      <c r="L76" s="41">
        <f t="shared" si="31"/>
        <v>-1.3892427086830139E-3</v>
      </c>
      <c r="N76" s="41">
        <f>Summary!$H$77</f>
        <v>-16635559.643705791</v>
      </c>
      <c r="O76" s="41">
        <f>[2]Results!$H$78</f>
        <v>-16635559.29851136</v>
      </c>
      <c r="P76" s="41">
        <f t="shared" si="32"/>
        <v>0.34519443102180958</v>
      </c>
      <c r="R76" s="41">
        <f>Summary!$J$77</f>
        <v>-55983824.175230563</v>
      </c>
      <c r="S76" s="41">
        <f>[2]Results!$I$78</f>
        <v>-55983823.831425324</v>
      </c>
      <c r="T76" s="41">
        <f t="shared" si="33"/>
        <v>0.34380523860454559</v>
      </c>
      <c r="V76" s="41">
        <f>Summary!$L$77</f>
        <v>46251880.835549168</v>
      </c>
      <c r="W76" s="41">
        <f>W70</f>
        <v>46251880.499605313</v>
      </c>
      <c r="X76" s="41">
        <f t="shared" si="34"/>
        <v>-0.33594385534524918</v>
      </c>
    </row>
    <row r="77" spans="1:24">
      <c r="A77" s="61"/>
      <c r="B77" s="41"/>
      <c r="C77" s="41"/>
      <c r="D77" s="41"/>
      <c r="F77" s="41"/>
      <c r="G77" s="41"/>
      <c r="H77" s="41"/>
      <c r="J77" s="41"/>
      <c r="K77" s="41"/>
      <c r="L77" s="41"/>
      <c r="N77" s="41"/>
      <c r="O77" s="41"/>
      <c r="P77" s="41"/>
      <c r="R77" s="41"/>
      <c r="S77" s="41"/>
      <c r="T77" s="41"/>
      <c r="V77" s="41"/>
      <c r="W77" s="41"/>
      <c r="X77" s="41"/>
    </row>
    <row r="78" spans="1:24">
      <c r="A78" s="61" t="s">
        <v>125</v>
      </c>
      <c r="B78" s="41">
        <f>Summary!$B$79</f>
        <v>0</v>
      </c>
      <c r="C78" s="41">
        <f>[2]Results!$C$80</f>
        <v>0</v>
      </c>
      <c r="D78" s="41">
        <f t="shared" si="29"/>
        <v>0</v>
      </c>
      <c r="F78" s="41">
        <f>Summary!$D$79</f>
        <v>0</v>
      </c>
      <c r="G78" s="41">
        <f>[2]Results!$D$80</f>
        <v>0</v>
      </c>
      <c r="H78" s="41">
        <f t="shared" ref="H78:H79" si="35">G78-F78</f>
        <v>0</v>
      </c>
      <c r="J78" s="41">
        <f>Summary!$F$79</f>
        <v>0</v>
      </c>
      <c r="K78" s="41">
        <f>[2]Results!$E$80</f>
        <v>0</v>
      </c>
      <c r="L78" s="41">
        <f t="shared" ref="L78:L79" si="36">K78-J78</f>
        <v>0</v>
      </c>
      <c r="N78" s="41">
        <f>Summary!$H$79</f>
        <v>0</v>
      </c>
      <c r="O78" s="41">
        <f>[2]Results!$H$80</f>
        <v>0</v>
      </c>
      <c r="P78" s="41">
        <f t="shared" ref="P78:P79" si="37">O78-N78</f>
        <v>0</v>
      </c>
      <c r="R78" s="41">
        <f>Summary!$J$79</f>
        <v>0</v>
      </c>
      <c r="S78" s="41">
        <f>[2]Results!$I$80</f>
        <v>0</v>
      </c>
      <c r="T78" s="41">
        <f t="shared" ref="T78:T79" si="38">S78-R78</f>
        <v>0</v>
      </c>
      <c r="V78" s="41">
        <f>Summary!$L$79</f>
        <v>0</v>
      </c>
      <c r="W78" s="41"/>
      <c r="X78" s="41">
        <f t="shared" ref="X78:X79" si="39">W78-V78</f>
        <v>0</v>
      </c>
    </row>
    <row r="79" spans="1:24">
      <c r="A79" s="61" t="s">
        <v>126</v>
      </c>
      <c r="B79" s="41">
        <f>Summary!$B$80</f>
        <v>-39903372.400949448</v>
      </c>
      <c r="C79" s="41">
        <f>[2]Results!$C$81</f>
        <v>-39903372.400949448</v>
      </c>
      <c r="D79" s="41">
        <f t="shared" si="29"/>
        <v>0</v>
      </c>
      <c r="F79" s="41">
        <f>Summary!$D$80</f>
        <v>555107.86942474497</v>
      </c>
      <c r="G79" s="41">
        <f>[2]Results!$D$81</f>
        <v>555107.86803548736</v>
      </c>
      <c r="H79" s="41">
        <f t="shared" si="35"/>
        <v>-1.3892576098442078E-3</v>
      </c>
      <c r="J79" s="41">
        <f>Summary!$F$80</f>
        <v>-39348264.531524718</v>
      </c>
      <c r="K79" s="41">
        <f>[2]Results!$E$81</f>
        <v>-39348264.532913961</v>
      </c>
      <c r="L79" s="41">
        <f t="shared" si="36"/>
        <v>-1.3892427086830139E-3</v>
      </c>
      <c r="N79" s="41">
        <f>Summary!$H$80</f>
        <v>-16635559.643705791</v>
      </c>
      <c r="O79" s="41">
        <f>[2]Results!$H$81</f>
        <v>-16635559.29851136</v>
      </c>
      <c r="P79" s="41">
        <f t="shared" si="37"/>
        <v>0.34519443102180958</v>
      </c>
      <c r="R79" s="41">
        <f>Summary!$J$80</f>
        <v>-55983824.175230563</v>
      </c>
      <c r="S79" s="41">
        <f>[2]Results!$I$81</f>
        <v>-55983823.831425324</v>
      </c>
      <c r="T79" s="41">
        <f t="shared" si="38"/>
        <v>0.34380523860454559</v>
      </c>
      <c r="V79" s="41">
        <f>Summary!$L$80</f>
        <v>46251880.835549168</v>
      </c>
      <c r="W79" s="41">
        <f>[2]Results!$H$161</f>
        <v>46251880.499605313</v>
      </c>
      <c r="X79" s="41">
        <f t="shared" si="39"/>
        <v>-0.33594385534524918</v>
      </c>
    </row>
    <row r="80" spans="1:24">
      <c r="A80" s="61"/>
      <c r="B80" s="41"/>
      <c r="C80" s="41"/>
      <c r="D80" s="41"/>
      <c r="F80" s="41"/>
      <c r="G80" s="41"/>
      <c r="H80" s="41"/>
      <c r="J80" s="41"/>
      <c r="K80" s="41"/>
      <c r="L80" s="41"/>
      <c r="N80" s="41"/>
      <c r="O80" s="41"/>
      <c r="P80" s="41"/>
      <c r="R80" s="41"/>
      <c r="S80" s="41"/>
      <c r="T80" s="41"/>
      <c r="V80" s="41"/>
      <c r="W80" s="41"/>
      <c r="X80" s="41"/>
    </row>
    <row r="81" spans="1:24">
      <c r="A81" s="61" t="s">
        <v>198</v>
      </c>
      <c r="B81" s="41">
        <f>Summary!$B$82</f>
        <v>-13966180.340332307</v>
      </c>
      <c r="C81" s="41"/>
      <c r="D81" s="41"/>
      <c r="F81" s="41">
        <f>Summary!$D$82</f>
        <v>194287.75429866073</v>
      </c>
      <c r="G81" s="41"/>
      <c r="H81" s="41"/>
      <c r="J81" s="41">
        <f>Summary!$F$82</f>
        <v>-13771892.58603365</v>
      </c>
      <c r="K81" s="41"/>
      <c r="L81" s="41"/>
      <c r="N81" s="41">
        <f>Summary!$H$82</f>
        <v>-5822445.8752970267</v>
      </c>
      <c r="O81" s="41"/>
      <c r="P81" s="41"/>
      <c r="R81" s="41">
        <f>Summary!$J$82</f>
        <v>-19594338.461330697</v>
      </c>
      <c r="S81" s="41"/>
      <c r="T81" s="41"/>
      <c r="V81" s="41">
        <f>Summary!$L$82</f>
        <v>16188158.292442208</v>
      </c>
      <c r="W81" s="41"/>
      <c r="X81" s="41"/>
    </row>
    <row r="82" spans="1:24">
      <c r="A82" s="61" t="s">
        <v>199</v>
      </c>
      <c r="B82" s="41">
        <f>Summary!$B$83</f>
        <v>0</v>
      </c>
      <c r="C82" s="41"/>
      <c r="D82" s="41"/>
      <c r="F82" s="41">
        <f>Summary!$D$83</f>
        <v>0</v>
      </c>
      <c r="G82" s="41"/>
      <c r="H82" s="41"/>
      <c r="J82" s="41">
        <f>Summary!$F$83</f>
        <v>0</v>
      </c>
      <c r="K82" s="41"/>
      <c r="L82" s="41"/>
      <c r="N82" s="41">
        <f>Summary!$H$83</f>
        <v>-5638736.2665997902</v>
      </c>
      <c r="O82" s="41"/>
      <c r="P82" s="41"/>
      <c r="R82" s="41">
        <f>Summary!$J$83</f>
        <v>-5638736.2665997902</v>
      </c>
      <c r="S82" s="41"/>
      <c r="T82" s="41"/>
      <c r="V82" s="41">
        <f>Summary!$L$83</f>
        <v>0</v>
      </c>
      <c r="W82" s="41"/>
      <c r="X82" s="41"/>
    </row>
    <row r="83" spans="1:24">
      <c r="A83" s="61" t="s">
        <v>200</v>
      </c>
      <c r="B83" s="41">
        <f>Summary!$B$84</f>
        <v>-13966180.340332307</v>
      </c>
      <c r="C83" s="41">
        <f>[2]Results!$C$83</f>
        <v>-13966180.340332296</v>
      </c>
      <c r="D83" s="41">
        <f t="shared" ref="D83" si="40">C83-B83</f>
        <v>0</v>
      </c>
      <c r="F83" s="41">
        <f>Summary!$D$84</f>
        <v>194287.75429866073</v>
      </c>
      <c r="G83" s="41">
        <f>[2]Results!$D$83</f>
        <v>194287.75381242129</v>
      </c>
      <c r="H83" s="41">
        <f t="shared" ref="H83" si="41">G83-F83</f>
        <v>-4.8623944167047739E-4</v>
      </c>
      <c r="J83" s="41">
        <f>Summary!$F$84</f>
        <v>-13771892.58603365</v>
      </c>
      <c r="K83" s="41">
        <f>[2]Results!$E$83</f>
        <v>-13771892.586519875</v>
      </c>
      <c r="L83" s="41">
        <f t="shared" ref="L83" si="42">K83-J83</f>
        <v>-4.8622488975524902E-4</v>
      </c>
      <c r="N83" s="41">
        <f>Summary!$H$84</f>
        <v>-11461182.141896818</v>
      </c>
      <c r="O83" s="41">
        <f>[2]Results!$H$83</f>
        <v>-11461182.021078767</v>
      </c>
      <c r="P83" s="41">
        <f t="shared" ref="P83" si="43">O83-N83</f>
        <v>0.12081805057823658</v>
      </c>
      <c r="R83" s="41">
        <f>Summary!$J$84</f>
        <v>-25233074.727930486</v>
      </c>
      <c r="S83" s="41">
        <f>[2]Results!$I$83</f>
        <v>-25233074.60759864</v>
      </c>
      <c r="T83" s="41">
        <f t="shared" ref="T83" si="44">S83-R83</f>
        <v>0.12033184617757797</v>
      </c>
      <c r="V83" s="41">
        <f>Summary!$L$84</f>
        <v>16188158.292442208</v>
      </c>
      <c r="W83" s="41">
        <f>[2]Results!$H$171</f>
        <v>16188158.174861858</v>
      </c>
      <c r="X83" s="41">
        <f t="shared" ref="X83" si="45">W83-V83</f>
        <v>-0.1175803504884243</v>
      </c>
    </row>
    <row r="84" spans="1:24">
      <c r="A84" s="61"/>
      <c r="B84" s="41"/>
      <c r="C84" s="41"/>
      <c r="D84" s="41"/>
    </row>
    <row r="85" spans="1:24">
      <c r="A85" s="61"/>
      <c r="B85" s="41"/>
      <c r="C85" s="41"/>
      <c r="D85" s="41"/>
    </row>
    <row r="86" spans="1:24">
      <c r="A86" s="61"/>
      <c r="B86" s="41"/>
      <c r="C86" s="41"/>
      <c r="D86" s="41"/>
    </row>
    <row r="87" spans="1:24">
      <c r="A87" s="113"/>
      <c r="B87" s="41"/>
      <c r="C87" s="41"/>
      <c r="D87" s="41"/>
    </row>
    <row r="88" spans="1:24">
      <c r="A88" s="88"/>
      <c r="B88" s="24"/>
      <c r="C88" s="24"/>
      <c r="D88" s="24"/>
    </row>
    <row r="89" spans="1:24">
      <c r="A89" s="88"/>
    </row>
    <row r="90" spans="1:24">
      <c r="A90" s="88"/>
    </row>
    <row r="91" spans="1:24">
      <c r="A91" s="88"/>
    </row>
    <row r="92" spans="1:24">
      <c r="A92" s="88"/>
    </row>
    <row r="93" spans="1:24">
      <c r="A93" s="88"/>
    </row>
    <row r="94" spans="1:24">
      <c r="A94" s="88"/>
    </row>
    <row r="95" spans="1:24">
      <c r="A95" s="88"/>
    </row>
    <row r="96" spans="1:24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</sheetData>
  <pageMargins left="1.03" right="0.5" top="0.5" bottom="0.5" header="0.5" footer="0.5"/>
  <pageSetup scale="2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81"/>
  <sheetViews>
    <sheetView workbookViewId="0">
      <selection activeCell="D15" sqref="D15"/>
    </sheetView>
  </sheetViews>
  <sheetFormatPr defaultRowHeight="15"/>
  <cols>
    <col min="1" max="1" width="5.140625" style="272" customWidth="1"/>
    <col min="2" max="2" width="22.85546875" style="272" customWidth="1"/>
    <col min="3" max="11" width="12" style="272" customWidth="1"/>
    <col min="12" max="16384" width="9.140625" style="272"/>
  </cols>
  <sheetData>
    <row r="1" spans="1:11">
      <c r="B1" s="273" t="s">
        <v>310</v>
      </c>
      <c r="C1" s="273"/>
      <c r="D1" s="273"/>
      <c r="E1" s="273"/>
      <c r="F1" s="273"/>
      <c r="G1" s="273"/>
      <c r="H1" s="273"/>
      <c r="I1" s="274"/>
      <c r="K1" s="275" t="s">
        <v>311</v>
      </c>
    </row>
    <row r="3" spans="1:11" ht="34.5">
      <c r="C3" s="276" t="s">
        <v>312</v>
      </c>
      <c r="D3" s="276" t="s">
        <v>326</v>
      </c>
      <c r="E3" s="276" t="s">
        <v>327</v>
      </c>
      <c r="F3" s="276" t="s">
        <v>328</v>
      </c>
      <c r="G3" s="276" t="s">
        <v>329</v>
      </c>
      <c r="H3" s="276" t="s">
        <v>330</v>
      </c>
      <c r="I3" s="276" t="s">
        <v>331</v>
      </c>
      <c r="J3" s="277" t="s">
        <v>332</v>
      </c>
      <c r="K3" s="276" t="s">
        <v>313</v>
      </c>
    </row>
    <row r="5" spans="1:11">
      <c r="A5" s="278">
        <v>1</v>
      </c>
      <c r="B5" s="278" t="s">
        <v>65</v>
      </c>
    </row>
    <row r="6" spans="1:11">
      <c r="A6" s="278">
        <v>2</v>
      </c>
      <c r="B6" s="278" t="s">
        <v>66</v>
      </c>
      <c r="C6" s="279">
        <f>SUM(D6:K6)</f>
        <v>5664589.5200000107</v>
      </c>
      <c r="D6" s="279">
        <f>'Page 1.5'!D6+'Page 1.6'!D6</f>
        <v>5664589.5200000107</v>
      </c>
      <c r="E6" s="279">
        <f>'Page 1.5'!E6+'Page 1.6'!E6</f>
        <v>0</v>
      </c>
      <c r="F6" s="279">
        <f>'Page 1.5'!F6+'Page 1.6'!F6</f>
        <v>0</v>
      </c>
      <c r="G6" s="279">
        <f>'Page 1.5'!G6+'Page 1.6'!G6</f>
        <v>0</v>
      </c>
      <c r="H6" s="279">
        <f>'Page 1.5'!H6+'Page 1.6'!H6</f>
        <v>0</v>
      </c>
      <c r="I6" s="279">
        <f>'Page 1.5'!I6+'Page 1.6'!I6</f>
        <v>0</v>
      </c>
      <c r="J6" s="279">
        <f>'Page 1.5'!J6+'Page 1.6'!J6</f>
        <v>0</v>
      </c>
      <c r="K6" s="279">
        <f>'Page 1.5'!K6+'Page 1.6'!K6</f>
        <v>0</v>
      </c>
    </row>
    <row r="7" spans="1:11">
      <c r="A7" s="278">
        <v>3</v>
      </c>
      <c r="B7" s="278" t="s">
        <v>67</v>
      </c>
      <c r="C7" s="279">
        <f>SUM(D7:K7)</f>
        <v>0</v>
      </c>
      <c r="D7" s="279">
        <f>'Page 1.5'!D7+'Page 1.6'!D7</f>
        <v>0</v>
      </c>
      <c r="E7" s="279">
        <f>'Page 1.5'!E7+'Page 1.6'!E7</f>
        <v>0</v>
      </c>
      <c r="F7" s="279">
        <f>'Page 1.5'!F7+'Page 1.6'!F7</f>
        <v>0</v>
      </c>
      <c r="G7" s="279">
        <f>'Page 1.5'!G7+'Page 1.6'!G7</f>
        <v>0</v>
      </c>
      <c r="H7" s="279">
        <f>'Page 1.5'!H7+'Page 1.6'!H7</f>
        <v>0</v>
      </c>
      <c r="I7" s="279">
        <f>'Page 1.5'!I7+'Page 1.6'!I7</f>
        <v>0</v>
      </c>
      <c r="J7" s="279">
        <f>'Page 1.5'!J7+'Page 1.6'!J7</f>
        <v>0</v>
      </c>
      <c r="K7" s="279">
        <f>'Page 1.5'!K7+'Page 1.6'!K7</f>
        <v>0</v>
      </c>
    </row>
    <row r="8" spans="1:11">
      <c r="A8" s="278">
        <v>4</v>
      </c>
      <c r="B8" s="278" t="s">
        <v>68</v>
      </c>
      <c r="C8" s="279">
        <f>SUM(D8:K8)</f>
        <v>-42412289.183073334</v>
      </c>
      <c r="D8" s="279">
        <f>'Page 1.5'!D8+'Page 1.6'!D8</f>
        <v>0</v>
      </c>
      <c r="E8" s="279">
        <f>'Page 1.5'!E8+'Page 1.6'!E8</f>
        <v>0</v>
      </c>
      <c r="F8" s="279">
        <f>'Page 1.5'!F8+'Page 1.6'!F8</f>
        <v>3803644.2032988709</v>
      </c>
      <c r="G8" s="279">
        <f>'Page 1.5'!G8+'Page 1.6'!G8</f>
        <v>0</v>
      </c>
      <c r="H8" s="279">
        <f>'Page 1.5'!H8+'Page 1.6'!H8</f>
        <v>0</v>
      </c>
      <c r="I8" s="279">
        <f>'Page 1.5'!I8+'Page 1.6'!I8</f>
        <v>0</v>
      </c>
      <c r="J8" s="279">
        <f>'Page 1.5'!J8+'Page 1.6'!J8</f>
        <v>0</v>
      </c>
      <c r="K8" s="279">
        <f>'Page 1.5'!K8+'Page 1.6'!K8</f>
        <v>-46215933.386372209</v>
      </c>
    </row>
    <row r="9" spans="1:11">
      <c r="A9" s="278">
        <v>5</v>
      </c>
      <c r="B9" s="278" t="s">
        <v>69</v>
      </c>
      <c r="C9" s="279">
        <f>SUM(D9:K9)</f>
        <v>-1173927.4576984195</v>
      </c>
      <c r="D9" s="279">
        <f>'Page 1.5'!D9+'Page 1.6'!D9</f>
        <v>85586.80122413623</v>
      </c>
      <c r="E9" s="279">
        <f>'Page 1.5'!E9+'Page 1.6'!E9</f>
        <v>0</v>
      </c>
      <c r="F9" s="279">
        <f>'Page 1.5'!F9+'Page 1.6'!F9</f>
        <v>1178569.3667911782</v>
      </c>
      <c r="G9" s="279">
        <f>'Page 1.5'!G9+'Page 1.6'!G9</f>
        <v>0</v>
      </c>
      <c r="H9" s="279">
        <f>'Page 1.5'!H9+'Page 1.6'!H9</f>
        <v>0</v>
      </c>
      <c r="I9" s="279">
        <f>'Page 1.5'!I9+'Page 1.6'!I9</f>
        <v>-3000000</v>
      </c>
      <c r="J9" s="279">
        <f>'Page 1.5'!J9+'Page 1.6'!J9</f>
        <v>0</v>
      </c>
      <c r="K9" s="279">
        <f>'Page 1.5'!K9+'Page 1.6'!K9</f>
        <v>561916.37428626604</v>
      </c>
    </row>
    <row r="10" spans="1:11">
      <c r="A10" s="278">
        <v>6</v>
      </c>
      <c r="B10" s="278" t="s">
        <v>70</v>
      </c>
      <c r="C10" s="280">
        <f>SUM(C6:C9)</f>
        <v>-37921627.120771743</v>
      </c>
      <c r="D10" s="280">
        <f t="shared" ref="D10:K10" si="0">SUM(D6:D9)</f>
        <v>5750176.3212241465</v>
      </c>
      <c r="E10" s="280">
        <f t="shared" si="0"/>
        <v>0</v>
      </c>
      <c r="F10" s="280">
        <f t="shared" si="0"/>
        <v>4982213.5700900489</v>
      </c>
      <c r="G10" s="280">
        <f t="shared" si="0"/>
        <v>0</v>
      </c>
      <c r="H10" s="280">
        <f t="shared" si="0"/>
        <v>0</v>
      </c>
      <c r="I10" s="280">
        <f t="shared" si="0"/>
        <v>-3000000</v>
      </c>
      <c r="J10" s="280">
        <f t="shared" si="0"/>
        <v>0</v>
      </c>
      <c r="K10" s="280">
        <f t="shared" si="0"/>
        <v>-45654017.012085944</v>
      </c>
    </row>
    <row r="11" spans="1:11">
      <c r="A11" s="278">
        <v>7</v>
      </c>
      <c r="B11" s="278"/>
    </row>
    <row r="12" spans="1:11">
      <c r="A12" s="278">
        <v>8</v>
      </c>
      <c r="B12" s="278" t="s">
        <v>71</v>
      </c>
    </row>
    <row r="13" spans="1:11">
      <c r="A13" s="278">
        <v>9</v>
      </c>
      <c r="B13" s="278" t="s">
        <v>72</v>
      </c>
      <c r="C13" s="279">
        <f t="shared" ref="C13:C22" si="1">SUM(D13:K13)</f>
        <v>2564871.6501336107</v>
      </c>
      <c r="D13" s="279">
        <f>'Page 1.5'!D13+'Page 1.6'!D13</f>
        <v>0</v>
      </c>
      <c r="E13" s="279">
        <f>'Page 1.5'!E13+'Page 1.6'!E13</f>
        <v>63531.522219434832</v>
      </c>
      <c r="F13" s="279">
        <f>'Page 1.5'!F13+'Page 1.6'!F13</f>
        <v>-1306516.3102050694</v>
      </c>
      <c r="G13" s="279">
        <f>'Page 1.5'!G13+'Page 1.6'!G13</f>
        <v>0</v>
      </c>
      <c r="H13" s="279">
        <f>'Page 1.5'!H13+'Page 1.6'!H13</f>
        <v>0</v>
      </c>
      <c r="I13" s="279">
        <f>'Page 1.5'!I13+'Page 1.6'!I13</f>
        <v>0</v>
      </c>
      <c r="J13" s="279">
        <f>'Page 1.5'!J13+'Page 1.6'!J13</f>
        <v>0</v>
      </c>
      <c r="K13" s="279">
        <f>'Page 1.5'!K13+'Page 1.6'!K13</f>
        <v>3807856.4381192452</v>
      </c>
    </row>
    <row r="14" spans="1:11">
      <c r="A14" s="278">
        <v>10</v>
      </c>
      <c r="B14" s="278" t="s">
        <v>73</v>
      </c>
      <c r="C14" s="279">
        <f t="shared" si="1"/>
        <v>0</v>
      </c>
      <c r="D14" s="279">
        <f>'Page 1.5'!D14+'Page 1.6'!D14</f>
        <v>0</v>
      </c>
      <c r="E14" s="279">
        <f>'Page 1.5'!E14+'Page 1.6'!E14</f>
        <v>0</v>
      </c>
      <c r="F14" s="279">
        <f>'Page 1.5'!F14+'Page 1.6'!F14</f>
        <v>0</v>
      </c>
      <c r="G14" s="279">
        <f>'Page 1.5'!G14+'Page 1.6'!G14</f>
        <v>0</v>
      </c>
      <c r="H14" s="279">
        <f>'Page 1.5'!H14+'Page 1.6'!H14</f>
        <v>0</v>
      </c>
      <c r="I14" s="279">
        <f>'Page 1.5'!I14+'Page 1.6'!I14</f>
        <v>0</v>
      </c>
      <c r="J14" s="279">
        <f>'Page 1.5'!J14+'Page 1.6'!J14</f>
        <v>0</v>
      </c>
      <c r="K14" s="279">
        <f>'Page 1.5'!K14+'Page 1.6'!K14</f>
        <v>0</v>
      </c>
    </row>
    <row r="15" spans="1:11">
      <c r="A15" s="278">
        <v>11</v>
      </c>
      <c r="B15" s="278" t="s">
        <v>74</v>
      </c>
      <c r="C15" s="279">
        <f t="shared" si="1"/>
        <v>16092.922938672422</v>
      </c>
      <c r="D15" s="279">
        <f>'Page 1.5'!D15+'Page 1.6'!D15</f>
        <v>0</v>
      </c>
      <c r="E15" s="279">
        <f>'Page 1.5'!E15+'Page 1.6'!E15</f>
        <v>27364.23314235971</v>
      </c>
      <c r="F15" s="279">
        <f>'Page 1.5'!F15+'Page 1.6'!F15</f>
        <v>0</v>
      </c>
      <c r="G15" s="279">
        <f>'Page 1.5'!G15+'Page 1.6'!G15</f>
        <v>0</v>
      </c>
      <c r="H15" s="279">
        <f>'Page 1.5'!H15+'Page 1.6'!H15</f>
        <v>0</v>
      </c>
      <c r="I15" s="279">
        <f>'Page 1.5'!I15+'Page 1.6'!I15</f>
        <v>0</v>
      </c>
      <c r="J15" s="279">
        <f>'Page 1.5'!J15+'Page 1.6'!J15</f>
        <v>0</v>
      </c>
      <c r="K15" s="279">
        <f>'Page 1.5'!K15+'Page 1.6'!K15</f>
        <v>-11271.310203687288</v>
      </c>
    </row>
    <row r="16" spans="1:11">
      <c r="A16" s="278">
        <v>12</v>
      </c>
      <c r="B16" s="278" t="s">
        <v>75</v>
      </c>
      <c r="C16" s="279">
        <f t="shared" si="1"/>
        <v>-17274844.174361296</v>
      </c>
      <c r="D16" s="279">
        <f>'Page 1.5'!D16+'Page 1.6'!D16</f>
        <v>0</v>
      </c>
      <c r="E16" s="279">
        <f>'Page 1.5'!E16+'Page 1.6'!E16</f>
        <v>-49971.818379299155</v>
      </c>
      <c r="F16" s="279">
        <f>'Page 1.5'!F16+'Page 1.6'!F16</f>
        <v>2287482.9111384153</v>
      </c>
      <c r="G16" s="279">
        <f>'Page 1.5'!G16+'Page 1.6'!G16</f>
        <v>0</v>
      </c>
      <c r="H16" s="279">
        <f>'Page 1.5'!H16+'Page 1.6'!H16</f>
        <v>0</v>
      </c>
      <c r="I16" s="279">
        <f>'Page 1.5'!I16+'Page 1.6'!I16</f>
        <v>0</v>
      </c>
      <c r="J16" s="279">
        <f>'Page 1.5'!J16+'Page 1.6'!J16</f>
        <v>0</v>
      </c>
      <c r="K16" s="279">
        <f>'Page 1.5'!K16+'Page 1.6'!K16</f>
        <v>-19512355.267120413</v>
      </c>
    </row>
    <row r="17" spans="1:11">
      <c r="A17" s="278">
        <v>13</v>
      </c>
      <c r="B17" s="278" t="s">
        <v>76</v>
      </c>
      <c r="C17" s="279">
        <f t="shared" si="1"/>
        <v>3901103.1892654365</v>
      </c>
      <c r="D17" s="279">
        <f>'Page 1.5'!D17+'Page 1.6'!D17</f>
        <v>-7394.9629479036066</v>
      </c>
      <c r="E17" s="279">
        <f>'Page 1.5'!E17+'Page 1.6'!E17</f>
        <v>-89849.152093178593</v>
      </c>
      <c r="F17" s="279">
        <f>'Page 1.5'!F17+'Page 1.6'!F17</f>
        <v>0</v>
      </c>
      <c r="G17" s="279">
        <f>'Page 1.5'!G17+'Page 1.6'!G17</f>
        <v>0</v>
      </c>
      <c r="H17" s="279">
        <f>'Page 1.5'!H17+'Page 1.6'!H17</f>
        <v>0</v>
      </c>
      <c r="I17" s="279">
        <f>'Page 1.5'!I17+'Page 1.6'!I17</f>
        <v>0</v>
      </c>
      <c r="J17" s="279">
        <f>'Page 1.5'!J17+'Page 1.6'!J17</f>
        <v>0</v>
      </c>
      <c r="K17" s="279">
        <f>'Page 1.5'!K17+'Page 1.6'!K17</f>
        <v>3998347.3043065188</v>
      </c>
    </row>
    <row r="18" spans="1:11">
      <c r="A18" s="278">
        <v>14</v>
      </c>
      <c r="B18" s="278" t="s">
        <v>77</v>
      </c>
      <c r="C18" s="279">
        <f t="shared" si="1"/>
        <v>98474.934809274215</v>
      </c>
      <c r="D18" s="279">
        <f>'Page 1.5'!D18+'Page 1.6'!D18</f>
        <v>0</v>
      </c>
      <c r="E18" s="279">
        <f>'Page 1.5'!E18+'Page 1.6'!E18</f>
        <v>98474.934809274215</v>
      </c>
      <c r="F18" s="279">
        <f>'Page 1.5'!F18+'Page 1.6'!F18</f>
        <v>0</v>
      </c>
      <c r="G18" s="279">
        <f>'Page 1.5'!G18+'Page 1.6'!G18</f>
        <v>0</v>
      </c>
      <c r="H18" s="279">
        <f>'Page 1.5'!H18+'Page 1.6'!H18</f>
        <v>0</v>
      </c>
      <c r="I18" s="279">
        <f>'Page 1.5'!I18+'Page 1.6'!I18</f>
        <v>0</v>
      </c>
      <c r="J18" s="279">
        <f>'Page 1.5'!J18+'Page 1.6'!J18</f>
        <v>0</v>
      </c>
      <c r="K18" s="279">
        <f>'Page 1.5'!K18+'Page 1.6'!K18</f>
        <v>0</v>
      </c>
    </row>
    <row r="19" spans="1:11">
      <c r="A19" s="278">
        <v>15</v>
      </c>
      <c r="B19" s="278" t="s">
        <v>78</v>
      </c>
      <c r="C19" s="279">
        <f t="shared" si="1"/>
        <v>62199.501023949764</v>
      </c>
      <c r="D19" s="279">
        <f>'Page 1.5'!D19+'Page 1.6'!D19</f>
        <v>0</v>
      </c>
      <c r="E19" s="279">
        <f>'Page 1.5'!E19+'Page 1.6'!E19</f>
        <v>62199.501023949764</v>
      </c>
      <c r="F19" s="279">
        <f>'Page 1.5'!F19+'Page 1.6'!F19</f>
        <v>0</v>
      </c>
      <c r="G19" s="279">
        <f>'Page 1.5'!G19+'Page 1.6'!G19</f>
        <v>0</v>
      </c>
      <c r="H19" s="279">
        <f>'Page 1.5'!H19+'Page 1.6'!H19</f>
        <v>0</v>
      </c>
      <c r="I19" s="279">
        <f>'Page 1.5'!I19+'Page 1.6'!I19</f>
        <v>0</v>
      </c>
      <c r="J19" s="279">
        <f>'Page 1.5'!J19+'Page 1.6'!J19</f>
        <v>0</v>
      </c>
      <c r="K19" s="279">
        <f>'Page 1.5'!K19+'Page 1.6'!K19</f>
        <v>0</v>
      </c>
    </row>
    <row r="20" spans="1:11">
      <c r="A20" s="278">
        <v>16</v>
      </c>
      <c r="B20" s="278" t="s">
        <v>79</v>
      </c>
      <c r="C20" s="279">
        <f t="shared" si="1"/>
        <v>-4857969.164940211</v>
      </c>
      <c r="D20" s="279">
        <f>'Page 1.5'!D20+'Page 1.6'!D20</f>
        <v>0</v>
      </c>
      <c r="E20" s="279">
        <f>'Page 1.5'!E20+'Page 1.6'!E20</f>
        <v>-4856177.8771926211</v>
      </c>
      <c r="F20" s="279">
        <f>'Page 1.5'!F20+'Page 1.6'!F20</f>
        <v>0</v>
      </c>
      <c r="G20" s="279">
        <f>'Page 1.5'!G20+'Page 1.6'!G20</f>
        <v>0</v>
      </c>
      <c r="H20" s="279">
        <f>'Page 1.5'!H20+'Page 1.6'!H20</f>
        <v>0</v>
      </c>
      <c r="I20" s="279">
        <f>'Page 1.5'!I20+'Page 1.6'!I20</f>
        <v>0</v>
      </c>
      <c r="J20" s="279">
        <f>'Page 1.5'!J20+'Page 1.6'!J20</f>
        <v>0</v>
      </c>
      <c r="K20" s="279">
        <f>'Page 1.5'!K20+'Page 1.6'!K20</f>
        <v>-1791.2877475899786</v>
      </c>
    </row>
    <row r="21" spans="1:11">
      <c r="A21" s="278">
        <v>17</v>
      </c>
      <c r="B21" s="278" t="s">
        <v>80</v>
      </c>
      <c r="C21" s="279">
        <f t="shared" si="1"/>
        <v>0</v>
      </c>
      <c r="D21" s="279">
        <f>'Page 1.5'!D21+'Page 1.6'!D21</f>
        <v>0</v>
      </c>
      <c r="E21" s="279">
        <f>'Page 1.5'!E21+'Page 1.6'!E21</f>
        <v>0</v>
      </c>
      <c r="F21" s="279">
        <f>'Page 1.5'!F21+'Page 1.6'!F21</f>
        <v>0</v>
      </c>
      <c r="G21" s="279">
        <f>'Page 1.5'!G21+'Page 1.6'!G21</f>
        <v>0</v>
      </c>
      <c r="H21" s="279">
        <f>'Page 1.5'!H21+'Page 1.6'!H21</f>
        <v>0</v>
      </c>
      <c r="I21" s="279">
        <f>'Page 1.5'!I21+'Page 1.6'!I21</f>
        <v>0</v>
      </c>
      <c r="J21" s="279">
        <f>'Page 1.5'!J21+'Page 1.6'!J21</f>
        <v>0</v>
      </c>
      <c r="K21" s="279">
        <f>'Page 1.5'!K21+'Page 1.6'!K21</f>
        <v>0</v>
      </c>
    </row>
    <row r="22" spans="1:11">
      <c r="A22" s="278">
        <v>18</v>
      </c>
      <c r="B22" s="278" t="s">
        <v>81</v>
      </c>
      <c r="C22" s="281">
        <f t="shared" si="1"/>
        <v>-1573143.0729479669</v>
      </c>
      <c r="D22" s="281">
        <f>'Page 1.5'!D22+'Page 1.6'!D22</f>
        <v>0</v>
      </c>
      <c r="E22" s="281">
        <f>'Page 1.5'!E22+'Page 1.6'!E22</f>
        <v>-1365735.2616992278</v>
      </c>
      <c r="F22" s="281">
        <f>'Page 1.5'!F22+'Page 1.6'!F22</f>
        <v>0</v>
      </c>
      <c r="G22" s="281">
        <f>'Page 1.5'!G22+'Page 1.6'!G22</f>
        <v>0</v>
      </c>
      <c r="H22" s="281">
        <f>'Page 1.5'!H22+'Page 1.6'!H22</f>
        <v>0</v>
      </c>
      <c r="I22" s="281">
        <f>'Page 1.5'!I22+'Page 1.6'!I22</f>
        <v>54303.537524919564</v>
      </c>
      <c r="J22" s="281">
        <f>'Page 1.5'!J22+'Page 1.6'!J22</f>
        <v>0</v>
      </c>
      <c r="K22" s="281">
        <f>'Page 1.5'!K22+'Page 1.6'!K22</f>
        <v>-261711.34877365842</v>
      </c>
    </row>
    <row r="23" spans="1:11">
      <c r="A23" s="278">
        <v>19</v>
      </c>
      <c r="B23" s="278" t="s">
        <v>82</v>
      </c>
      <c r="C23" s="282">
        <f>SUM(C13:C22)</f>
        <v>-17063214.214078531</v>
      </c>
      <c r="D23" s="282">
        <f t="shared" ref="D23:J23" si="2">SUM(D13:D22)</f>
        <v>-7394.9629479036066</v>
      </c>
      <c r="E23" s="282">
        <f t="shared" si="2"/>
        <v>-6110163.9181693075</v>
      </c>
      <c r="F23" s="282">
        <f t="shared" si="2"/>
        <v>980966.60093334597</v>
      </c>
      <c r="G23" s="282">
        <f t="shared" si="2"/>
        <v>0</v>
      </c>
      <c r="H23" s="282">
        <f t="shared" si="2"/>
        <v>0</v>
      </c>
      <c r="I23" s="282">
        <f t="shared" si="2"/>
        <v>54303.537524919564</v>
      </c>
      <c r="J23" s="282">
        <f t="shared" si="2"/>
        <v>0</v>
      </c>
      <c r="K23" s="282">
        <f>SUM(K13:K22)</f>
        <v>-11980925.471419586</v>
      </c>
    </row>
    <row r="24" spans="1:11">
      <c r="A24" s="278">
        <v>20</v>
      </c>
      <c r="B24" s="278" t="s">
        <v>83</v>
      </c>
      <c r="C24" s="279">
        <f t="shared" ref="C24:C31" si="3">SUM(D24:K24)</f>
        <v>-444460.91005526017</v>
      </c>
      <c r="D24" s="279">
        <f>'Page 1.5'!D24+'Page 1.6'!D24</f>
        <v>0</v>
      </c>
      <c r="E24" s="279">
        <f>'Page 1.5'!E24+'Page 1.6'!E24</f>
        <v>0</v>
      </c>
      <c r="F24" s="279">
        <f>'Page 1.5'!F24+'Page 1.6'!F24</f>
        <v>-397232.00153080252</v>
      </c>
      <c r="G24" s="279">
        <f>'Page 1.5'!G24+'Page 1.6'!G24</f>
        <v>0</v>
      </c>
      <c r="H24" s="279">
        <f>'Page 1.5'!H24+'Page 1.6'!H24</f>
        <v>0</v>
      </c>
      <c r="I24" s="279">
        <f>'Page 1.5'!I24+'Page 1.6'!I24</f>
        <v>-17990.552800000001</v>
      </c>
      <c r="J24" s="279">
        <f>'Page 1.5'!J24+'Page 1.6'!J24</f>
        <v>0</v>
      </c>
      <c r="K24" s="279">
        <f>'Page 1.5'!K24+'Page 1.6'!K24</f>
        <v>-29238.355724457651</v>
      </c>
    </row>
    <row r="25" spans="1:11">
      <c r="A25" s="278">
        <v>21</v>
      </c>
      <c r="B25" s="278" t="s">
        <v>84</v>
      </c>
      <c r="C25" s="279">
        <f t="shared" si="3"/>
        <v>-351857.95314850612</v>
      </c>
      <c r="D25" s="279">
        <f>'Page 1.5'!D25+'Page 1.6'!D25</f>
        <v>0</v>
      </c>
      <c r="E25" s="279">
        <f>'Page 1.5'!E25+'Page 1.6'!E25</f>
        <v>0</v>
      </c>
      <c r="F25" s="279">
        <f>'Page 1.5'!F25+'Page 1.6'!F25</f>
        <v>0</v>
      </c>
      <c r="G25" s="279">
        <f>'Page 1.5'!G25+'Page 1.6'!G25</f>
        <v>0</v>
      </c>
      <c r="H25" s="279">
        <f>'Page 1.5'!H25+'Page 1.6'!H25</f>
        <v>0</v>
      </c>
      <c r="I25" s="279">
        <f>'Page 1.5'!I25+'Page 1.6'!I25</f>
        <v>-351857.95314850612</v>
      </c>
      <c r="J25" s="279">
        <f>'Page 1.5'!J25+'Page 1.6'!J25</f>
        <v>0</v>
      </c>
      <c r="K25" s="279">
        <f>'Page 1.5'!K25+'Page 1.6'!K25</f>
        <v>0</v>
      </c>
    </row>
    <row r="26" spans="1:11">
      <c r="A26" s="278">
        <v>22</v>
      </c>
      <c r="B26" s="278" t="s">
        <v>85</v>
      </c>
      <c r="C26" s="279">
        <f t="shared" si="3"/>
        <v>-470740.99930434069</v>
      </c>
      <c r="D26" s="279">
        <f>'Page 1.5'!D26+'Page 1.6'!D26</f>
        <v>0</v>
      </c>
      <c r="E26" s="279">
        <f>'Page 1.5'!E26+'Page 1.6'!E26</f>
        <v>0</v>
      </c>
      <c r="F26" s="279">
        <f>'Page 1.5'!F26+'Page 1.6'!F26</f>
        <v>-42124.459304340671</v>
      </c>
      <c r="G26" s="279">
        <f>'Page 1.5'!G26+'Page 1.6'!G26</f>
        <v>0</v>
      </c>
      <c r="H26" s="279">
        <f>'Page 1.5'!H26+'Page 1.6'!H26</f>
        <v>-428616.54000000004</v>
      </c>
      <c r="I26" s="279">
        <f>'Page 1.5'!I26+'Page 1.6'!I26</f>
        <v>0</v>
      </c>
      <c r="J26" s="279">
        <f>'Page 1.5'!J26+'Page 1.6'!J26</f>
        <v>0</v>
      </c>
      <c r="K26" s="279">
        <f>'Page 1.5'!K26+'Page 1.6'!K26</f>
        <v>0</v>
      </c>
    </row>
    <row r="27" spans="1:11">
      <c r="A27" s="278">
        <v>23</v>
      </c>
      <c r="B27" s="278" t="s">
        <v>314</v>
      </c>
      <c r="C27" s="279">
        <f>C80</f>
        <v>-11266894.387598155</v>
      </c>
      <c r="D27" s="279">
        <f>D80</f>
        <v>1440299.0994602174</v>
      </c>
      <c r="E27" s="279">
        <f t="shared" ref="E27:K27" si="4">E80</f>
        <v>2067617.7804720313</v>
      </c>
      <c r="F27" s="279">
        <f t="shared" si="4"/>
        <v>1428552.8230523162</v>
      </c>
      <c r="G27" s="279">
        <f t="shared" si="4"/>
        <v>0</v>
      </c>
      <c r="H27" s="279">
        <f t="shared" si="4"/>
        <v>-5564675.0997939268</v>
      </c>
      <c r="I27" s="279">
        <f t="shared" si="4"/>
        <v>4557.6634522473141</v>
      </c>
      <c r="J27" s="279">
        <f t="shared" si="4"/>
        <v>0</v>
      </c>
      <c r="K27" s="279">
        <f t="shared" si="4"/>
        <v>-10643246.65424104</v>
      </c>
    </row>
    <row r="28" spans="1:11">
      <c r="A28" s="278">
        <v>24</v>
      </c>
      <c r="B28" s="278" t="s">
        <v>315</v>
      </c>
      <c r="C28" s="279">
        <f t="shared" si="3"/>
        <v>0</v>
      </c>
      <c r="D28" s="279">
        <v>0</v>
      </c>
      <c r="E28" s="279">
        <f t="shared" ref="E28" si="5">C227</f>
        <v>0</v>
      </c>
      <c r="F28" s="279">
        <f t="shared" ref="F28" si="6">C341</f>
        <v>0</v>
      </c>
      <c r="G28" s="279">
        <f t="shared" ref="G28" si="7">C455</f>
        <v>0</v>
      </c>
      <c r="H28" s="279">
        <f t="shared" ref="H28" si="8">C570</f>
        <v>0</v>
      </c>
      <c r="I28" s="279">
        <f t="shared" ref="I28" si="9">C685</f>
        <v>0</v>
      </c>
      <c r="J28" s="279">
        <f t="shared" ref="J28" si="10">C803</f>
        <v>0</v>
      </c>
      <c r="K28" s="279">
        <f t="shared" ref="K28" si="11">C1152</f>
        <v>0</v>
      </c>
    </row>
    <row r="29" spans="1:11">
      <c r="A29" s="278">
        <v>25</v>
      </c>
      <c r="B29" s="278" t="s">
        <v>316</v>
      </c>
      <c r="C29" s="279">
        <f t="shared" si="3"/>
        <v>3841059.847306639</v>
      </c>
      <c r="D29" s="279">
        <f>'Page 1.5'!D29+'Page 1.6'!D29</f>
        <v>623320</v>
      </c>
      <c r="E29" s="279">
        <f>'Page 1.5'!E29+'Page 1.6'!E29</f>
        <v>76921.189517558902</v>
      </c>
      <c r="F29" s="279">
        <f>'Page 1.5'!F29+'Page 1.6'!F29</f>
        <v>136253.30590310734</v>
      </c>
      <c r="G29" s="279">
        <f>'Page 1.5'!G29+'Page 1.6'!G29</f>
        <v>0</v>
      </c>
      <c r="H29" s="279">
        <f>'Page 1.5'!H29+'Page 1.6'!H29</f>
        <v>3737965.5327728949</v>
      </c>
      <c r="I29" s="279">
        <f>'Page 1.5'!I29+'Page 1.6'!I29</f>
        <v>-1043454.0756993191</v>
      </c>
      <c r="J29" s="279">
        <f>'Page 1.5'!J29+'Page 1.6'!J29</f>
        <v>0</v>
      </c>
      <c r="K29" s="279">
        <f>'Page 1.5'!K29+'Page 1.6'!K29</f>
        <v>310053.89481239684</v>
      </c>
    </row>
    <row r="30" spans="1:11">
      <c r="A30" s="278">
        <v>26</v>
      </c>
      <c r="B30" s="278" t="s">
        <v>89</v>
      </c>
      <c r="C30" s="279">
        <f t="shared" si="3"/>
        <v>0</v>
      </c>
      <c r="D30" s="279">
        <f>'Page 1.5'!D30+'Page 1.6'!D30</f>
        <v>0</v>
      </c>
      <c r="E30" s="279">
        <f>'Page 1.5'!E30+'Page 1.6'!E30</f>
        <v>0</v>
      </c>
      <c r="F30" s="279">
        <f>'Page 1.5'!F30+'Page 1.6'!F30</f>
        <v>0</v>
      </c>
      <c r="G30" s="279">
        <f>'Page 1.5'!G30+'Page 1.6'!G30</f>
        <v>0</v>
      </c>
      <c r="H30" s="279">
        <f>'Page 1.5'!H30+'Page 1.6'!H30</f>
        <v>0</v>
      </c>
      <c r="I30" s="279">
        <f>'Page 1.5'!I30+'Page 1.6'!I30</f>
        <v>0</v>
      </c>
      <c r="J30" s="279">
        <f>'Page 1.5'!J30+'Page 1.6'!J30</f>
        <v>0</v>
      </c>
      <c r="K30" s="279">
        <f>'Page 1.5'!K30+'Page 1.6'!K30</f>
        <v>0</v>
      </c>
    </row>
    <row r="31" spans="1:11">
      <c r="A31" s="278">
        <v>27</v>
      </c>
      <c r="B31" s="278" t="s">
        <v>90</v>
      </c>
      <c r="C31" s="279">
        <f t="shared" si="3"/>
        <v>-512416.08419859601</v>
      </c>
      <c r="D31" s="279">
        <f>'Page 1.5'!D31+'Page 1.6'!D31</f>
        <v>0</v>
      </c>
      <c r="E31" s="279">
        <f>'Page 1.5'!E31+'Page 1.6'!E31</f>
        <v>0</v>
      </c>
      <c r="F31" s="279">
        <f>'Page 1.5'!F31+'Page 1.6'!F31</f>
        <v>0</v>
      </c>
      <c r="G31" s="279">
        <f>'Page 1.5'!G31+'Page 1.6'!G31</f>
        <v>0</v>
      </c>
      <c r="H31" s="279">
        <f>'Page 1.5'!H31+'Page 1.6'!H31</f>
        <v>0</v>
      </c>
      <c r="I31" s="279">
        <f>'Page 1.5'!I31+'Page 1.6'!I31</f>
        <v>34004.906666666662</v>
      </c>
      <c r="J31" s="279">
        <f>'Page 1.5'!J31+'Page 1.6'!J31</f>
        <v>0</v>
      </c>
      <c r="K31" s="279">
        <f>'Page 1.5'!K31+'Page 1.6'!K31</f>
        <v>-546420.99086526269</v>
      </c>
    </row>
    <row r="32" spans="1:11">
      <c r="A32" s="278">
        <v>28</v>
      </c>
      <c r="B32" s="283" t="s">
        <v>91</v>
      </c>
      <c r="C32" s="284">
        <f>SUM(C23:C31)</f>
        <v>-26268524.70107675</v>
      </c>
      <c r="D32" s="284">
        <f t="shared" ref="D32:J32" si="12">SUM(D23:D31)</f>
        <v>2056224.1365123137</v>
      </c>
      <c r="E32" s="284">
        <f t="shared" si="12"/>
        <v>-3965624.9481797172</v>
      </c>
      <c r="F32" s="284">
        <f t="shared" si="12"/>
        <v>2106416.2690536263</v>
      </c>
      <c r="G32" s="284">
        <f t="shared" si="12"/>
        <v>0</v>
      </c>
      <c r="H32" s="284">
        <f t="shared" si="12"/>
        <v>-2255326.1070210319</v>
      </c>
      <c r="I32" s="284">
        <f t="shared" si="12"/>
        <v>-1320436.4740039916</v>
      </c>
      <c r="J32" s="284">
        <f t="shared" si="12"/>
        <v>0</v>
      </c>
      <c r="K32" s="284">
        <f>SUM(K23:K31)</f>
        <v>-22889777.577437948</v>
      </c>
    </row>
    <row r="33" spans="1:11">
      <c r="A33" s="278">
        <v>29</v>
      </c>
      <c r="B33" s="278"/>
    </row>
    <row r="34" spans="1:11" ht="15.75" thickBot="1">
      <c r="A34" s="278">
        <v>30</v>
      </c>
      <c r="B34" s="278" t="s">
        <v>92</v>
      </c>
      <c r="C34" s="285">
        <f>C10-C32</f>
        <v>-11653102.419694994</v>
      </c>
      <c r="D34" s="285">
        <f t="shared" ref="D34:J34" si="13">D10-D32</f>
        <v>3693952.1847118326</v>
      </c>
      <c r="E34" s="285">
        <f t="shared" si="13"/>
        <v>3965624.9481797172</v>
      </c>
      <c r="F34" s="285">
        <f t="shared" si="13"/>
        <v>2875797.3010364226</v>
      </c>
      <c r="G34" s="285">
        <f t="shared" si="13"/>
        <v>0</v>
      </c>
      <c r="H34" s="285">
        <f t="shared" si="13"/>
        <v>2255326.1070210319</v>
      </c>
      <c r="I34" s="285">
        <f t="shared" si="13"/>
        <v>-1679563.5259960084</v>
      </c>
      <c r="J34" s="285">
        <f t="shared" si="13"/>
        <v>0</v>
      </c>
      <c r="K34" s="285">
        <f>K10-K32</f>
        <v>-22764239.434647996</v>
      </c>
    </row>
    <row r="35" spans="1:11" ht="15.75" thickTop="1">
      <c r="A35" s="278">
        <v>31</v>
      </c>
      <c r="B35" s="278"/>
    </row>
    <row r="36" spans="1:11">
      <c r="A36" s="278">
        <v>32</v>
      </c>
      <c r="B36" s="278" t="s">
        <v>93</v>
      </c>
    </row>
    <row r="37" spans="1:11">
      <c r="A37" s="278">
        <v>33</v>
      </c>
      <c r="B37" s="278" t="s">
        <v>94</v>
      </c>
      <c r="C37" s="279">
        <f t="shared" ref="C37:C47" si="14">SUM(D37:K37)</f>
        <v>25885069.736930735</v>
      </c>
      <c r="D37" s="279">
        <f>'Page 1.5'!D37+'Page 1.6'!D37</f>
        <v>0</v>
      </c>
      <c r="E37" s="279">
        <f>'Page 1.5'!E37+'Page 1.6'!E37</f>
        <v>0</v>
      </c>
      <c r="F37" s="279">
        <f>'Page 1.5'!F37+'Page 1.6'!F37</f>
        <v>-26125927.969872698</v>
      </c>
      <c r="G37" s="279">
        <f>'Page 1.5'!G37+'Page 1.6'!G37</f>
        <v>0</v>
      </c>
      <c r="H37" s="279">
        <f>'Page 1.5'!H37+'Page 1.6'!H37</f>
        <v>0</v>
      </c>
      <c r="I37" s="279">
        <f>'Page 1.5'!I37+'Page 1.6'!I37</f>
        <v>53172845.041649356</v>
      </c>
      <c r="J37" s="279">
        <f>'Page 1.5'!J37+'Page 1.6'!J37</f>
        <v>0</v>
      </c>
      <c r="K37" s="279">
        <f>'Page 1.5'!K37+'Page 1.6'!K37</f>
        <v>-1161847.3348459222</v>
      </c>
    </row>
    <row r="38" spans="1:11">
      <c r="A38" s="278">
        <v>34</v>
      </c>
      <c r="B38" s="278" t="s">
        <v>95</v>
      </c>
      <c r="C38" s="279">
        <f t="shared" si="14"/>
        <v>0</v>
      </c>
      <c r="D38" s="279">
        <f>'Page 1.5'!D38+'Page 1.6'!D38</f>
        <v>0</v>
      </c>
      <c r="E38" s="279">
        <f>'Page 1.5'!E38+'Page 1.6'!E38</f>
        <v>0</v>
      </c>
      <c r="F38" s="279">
        <f>'Page 1.5'!F38+'Page 1.6'!F38</f>
        <v>0</v>
      </c>
      <c r="G38" s="279">
        <f>'Page 1.5'!G38+'Page 1.6'!G38</f>
        <v>0</v>
      </c>
      <c r="H38" s="279">
        <f>'Page 1.5'!H38+'Page 1.6'!H38</f>
        <v>0</v>
      </c>
      <c r="I38" s="279">
        <f>'Page 1.5'!I38+'Page 1.6'!I38</f>
        <v>0</v>
      </c>
      <c r="J38" s="279">
        <f>'Page 1.5'!J38+'Page 1.6'!J38</f>
        <v>0</v>
      </c>
      <c r="K38" s="279">
        <f>'Page 1.5'!K38+'Page 1.6'!K38</f>
        <v>0</v>
      </c>
    </row>
    <row r="39" spans="1:11">
      <c r="A39" s="278">
        <v>35</v>
      </c>
      <c r="B39" s="278" t="s">
        <v>96</v>
      </c>
      <c r="C39" s="279">
        <f t="shared" si="14"/>
        <v>12990696.065145627</v>
      </c>
      <c r="D39" s="279">
        <f>'Page 1.5'!D39+'Page 1.6'!D39</f>
        <v>0</v>
      </c>
      <c r="E39" s="279">
        <f>'Page 1.5'!E39+'Page 1.6'!E39</f>
        <v>-637047.28166666592</v>
      </c>
      <c r="F39" s="279">
        <f>'Page 1.5'!F39+'Page 1.6'!F39</f>
        <v>0</v>
      </c>
      <c r="G39" s="279">
        <f>'Page 1.5'!G39+'Page 1.6'!G39</f>
        <v>0</v>
      </c>
      <c r="H39" s="279">
        <f>'Page 1.5'!H39+'Page 1.6'!H39</f>
        <v>0</v>
      </c>
      <c r="I39" s="279">
        <f>'Page 1.5'!I39+'Page 1.6'!I39</f>
        <v>13628652.354361461</v>
      </c>
      <c r="J39" s="279">
        <f>'Page 1.5'!J39+'Page 1.6'!J39</f>
        <v>0</v>
      </c>
      <c r="K39" s="279">
        <f>'Page 1.5'!K39+'Page 1.6'!K39</f>
        <v>-909.0075491683674</v>
      </c>
    </row>
    <row r="40" spans="1:11">
      <c r="A40" s="278">
        <v>36</v>
      </c>
      <c r="B40" s="278" t="s">
        <v>97</v>
      </c>
      <c r="C40" s="279">
        <f t="shared" si="14"/>
        <v>0</v>
      </c>
      <c r="D40" s="279">
        <f>'Page 1.5'!D40+'Page 1.6'!D40</f>
        <v>0</v>
      </c>
      <c r="E40" s="279">
        <f>'Page 1.5'!E40+'Page 1.6'!E40</f>
        <v>0</v>
      </c>
      <c r="F40" s="279">
        <f>'Page 1.5'!F40+'Page 1.6'!F40</f>
        <v>0</v>
      </c>
      <c r="G40" s="279">
        <f>'Page 1.5'!G40+'Page 1.6'!G40</f>
        <v>0</v>
      </c>
      <c r="H40" s="279">
        <f>'Page 1.5'!H40+'Page 1.6'!H40</f>
        <v>0</v>
      </c>
      <c r="I40" s="279">
        <f>'Page 1.5'!I40+'Page 1.6'!I40</f>
        <v>0</v>
      </c>
      <c r="J40" s="279">
        <f>'Page 1.5'!J40+'Page 1.6'!J40</f>
        <v>0</v>
      </c>
      <c r="K40" s="279">
        <f>'Page 1.5'!K40+'Page 1.6'!K40</f>
        <v>0</v>
      </c>
    </row>
    <row r="41" spans="1:11">
      <c r="A41" s="278">
        <v>37</v>
      </c>
      <c r="B41" s="278" t="s">
        <v>98</v>
      </c>
      <c r="C41" s="279">
        <f t="shared" si="14"/>
        <v>0</v>
      </c>
      <c r="D41" s="279">
        <f>'Page 1.5'!D41+'Page 1.6'!D41</f>
        <v>0</v>
      </c>
      <c r="E41" s="279">
        <f>'Page 1.5'!E41+'Page 1.6'!E41</f>
        <v>0</v>
      </c>
      <c r="F41" s="279">
        <f>'Page 1.5'!F41+'Page 1.6'!F41</f>
        <v>0</v>
      </c>
      <c r="G41" s="279">
        <f>'Page 1.5'!G41+'Page 1.6'!G41</f>
        <v>0</v>
      </c>
      <c r="H41" s="279">
        <f>'Page 1.5'!H41+'Page 1.6'!H41</f>
        <v>0</v>
      </c>
      <c r="I41" s="279">
        <f>'Page 1.5'!I41+'Page 1.6'!I41</f>
        <v>0</v>
      </c>
      <c r="J41" s="279">
        <f>'Page 1.5'!J41+'Page 1.6'!J41</f>
        <v>0</v>
      </c>
      <c r="K41" s="279">
        <f>'Page 1.5'!K41+'Page 1.6'!K41</f>
        <v>0</v>
      </c>
    </row>
    <row r="42" spans="1:11">
      <c r="A42" s="278">
        <v>38</v>
      </c>
      <c r="B42" s="278" t="s">
        <v>99</v>
      </c>
      <c r="C42" s="279">
        <f t="shared" si="14"/>
        <v>-2850427.9619466118</v>
      </c>
      <c r="D42" s="279">
        <f>'Page 1.5'!D42+'Page 1.6'!D42</f>
        <v>0</v>
      </c>
      <c r="E42" s="279">
        <f>'Page 1.5'!E42+'Page 1.6'!E42</f>
        <v>0</v>
      </c>
      <c r="F42" s="279">
        <f>'Page 1.5'!F42+'Page 1.6'!F42</f>
        <v>0</v>
      </c>
      <c r="G42" s="279">
        <f>'Page 1.5'!G42+'Page 1.6'!G42</f>
        <v>0</v>
      </c>
      <c r="H42" s="279">
        <f>'Page 1.5'!H42+'Page 1.6'!H42</f>
        <v>0</v>
      </c>
      <c r="I42" s="279">
        <f>'Page 1.5'!I42+'Page 1.6'!I42</f>
        <v>-2850427.9619466118</v>
      </c>
      <c r="J42" s="279">
        <f>'Page 1.5'!J42+'Page 1.6'!J42</f>
        <v>0</v>
      </c>
      <c r="K42" s="279">
        <f>'Page 1.5'!K42+'Page 1.6'!K42</f>
        <v>0</v>
      </c>
    </row>
    <row r="43" spans="1:11">
      <c r="A43" s="278">
        <v>39</v>
      </c>
      <c r="B43" s="278" t="s">
        <v>100</v>
      </c>
      <c r="C43" s="279">
        <f t="shared" si="14"/>
        <v>2030356.9200232858</v>
      </c>
      <c r="D43" s="279">
        <f>'Page 1.5'!D43+'Page 1.6'!D43</f>
        <v>0</v>
      </c>
      <c r="E43" s="279">
        <f>'Page 1.5'!E43+'Page 1.6'!E43</f>
        <v>0</v>
      </c>
      <c r="F43" s="279">
        <f>'Page 1.5'!F43+'Page 1.6'!F43</f>
        <v>0</v>
      </c>
      <c r="G43" s="279">
        <f>'Page 1.5'!G43+'Page 1.6'!G43</f>
        <v>0</v>
      </c>
      <c r="H43" s="279">
        <f>'Page 1.5'!H43+'Page 1.6'!H43</f>
        <v>0</v>
      </c>
      <c r="I43" s="279">
        <f>'Page 1.5'!I43+'Page 1.6'!I43</f>
        <v>2033952.2560125524</v>
      </c>
      <c r="J43" s="279">
        <f>'Page 1.5'!J43+'Page 1.6'!J43</f>
        <v>0</v>
      </c>
      <c r="K43" s="279">
        <f>'Page 1.5'!K43+'Page 1.6'!K43</f>
        <v>-3595.335989266634</v>
      </c>
    </row>
    <row r="44" spans="1:11">
      <c r="A44" s="278">
        <v>40</v>
      </c>
      <c r="B44" s="278" t="s">
        <v>101</v>
      </c>
      <c r="C44" s="279">
        <f t="shared" si="14"/>
        <v>2014632.6485168408</v>
      </c>
      <c r="D44" s="279">
        <f>'Page 1.5'!D44+'Page 1.6'!D44</f>
        <v>0</v>
      </c>
      <c r="E44" s="279">
        <f>'Page 1.5'!E44+'Page 1.6'!E44</f>
        <v>0</v>
      </c>
      <c r="F44" s="279">
        <f>'Page 1.5'!F44+'Page 1.6'!F44</f>
        <v>0</v>
      </c>
      <c r="G44" s="279">
        <f>'Page 1.5'!G44+'Page 1.6'!G44</f>
        <v>0</v>
      </c>
      <c r="H44" s="279">
        <f>'Page 1.5'!H44+'Page 1.6'!H44</f>
        <v>0</v>
      </c>
      <c r="I44" s="279">
        <f>'Page 1.5'!I44+'Page 1.6'!I44</f>
        <v>2018177.8990736436</v>
      </c>
      <c r="J44" s="279">
        <f>'Page 1.5'!J44+'Page 1.6'!J44</f>
        <v>0</v>
      </c>
      <c r="K44" s="279">
        <f>'Page 1.5'!K44+'Page 1.6'!K44</f>
        <v>-3545.2505568028428</v>
      </c>
    </row>
    <row r="45" spans="1:11">
      <c r="A45" s="278">
        <v>41</v>
      </c>
      <c r="B45" s="278" t="s">
        <v>102</v>
      </c>
      <c r="C45" s="279">
        <f t="shared" si="14"/>
        <v>9010602.9557120055</v>
      </c>
      <c r="D45" s="279">
        <f>'Page 1.5'!D45+'Page 1.6'!D45</f>
        <v>0</v>
      </c>
      <c r="E45" s="279">
        <f>'Page 1.5'!E45+'Page 1.6'!E45</f>
        <v>0</v>
      </c>
      <c r="F45" s="279">
        <f>'Page 1.5'!F45+'Page 1.6'!F45</f>
        <v>0</v>
      </c>
      <c r="G45" s="279">
        <f>'Page 1.5'!G45+'Page 1.6'!G45</f>
        <v>0</v>
      </c>
      <c r="H45" s="279">
        <f>'Page 1.5'!H45+'Page 1.6'!H45</f>
        <v>0</v>
      </c>
      <c r="I45" s="279">
        <f>'Page 1.5'!I45+'Page 1.6'!I45</f>
        <v>-2159291.1506739343</v>
      </c>
      <c r="J45" s="279">
        <f>'Page 1.5'!J45+'Page 1.6'!J45</f>
        <v>0</v>
      </c>
      <c r="K45" s="279">
        <f>'Page 1.5'!K45+'Page 1.6'!K45</f>
        <v>11169894.106385941</v>
      </c>
    </row>
    <row r="46" spans="1:11">
      <c r="A46" s="278">
        <v>42</v>
      </c>
      <c r="B46" s="278" t="s">
        <v>317</v>
      </c>
      <c r="C46" s="279">
        <f t="shared" si="14"/>
        <v>0</v>
      </c>
      <c r="D46" s="279">
        <f>'Page 1.5'!D46+'Page 1.6'!D46</f>
        <v>0</v>
      </c>
      <c r="E46" s="279">
        <f>'Page 1.5'!E46+'Page 1.6'!E46</f>
        <v>0</v>
      </c>
      <c r="F46" s="279">
        <f>'Page 1.5'!F46+'Page 1.6'!F46</f>
        <v>0</v>
      </c>
      <c r="G46" s="279">
        <f>'Page 1.5'!G46+'Page 1.6'!G46</f>
        <v>0</v>
      </c>
      <c r="H46" s="279">
        <f>'Page 1.5'!H46+'Page 1.6'!H46</f>
        <v>0</v>
      </c>
      <c r="I46" s="279">
        <f>'Page 1.5'!I46+'Page 1.6'!I46</f>
        <v>0</v>
      </c>
      <c r="J46" s="279">
        <f>'Page 1.5'!J46+'Page 1.6'!J46</f>
        <v>0</v>
      </c>
      <c r="K46" s="279">
        <f>'Page 1.5'!K46+'Page 1.6'!K46</f>
        <v>0</v>
      </c>
    </row>
    <row r="47" spans="1:11">
      <c r="A47" s="278">
        <v>43</v>
      </c>
      <c r="B47" s="278" t="s">
        <v>104</v>
      </c>
      <c r="C47" s="279">
        <f t="shared" si="14"/>
        <v>-268576.60836182453</v>
      </c>
      <c r="D47" s="281">
        <f>'Page 1.5'!D47+'Page 1.6'!D47</f>
        <v>0</v>
      </c>
      <c r="E47" s="279">
        <f>'Page 1.5'!E47+'Page 1.6'!E47</f>
        <v>0</v>
      </c>
      <c r="F47" s="279">
        <f>'Page 1.5'!F47+'Page 1.6'!F47</f>
        <v>0</v>
      </c>
      <c r="G47" s="279">
        <f>'Page 1.5'!G47+'Page 1.6'!G47</f>
        <v>0</v>
      </c>
      <c r="H47" s="279">
        <f>'Page 1.5'!H47+'Page 1.6'!H47</f>
        <v>0</v>
      </c>
      <c r="I47" s="279">
        <f>'Page 1.5'!I47+'Page 1.6'!I47</f>
        <v>-268576.60836182453</v>
      </c>
      <c r="J47" s="279">
        <f>'Page 1.5'!J47+'Page 1.6'!J47</f>
        <v>0</v>
      </c>
      <c r="K47" s="279">
        <f>'Page 1.5'!K47+'Page 1.6'!K47</f>
        <v>0</v>
      </c>
    </row>
    <row r="48" spans="1:11">
      <c r="A48" s="278">
        <v>44</v>
      </c>
      <c r="B48" s="278" t="s">
        <v>105</v>
      </c>
      <c r="C48" s="284">
        <f>SUM(C37:C47)</f>
        <v>48812353.756020054</v>
      </c>
      <c r="D48" s="284">
        <f t="shared" ref="D48:J48" si="15">SUM(D37:D47)</f>
        <v>0</v>
      </c>
      <c r="E48" s="284">
        <f t="shared" si="15"/>
        <v>-637047.28166666592</v>
      </c>
      <c r="F48" s="284">
        <f t="shared" si="15"/>
        <v>-26125927.969872698</v>
      </c>
      <c r="G48" s="284">
        <f t="shared" si="15"/>
        <v>0</v>
      </c>
      <c r="H48" s="284">
        <f t="shared" si="15"/>
        <v>0</v>
      </c>
      <c r="I48" s="284">
        <f t="shared" si="15"/>
        <v>65575331.83011464</v>
      </c>
      <c r="J48" s="284">
        <f t="shared" si="15"/>
        <v>0</v>
      </c>
      <c r="K48" s="284">
        <f>SUM(K37:K47)</f>
        <v>9999997.1774447802</v>
      </c>
    </row>
    <row r="49" spans="1:11">
      <c r="A49" s="278">
        <v>45</v>
      </c>
      <c r="B49" s="278"/>
    </row>
    <row r="50" spans="1:11">
      <c r="A50" s="278">
        <v>46</v>
      </c>
      <c r="B50" s="278" t="s">
        <v>318</v>
      </c>
    </row>
    <row r="51" spans="1:11">
      <c r="A51" s="278">
        <v>47</v>
      </c>
      <c r="B51" s="278" t="s">
        <v>107</v>
      </c>
      <c r="C51" s="279">
        <f t="shared" ref="C51:C57" si="16">SUM(D51:K51)</f>
        <v>-7323675.9982781075</v>
      </c>
      <c r="D51" s="279">
        <f>'Page 1.5'!D51+'Page 1.6'!D51</f>
        <v>0</v>
      </c>
      <c r="E51" s="279">
        <f>'Page 1.5'!E51+'Page 1.6'!E51</f>
        <v>0</v>
      </c>
      <c r="F51" s="279">
        <f>'Page 1.5'!F51+'Page 1.6'!F51</f>
        <v>16010762.339428132</v>
      </c>
      <c r="G51" s="279">
        <f>'Page 1.5'!G51+'Page 1.6'!G51</f>
        <v>-264083.87465224485</v>
      </c>
      <c r="H51" s="279">
        <f>'Page 1.5'!H51+'Page 1.6'!H51</f>
        <v>0</v>
      </c>
      <c r="I51" s="279">
        <f>'Page 1.5'!I51+'Page 1.6'!I51</f>
        <v>-23449722.352869298</v>
      </c>
      <c r="J51" s="279">
        <f>'Page 1.5'!J51+'Page 1.6'!J51</f>
        <v>0</v>
      </c>
      <c r="K51" s="279">
        <f>'Page 1.5'!K51+'Page 1.6'!K51</f>
        <v>379367.88981530257</v>
      </c>
    </row>
    <row r="52" spans="1:11">
      <c r="A52" s="278">
        <v>48</v>
      </c>
      <c r="B52" s="278" t="s">
        <v>108</v>
      </c>
      <c r="C52" s="279">
        <f t="shared" si="16"/>
        <v>0</v>
      </c>
      <c r="D52" s="279">
        <f>'Page 1.5'!D52+'Page 1.6'!D52</f>
        <v>0</v>
      </c>
      <c r="E52" s="279">
        <f>'Page 1.5'!E52+'Page 1.6'!E52</f>
        <v>0</v>
      </c>
      <c r="F52" s="279">
        <f>'Page 1.5'!F52+'Page 1.6'!F52</f>
        <v>0</v>
      </c>
      <c r="G52" s="279">
        <f>'Page 1.5'!G52+'Page 1.6'!G52</f>
        <v>0</v>
      </c>
      <c r="H52" s="279">
        <f>'Page 1.5'!H52+'Page 1.6'!H52</f>
        <v>0</v>
      </c>
      <c r="I52" s="279">
        <f>'Page 1.5'!I52+'Page 1.6'!I52</f>
        <v>0</v>
      </c>
      <c r="J52" s="279">
        <f>'Page 1.5'!J52+'Page 1.6'!J52</f>
        <v>0</v>
      </c>
      <c r="K52" s="279">
        <f>'Page 1.5'!K52+'Page 1.6'!K52</f>
        <v>0</v>
      </c>
    </row>
    <row r="53" spans="1:11">
      <c r="A53" s="278">
        <v>49</v>
      </c>
      <c r="B53" s="278" t="s">
        <v>109</v>
      </c>
      <c r="C53" s="279">
        <f t="shared" si="16"/>
        <v>-12192843.00242928</v>
      </c>
      <c r="D53" s="279">
        <f>'Page 1.5'!D53+'Page 1.6'!D53</f>
        <v>2751332</v>
      </c>
      <c r="E53" s="279">
        <f>'Page 1.5'!E53+'Page 1.6'!E53</f>
        <v>803077.2116719319</v>
      </c>
      <c r="F53" s="279">
        <f>'Page 1.5'!F53+'Page 1.6'!F53</f>
        <v>1810649.4576148225</v>
      </c>
      <c r="G53" s="279">
        <f>'Page 1.5'!G53+'Page 1.6'!G53</f>
        <v>0</v>
      </c>
      <c r="H53" s="279">
        <f>'Page 1.5'!H53+'Page 1.6'!H53</f>
        <v>-14745818.120134011</v>
      </c>
      <c r="I53" s="279">
        <f>'Page 1.5'!I53+'Page 1.6'!I53</f>
        <v>-4239941.0026116502</v>
      </c>
      <c r="J53" s="279">
        <f>'Page 1.5'!J53+'Page 1.6'!J53</f>
        <v>0</v>
      </c>
      <c r="K53" s="279">
        <f>'Page 1.5'!K53+'Page 1.6'!K53</f>
        <v>1427857.4510296264</v>
      </c>
    </row>
    <row r="54" spans="1:11">
      <c r="A54" s="278">
        <v>50</v>
      </c>
      <c r="B54" s="278" t="s">
        <v>110</v>
      </c>
      <c r="C54" s="279">
        <f t="shared" si="16"/>
        <v>144385.82344165733</v>
      </c>
      <c r="D54" s="279">
        <f>'Page 1.5'!D54+'Page 1.6'!D54</f>
        <v>0</v>
      </c>
      <c r="E54" s="279">
        <f>'Page 1.5'!E54+'Page 1.6'!E54</f>
        <v>0</v>
      </c>
      <c r="F54" s="279">
        <f>'Page 1.5'!F54+'Page 1.6'!F54</f>
        <v>144385.82344165733</v>
      </c>
      <c r="G54" s="279">
        <f>'Page 1.5'!G54+'Page 1.6'!G54</f>
        <v>0</v>
      </c>
      <c r="H54" s="279">
        <f>'Page 1.5'!H54+'Page 1.6'!H54</f>
        <v>0</v>
      </c>
      <c r="I54" s="279">
        <f>'Page 1.5'!I54+'Page 1.6'!I54</f>
        <v>0</v>
      </c>
      <c r="J54" s="279">
        <f>'Page 1.5'!J54+'Page 1.6'!J54</f>
        <v>0</v>
      </c>
      <c r="K54" s="279">
        <f>'Page 1.5'!K54+'Page 1.6'!K54</f>
        <v>0</v>
      </c>
    </row>
    <row r="55" spans="1:11">
      <c r="A55" s="278">
        <v>51</v>
      </c>
      <c r="B55" s="278" t="s">
        <v>111</v>
      </c>
      <c r="C55" s="279">
        <f t="shared" si="16"/>
        <v>23142.536575635779</v>
      </c>
      <c r="D55" s="279">
        <f>'Page 1.5'!D55+'Page 1.6'!D55</f>
        <v>0</v>
      </c>
      <c r="E55" s="279">
        <f>'Page 1.5'!E55+'Page 1.6'!E55</f>
        <v>0</v>
      </c>
      <c r="F55" s="279">
        <f>'Page 1.5'!F55+'Page 1.6'!F55</f>
        <v>0</v>
      </c>
      <c r="G55" s="279">
        <f>'Page 1.5'!G55+'Page 1.6'!G55</f>
        <v>0</v>
      </c>
      <c r="H55" s="279">
        <f>'Page 1.5'!H55+'Page 1.6'!H55</f>
        <v>0</v>
      </c>
      <c r="I55" s="279">
        <f>'Page 1.5'!I55+'Page 1.6'!I55</f>
        <v>23142.536575635779</v>
      </c>
      <c r="J55" s="279">
        <f>'Page 1.5'!J55+'Page 1.6'!J55</f>
        <v>0</v>
      </c>
      <c r="K55" s="279">
        <f>'Page 1.5'!K55+'Page 1.6'!K55</f>
        <v>0</v>
      </c>
    </row>
    <row r="56" spans="1:11">
      <c r="A56" s="278">
        <v>52</v>
      </c>
      <c r="B56" s="278" t="s">
        <v>112</v>
      </c>
      <c r="C56" s="279">
        <f t="shared" si="16"/>
        <v>-2980495.6783333328</v>
      </c>
      <c r="D56" s="279">
        <f>'Page 1.5'!D56+'Page 1.6'!D56</f>
        <v>0</v>
      </c>
      <c r="E56" s="279">
        <f>'Page 1.5'!E56+'Page 1.6'!E56</f>
        <v>0</v>
      </c>
      <c r="F56" s="279">
        <f>'Page 1.5'!F56+'Page 1.6'!F56</f>
        <v>0</v>
      </c>
      <c r="G56" s="279">
        <f>'Page 1.5'!G56+'Page 1.6'!G56</f>
        <v>0</v>
      </c>
      <c r="H56" s="279">
        <f>'Page 1.5'!H56+'Page 1.6'!H56</f>
        <v>0</v>
      </c>
      <c r="I56" s="279">
        <f>'Page 1.5'!I56+'Page 1.6'!I56</f>
        <v>-2980495.6783333328</v>
      </c>
      <c r="J56" s="279">
        <f>'Page 1.5'!J56+'Page 1.6'!J56</f>
        <v>0</v>
      </c>
      <c r="K56" s="279">
        <f>'Page 1.5'!K56+'Page 1.6'!K56</f>
        <v>0</v>
      </c>
    </row>
    <row r="57" spans="1:11">
      <c r="A57" s="278">
        <v>53</v>
      </c>
      <c r="B57" s="278" t="s">
        <v>319</v>
      </c>
      <c r="C57" s="279">
        <f t="shared" si="16"/>
        <v>-2782869.795618529</v>
      </c>
      <c r="D57" s="279">
        <f>'Page 1.5'!D57+'Page 1.6'!D57</f>
        <v>0</v>
      </c>
      <c r="E57" s="279">
        <f>'Page 1.5'!E57+'Page 1.6'!E57</f>
        <v>0</v>
      </c>
      <c r="F57" s="279">
        <f>'Page 1.5'!F57+'Page 1.6'!F57</f>
        <v>-212582.87396787116</v>
      </c>
      <c r="G57" s="279">
        <f>'Page 1.5'!G57+'Page 1.6'!G57</f>
        <v>0</v>
      </c>
      <c r="H57" s="279">
        <f>'Page 1.5'!H57+'Page 1.6'!H57</f>
        <v>0</v>
      </c>
      <c r="I57" s="279">
        <f>'Page 1.5'!I57+'Page 1.6'!I57</f>
        <v>1185108.7951282924</v>
      </c>
      <c r="J57" s="279">
        <f>'Page 1.5'!J57+'Page 1.6'!J57</f>
        <v>0</v>
      </c>
      <c r="K57" s="279">
        <f>'Page 1.5'!K57+'Page 1.6'!K57</f>
        <v>-3755395.7167789503</v>
      </c>
    </row>
    <row r="58" spans="1:11">
      <c r="A58" s="278">
        <v>54</v>
      </c>
      <c r="B58" s="278"/>
      <c r="F58" s="279"/>
      <c r="G58" s="279"/>
    </row>
    <row r="59" spans="1:11">
      <c r="A59" s="278">
        <v>55</v>
      </c>
      <c r="B59" s="278" t="s">
        <v>320</v>
      </c>
      <c r="C59" s="284">
        <f>SUM(C51:C58)</f>
        <v>-25112356.114641961</v>
      </c>
      <c r="D59" s="284">
        <f t="shared" ref="D59:J59" si="17">SUM(D51:D58)</f>
        <v>2751332</v>
      </c>
      <c r="E59" s="284">
        <f t="shared" si="17"/>
        <v>803077.2116719319</v>
      </c>
      <c r="F59" s="284">
        <f t="shared" si="17"/>
        <v>17753214.746516742</v>
      </c>
      <c r="G59" s="284">
        <f t="shared" si="17"/>
        <v>-264083.87465224485</v>
      </c>
      <c r="H59" s="284">
        <f t="shared" si="17"/>
        <v>-14745818.120134011</v>
      </c>
      <c r="I59" s="284">
        <f t="shared" si="17"/>
        <v>-29461907.70211035</v>
      </c>
      <c r="J59" s="284">
        <f t="shared" si="17"/>
        <v>0</v>
      </c>
      <c r="K59" s="284">
        <f>SUM(K51:K58)</f>
        <v>-1948170.3759340213</v>
      </c>
    </row>
    <row r="60" spans="1:11">
      <c r="A60" s="278">
        <v>56</v>
      </c>
      <c r="B60" s="278"/>
    </row>
    <row r="61" spans="1:11" ht="15.75" thickBot="1">
      <c r="A61" s="278">
        <v>57</v>
      </c>
      <c r="B61" s="278" t="s">
        <v>115</v>
      </c>
      <c r="C61" s="285">
        <f>C48+C59</f>
        <v>23699997.641378094</v>
      </c>
      <c r="D61" s="285">
        <f t="shared" ref="D61:J61" si="18">D48+D59</f>
        <v>2751332</v>
      </c>
      <c r="E61" s="285">
        <f t="shared" si="18"/>
        <v>166029.93000526598</v>
      </c>
      <c r="F61" s="285">
        <f t="shared" si="18"/>
        <v>-8372713.2233559564</v>
      </c>
      <c r="G61" s="285">
        <f t="shared" si="18"/>
        <v>-264083.87465224485</v>
      </c>
      <c r="H61" s="285">
        <f t="shared" si="18"/>
        <v>-14745818.120134011</v>
      </c>
      <c r="I61" s="285">
        <f t="shared" si="18"/>
        <v>36113424.12800429</v>
      </c>
      <c r="J61" s="285">
        <f t="shared" si="18"/>
        <v>0</v>
      </c>
      <c r="K61" s="285">
        <f>K48+K59</f>
        <v>8051826.8015107587</v>
      </c>
    </row>
    <row r="62" spans="1:11" ht="15.75" thickTop="1">
      <c r="A62" s="278">
        <v>58</v>
      </c>
      <c r="B62" s="278"/>
    </row>
    <row r="63" spans="1:11">
      <c r="A63" s="278">
        <v>59</v>
      </c>
      <c r="B63" s="286" t="s">
        <v>321</v>
      </c>
      <c r="C63" s="287">
        <f t="shared" ref="C63:K63" si="19">(((C34+Unadj_Op_revenue)/(C61+Unadj_rate_base))-Weighted_cost_debt-Weighted_cost_pref)/Percent_common-Unadj_ROE</f>
        <v>-3.246769355347278E-2</v>
      </c>
      <c r="D63" s="287">
        <f t="shared" si="19"/>
        <v>8.970607283458637E-3</v>
      </c>
      <c r="E63" s="287">
        <f t="shared" si="19"/>
        <v>1.0101517832880685E-2</v>
      </c>
      <c r="F63" s="287">
        <f t="shared" si="19"/>
        <v>8.7595174627149858E-3</v>
      </c>
      <c r="G63" s="287">
        <f t="shared" si="19"/>
        <v>4.1520585523632803E-5</v>
      </c>
      <c r="H63" s="287">
        <f t="shared" si="19"/>
        <v>8.2403434441792045E-3</v>
      </c>
      <c r="I63" s="287">
        <f t="shared" si="19"/>
        <v>-9.5092094895700974E-3</v>
      </c>
      <c r="J63" s="287">
        <f t="shared" si="19"/>
        <v>0</v>
      </c>
      <c r="K63" s="287">
        <f t="shared" si="19"/>
        <v>-5.8784852578541297E-2</v>
      </c>
    </row>
    <row r="64" spans="1:11">
      <c r="A64" s="278">
        <v>60</v>
      </c>
      <c r="B64" s="288" t="s">
        <v>62</v>
      </c>
      <c r="C64" s="289">
        <f t="shared" ref="C64:K64" si="20">-(C34-(C61*Overall_ROR))/gross_up_factor</f>
        <v>21987614.091414351</v>
      </c>
      <c r="D64" s="289">
        <f t="shared" si="20"/>
        <v>-5588970.6006192043</v>
      </c>
      <c r="E64" s="289">
        <f t="shared" si="20"/>
        <v>-6375069.4521799032</v>
      </c>
      <c r="F64" s="289">
        <f t="shared" si="20"/>
        <v>-5765763.6701689186</v>
      </c>
      <c r="G64" s="289">
        <f t="shared" si="20"/>
        <v>-35530.4174130432</v>
      </c>
      <c r="H64" s="289">
        <f t="shared" si="20"/>
        <v>-5622261.3058014587</v>
      </c>
      <c r="I64" s="289">
        <f t="shared" si="20"/>
        <v>7568276.2764915247</v>
      </c>
      <c r="J64" s="289">
        <f t="shared" si="20"/>
        <v>0</v>
      </c>
      <c r="K64" s="289">
        <f t="shared" si="20"/>
        <v>37806933.261105366</v>
      </c>
    </row>
    <row r="65" spans="1:11">
      <c r="A65" s="278">
        <v>61</v>
      </c>
      <c r="B65" s="278"/>
    </row>
    <row r="66" spans="1:11">
      <c r="A66" s="278">
        <v>62</v>
      </c>
      <c r="B66" s="278" t="s">
        <v>117</v>
      </c>
    </row>
    <row r="67" spans="1:11">
      <c r="A67" s="278">
        <v>63</v>
      </c>
      <c r="B67" s="278" t="s">
        <v>118</v>
      </c>
      <c r="C67" s="282">
        <f>SUM(D67:K67)</f>
        <v>-19078936.959986515</v>
      </c>
      <c r="D67" s="282">
        <f t="shared" ref="D67:K67" si="21">D10-D23-D24-D25-D26-D31</f>
        <v>5757571.2841720497</v>
      </c>
      <c r="E67" s="282">
        <f t="shared" si="21"/>
        <v>6110163.9181693075</v>
      </c>
      <c r="F67" s="282">
        <f t="shared" si="21"/>
        <v>4440603.4299918469</v>
      </c>
      <c r="G67" s="282">
        <f t="shared" si="21"/>
        <v>0</v>
      </c>
      <c r="H67" s="282">
        <f t="shared" si="21"/>
        <v>428616.54000000004</v>
      </c>
      <c r="I67" s="282">
        <f t="shared" si="21"/>
        <v>-2718459.9382430799</v>
      </c>
      <c r="J67" s="282">
        <f t="shared" si="21"/>
        <v>0</v>
      </c>
      <c r="K67" s="282">
        <f t="shared" si="21"/>
        <v>-33097432.194076639</v>
      </c>
    </row>
    <row r="68" spans="1:11">
      <c r="A68" s="278">
        <v>64</v>
      </c>
      <c r="B68" s="278" t="s">
        <v>119</v>
      </c>
      <c r="C68" s="282">
        <v>0</v>
      </c>
      <c r="D68" s="294">
        <f>'Page 1.5'!D68+'Page 1.6'!D68</f>
        <v>0</v>
      </c>
      <c r="E68" s="294">
        <f>'Page 1.5'!E68+'Page 1.6'!E68</f>
        <v>0</v>
      </c>
      <c r="F68" s="294">
        <f>'Page 1.5'!F68+'Page 1.6'!F68</f>
        <v>0</v>
      </c>
      <c r="G68" s="294">
        <f>'Page 1.5'!G68+'Page 1.6'!G68</f>
        <v>0</v>
      </c>
      <c r="H68" s="294">
        <f>'Page 1.5'!H68+'Page 1.6'!H68</f>
        <v>0</v>
      </c>
      <c r="I68" s="294">
        <f>'Page 1.5'!I68+'Page 1.6'!I68</f>
        <v>0</v>
      </c>
      <c r="J68" s="294">
        <f>'Page 1.5'!J68+'Page 1.6'!J68</f>
        <v>0</v>
      </c>
      <c r="K68" s="294">
        <f>'Page 1.5'!K68+'Page 1.6'!K68</f>
        <v>0</v>
      </c>
    </row>
    <row r="69" spans="1:11">
      <c r="A69" s="278">
        <v>65</v>
      </c>
      <c r="B69" s="278" t="s">
        <v>120</v>
      </c>
      <c r="C69" s="282">
        <f>SUM(D69:K69)</f>
        <v>217013.20626896209</v>
      </c>
      <c r="D69" s="282">
        <f>'Page 1.5'!D69+'Page 1.6'!D69</f>
        <v>0</v>
      </c>
      <c r="E69" s="282">
        <f>'Page 1.5'!E69+'Page 1.6'!E69</f>
        <v>0</v>
      </c>
      <c r="F69" s="282">
        <f>'Page 1.5'!F69+'Page 1.6'!F69</f>
        <v>0</v>
      </c>
      <c r="G69" s="282">
        <f>'Page 1.5'!G69+'Page 1.6'!G69</f>
        <v>0</v>
      </c>
      <c r="H69" s="282">
        <f>'Page 1.5'!H69+'Page 1.6'!H69</f>
        <v>217013.20626896209</v>
      </c>
      <c r="I69" s="282">
        <f>'Page 1.5'!I69+'Page 1.6'!I69</f>
        <v>0</v>
      </c>
      <c r="J69" s="282">
        <f>'Page 1.5'!J69+'Page 1.6'!J69</f>
        <v>0</v>
      </c>
      <c r="K69" s="282">
        <f>'Page 1.5'!K69+'Page 1.6'!K69</f>
        <v>0</v>
      </c>
    </row>
    <row r="70" spans="1:11">
      <c r="A70" s="278">
        <v>66</v>
      </c>
      <c r="B70" s="278" t="s">
        <v>121</v>
      </c>
      <c r="C70" s="282">
        <f>SUM(D70:K70)</f>
        <v>-3505140.7918093465</v>
      </c>
      <c r="D70" s="282">
        <f>'Page 1.5'!D70+'Page 1.6'!D70</f>
        <v>0</v>
      </c>
      <c r="E70" s="282">
        <f>'Page 1.5'!E70+'Page 1.6'!E70</f>
        <v>0</v>
      </c>
      <c r="F70" s="282">
        <f>'Page 1.5'!F70+'Page 1.6'!F70</f>
        <v>0</v>
      </c>
      <c r="G70" s="282">
        <f>'Page 1.5'!G70+'Page 1.6'!G70</f>
        <v>0</v>
      </c>
      <c r="H70" s="282">
        <f>'Page 1.5'!H70+'Page 1.6'!H70</f>
        <v>0</v>
      </c>
      <c r="I70" s="282">
        <f>'Page 1.5'!I70+'Page 1.6'!I70</f>
        <v>0</v>
      </c>
      <c r="J70" s="282">
        <f>'Page 1.5'!J70+'Page 1.6'!J70</f>
        <v>0</v>
      </c>
      <c r="K70" s="282">
        <f>'Page 1.5'!K70+'Page 1.6'!K70</f>
        <v>-3505140.7918093465</v>
      </c>
    </row>
    <row r="71" spans="1:11">
      <c r="A71" s="278">
        <v>67</v>
      </c>
      <c r="B71" s="283" t="s">
        <v>122</v>
      </c>
      <c r="C71" s="282">
        <f>SUM(D71:K71)</f>
        <v>-516262.97429441422</v>
      </c>
      <c r="D71" s="282">
        <f>'Page 1.5'!D71+'Page 1.6'!D71</f>
        <v>-1653038</v>
      </c>
      <c r="E71" s="282">
        <f>'Page 1.5'!E71+'Page 1.6'!E71</f>
        <v>-637047</v>
      </c>
      <c r="F71" s="282">
        <f>'Page 1.5'!F71+'Page 1.6'!F71</f>
        <v>-449420.00153080252</v>
      </c>
      <c r="G71" s="282">
        <f>'Page 1.5'!G71+'Page 1.6'!G71</f>
        <v>0</v>
      </c>
      <c r="H71" s="282">
        <f>'Page 1.5'!H71+'Page 1.6'!H71</f>
        <v>0</v>
      </c>
      <c r="I71" s="282">
        <f>'Page 1.5'!I71+'Page 1.6'!I71</f>
        <v>2193195.2457913477</v>
      </c>
      <c r="J71" s="282">
        <f>'Page 1.5'!J71+'Page 1.6'!J71</f>
        <v>0</v>
      </c>
      <c r="K71" s="282">
        <f>'Page 1.5'!K71+'Page 1.6'!K71</f>
        <v>30046.781445040437</v>
      </c>
    </row>
    <row r="72" spans="1:11">
      <c r="A72" s="278">
        <v>68</v>
      </c>
      <c r="B72" s="283" t="s">
        <v>123</v>
      </c>
      <c r="C72" s="290">
        <f>SUM(D72:K72)</f>
        <v>-226620.57445949689</v>
      </c>
      <c r="D72" s="290">
        <f>'Page 1.5'!D72+'Page 1.6'!D72</f>
        <v>-10607</v>
      </c>
      <c r="E72" s="290">
        <f>'Page 1.5'!E72+'Page 1.6'!E72</f>
        <v>-434362.45460792549</v>
      </c>
      <c r="F72" s="290">
        <f>'Page 1.5'!F72+'Page 1.6'!F72</f>
        <v>-90396.065974144673</v>
      </c>
      <c r="G72" s="290">
        <f>'Page 1.5'!G72+'Page 1.6'!G72</f>
        <v>0</v>
      </c>
      <c r="H72" s="290">
        <f>'Page 1.5'!H72+'Page 1.6'!H72</f>
        <v>0</v>
      </c>
      <c r="I72" s="290">
        <f>'Page 1.5'!I72+'Page 1.6'!I72</f>
        <v>-538286.5880295817</v>
      </c>
      <c r="J72" s="290">
        <f>'Page 1.5'!J72+'Page 1.6'!J72</f>
        <v>0</v>
      </c>
      <c r="K72" s="290">
        <f>'Page 1.5'!K72+'Page 1.6'!K72</f>
        <v>847031.53415215481</v>
      </c>
    </row>
    <row r="73" spans="1:11">
      <c r="A73" s="278">
        <v>69</v>
      </c>
      <c r="B73" s="283" t="s">
        <v>124</v>
      </c>
      <c r="C73" s="291">
        <f>SUM(D73:K73)</f>
        <v>-16080451.774281045</v>
      </c>
      <c r="D73" s="291">
        <f>D67-D69-D70+D71-D72</f>
        <v>4115140.2841720497</v>
      </c>
      <c r="E73" s="291">
        <f t="shared" ref="E73:K73" si="22">E67-E69-E70+E71-E72</f>
        <v>5907479.3727772329</v>
      </c>
      <c r="F73" s="291">
        <f t="shared" si="22"/>
        <v>4081579.4944351893</v>
      </c>
      <c r="G73" s="291">
        <f t="shared" si="22"/>
        <v>0</v>
      </c>
      <c r="H73" s="291">
        <f t="shared" si="22"/>
        <v>211603.33373103794</v>
      </c>
      <c r="I73" s="291">
        <f t="shared" si="22"/>
        <v>13021.895577849471</v>
      </c>
      <c r="J73" s="291">
        <f t="shared" si="22"/>
        <v>0</v>
      </c>
      <c r="K73" s="291">
        <f t="shared" si="22"/>
        <v>-30409276.154974405</v>
      </c>
    </row>
    <row r="74" spans="1:11">
      <c r="A74" s="278">
        <v>70</v>
      </c>
      <c r="B74" s="278"/>
      <c r="C74" s="292"/>
      <c r="D74" s="292"/>
      <c r="E74" s="292"/>
      <c r="F74" s="292"/>
      <c r="G74" s="292"/>
      <c r="H74" s="292"/>
      <c r="I74" s="292"/>
      <c r="J74" s="292"/>
      <c r="K74" s="292"/>
    </row>
    <row r="75" spans="1:11">
      <c r="A75" s="278">
        <v>71</v>
      </c>
      <c r="B75" s="278" t="s">
        <v>125</v>
      </c>
      <c r="C75" s="282">
        <f t="shared" ref="C75:C76" si="23">SUM(D75:K75)</f>
        <v>0</v>
      </c>
      <c r="D75" s="282">
        <f>C162</f>
        <v>0</v>
      </c>
      <c r="E75" s="282">
        <f>C277</f>
        <v>0</v>
      </c>
      <c r="F75" s="282">
        <f>C391</f>
        <v>0</v>
      </c>
      <c r="G75" s="282">
        <f>C505</f>
        <v>0</v>
      </c>
      <c r="H75" s="282">
        <f>C620</f>
        <v>0</v>
      </c>
      <c r="I75" s="282">
        <f>C735</f>
        <v>0</v>
      </c>
      <c r="J75" s="282">
        <f>C853</f>
        <v>0</v>
      </c>
      <c r="K75" s="282">
        <f>C1202</f>
        <v>0</v>
      </c>
    </row>
    <row r="76" spans="1:11">
      <c r="A76" s="278">
        <v>72</v>
      </c>
      <c r="B76" s="278" t="s">
        <v>126</v>
      </c>
      <c r="C76" s="282">
        <f t="shared" si="23"/>
        <v>-16080451.774281045</v>
      </c>
      <c r="D76" s="282">
        <f>D73-D75</f>
        <v>4115140.2841720497</v>
      </c>
      <c r="E76" s="282">
        <f t="shared" ref="E76:K76" si="24">E73-E75</f>
        <v>5907479.3727772329</v>
      </c>
      <c r="F76" s="282">
        <f t="shared" si="24"/>
        <v>4081579.4944351893</v>
      </c>
      <c r="G76" s="282">
        <f>SUM('Restating Adj'!Q83)</f>
        <v>0</v>
      </c>
      <c r="H76" s="282">
        <f t="shared" si="24"/>
        <v>211603.33373103794</v>
      </c>
      <c r="I76" s="282">
        <f t="shared" si="24"/>
        <v>13021.895577849471</v>
      </c>
      <c r="J76" s="282">
        <f t="shared" si="24"/>
        <v>0</v>
      </c>
      <c r="K76" s="282">
        <f t="shared" si="24"/>
        <v>-30409276.154974405</v>
      </c>
    </row>
    <row r="77" spans="1:11">
      <c r="A77" s="278">
        <v>73</v>
      </c>
      <c r="B77" s="278"/>
    </row>
    <row r="78" spans="1:11">
      <c r="A78" s="278">
        <v>74</v>
      </c>
      <c r="B78" s="278" t="s">
        <v>200</v>
      </c>
      <c r="C78" s="292">
        <f>SUM(D78:K78)</f>
        <v>-5628158.1209983649</v>
      </c>
      <c r="D78" s="292">
        <f>D76*0.35</f>
        <v>1440299.0994602174</v>
      </c>
      <c r="E78" s="292">
        <f t="shared" ref="E78:K78" si="25">E76*0.35</f>
        <v>2067617.7804720313</v>
      </c>
      <c r="F78" s="292">
        <f t="shared" si="25"/>
        <v>1428552.8230523162</v>
      </c>
      <c r="G78" s="292">
        <f t="shared" si="25"/>
        <v>0</v>
      </c>
      <c r="H78" s="292">
        <f t="shared" si="25"/>
        <v>74061.166805863279</v>
      </c>
      <c r="I78" s="292">
        <f t="shared" si="25"/>
        <v>4557.6634522473141</v>
      </c>
      <c r="J78" s="292">
        <f t="shared" si="25"/>
        <v>0</v>
      </c>
      <c r="K78" s="292">
        <f t="shared" si="25"/>
        <v>-10643246.65424104</v>
      </c>
    </row>
    <row r="79" spans="1:11">
      <c r="A79" s="278">
        <v>75</v>
      </c>
      <c r="B79" s="278" t="s">
        <v>199</v>
      </c>
      <c r="C79" s="292">
        <f t="shared" ref="C79:C80" si="26">SUM(D79:K79)</f>
        <v>-5638736.2665997902</v>
      </c>
      <c r="D79" s="292">
        <f>'Page 1.5'!D79+'Page 1.6'!D79</f>
        <v>0</v>
      </c>
      <c r="E79" s="292">
        <f>'Page 1.5'!E79+'Page 1.6'!E79</f>
        <v>0</v>
      </c>
      <c r="F79" s="292">
        <f>'Page 1.5'!F79+'Page 1.6'!F79</f>
        <v>0</v>
      </c>
      <c r="G79" s="292">
        <f>'Page 1.5'!G79+'Page 1.6'!G79</f>
        <v>0</v>
      </c>
      <c r="H79" s="292">
        <f>'Page 1.5'!H79+'Page 1.6'!H79</f>
        <v>-5638736.2665997902</v>
      </c>
      <c r="I79" s="292">
        <f>'Page 1.5'!I79+'Page 1.6'!I79</f>
        <v>0</v>
      </c>
      <c r="J79" s="292">
        <f>'Page 1.5'!J79+'Page 1.6'!J79</f>
        <v>0</v>
      </c>
      <c r="K79" s="292">
        <f>'Page 1.5'!K79+'Page 1.6'!K79</f>
        <v>0</v>
      </c>
    </row>
    <row r="80" spans="1:11" ht="15.75" thickBot="1">
      <c r="A80" s="278">
        <v>76</v>
      </c>
      <c r="B80" s="278" t="s">
        <v>200</v>
      </c>
      <c r="C80" s="293">
        <f t="shared" si="26"/>
        <v>-11266894.387598155</v>
      </c>
      <c r="D80" s="293">
        <f>D78+D79</f>
        <v>1440299.0994602174</v>
      </c>
      <c r="E80" s="293">
        <f t="shared" ref="E80:K80" si="27">E78+E79</f>
        <v>2067617.7804720313</v>
      </c>
      <c r="F80" s="293">
        <f t="shared" si="27"/>
        <v>1428552.8230523162</v>
      </c>
      <c r="G80" s="293">
        <f t="shared" si="27"/>
        <v>0</v>
      </c>
      <c r="H80" s="293">
        <f t="shared" si="27"/>
        <v>-5564675.0997939268</v>
      </c>
      <c r="I80" s="293">
        <f t="shared" si="27"/>
        <v>4557.6634522473141</v>
      </c>
      <c r="J80" s="293">
        <f t="shared" si="27"/>
        <v>0</v>
      </c>
      <c r="K80" s="293">
        <f t="shared" si="27"/>
        <v>-10643246.65424104</v>
      </c>
    </row>
    <row r="81" ht="15.75" thickTop="1"/>
  </sheetData>
  <pageMargins left="0.5" right="0.5" top="0.4" bottom="0.25" header="0.25" footer="0.3"/>
  <pageSetup scale="63" orientation="portrait" r:id="rId1"/>
  <headerFooter>
    <oddHeader>&amp;RExhibit No.___(RBD-6) - Revised 12/10/10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2010-12-17T08:00:00+00:00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0978BB-1EF4-48FA-957B-271643472789}"/>
</file>

<file path=customXml/itemProps2.xml><?xml version="1.0" encoding="utf-8"?>
<ds:datastoreItem xmlns:ds="http://schemas.openxmlformats.org/officeDocument/2006/customXml" ds:itemID="{D7E4175B-7FC7-4B7C-A807-A62F115CD06E}"/>
</file>

<file path=customXml/itemProps3.xml><?xml version="1.0" encoding="utf-8"?>
<ds:datastoreItem xmlns:ds="http://schemas.openxmlformats.org/officeDocument/2006/customXml" ds:itemID="{2F001F63-DF66-498E-A880-50AF9D8F524D}"/>
</file>

<file path=customXml/itemProps4.xml><?xml version="1.0" encoding="utf-8"?>
<ds:datastoreItem xmlns:ds="http://schemas.openxmlformats.org/officeDocument/2006/customXml" ds:itemID="{F39CC897-58B5-484C-A2E4-3FA8F70FB7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29</vt:i4>
      </vt:variant>
    </vt:vector>
  </HeadingPairs>
  <TitlesOfParts>
    <vt:vector size="40" baseType="lpstr">
      <vt:lpstr>Summary</vt:lpstr>
      <vt:lpstr>Total Adj</vt:lpstr>
      <vt:lpstr>Restating Adj</vt:lpstr>
      <vt:lpstr>Pro Forma Adj</vt:lpstr>
      <vt:lpstr>CWC Calc</vt:lpstr>
      <vt:lpstr>Interest Calc</vt:lpstr>
      <vt:lpstr>Variables</vt:lpstr>
      <vt:lpstr>Check Sheet</vt:lpstr>
      <vt:lpstr>Page 1.4</vt:lpstr>
      <vt:lpstr>Page 1.5</vt:lpstr>
      <vt:lpstr>Page 1.6</vt:lpstr>
      <vt:lpstr>Cost_Debt</vt:lpstr>
      <vt:lpstr>Cost_equity</vt:lpstr>
      <vt:lpstr>Cost_pref</vt:lpstr>
      <vt:lpstr>gross_up_factor</vt:lpstr>
      <vt:lpstr>Overall_ROR</vt:lpstr>
      <vt:lpstr>Percent_common</vt:lpstr>
      <vt:lpstr>Percent_debt</vt:lpstr>
      <vt:lpstr>Percent_pref</vt:lpstr>
      <vt:lpstr>'Page 1.4'!Print_Area</vt:lpstr>
      <vt:lpstr>'Page 1.5'!Print_Area</vt:lpstr>
      <vt:lpstr>'Page 1.6'!Print_Area</vt:lpstr>
      <vt:lpstr>'Pro Forma Adj'!Print_Area</vt:lpstr>
      <vt:lpstr>'Restating Adj'!Print_Area</vt:lpstr>
      <vt:lpstr>'Total Adj'!Print_Area</vt:lpstr>
      <vt:lpstr>'Pro Forma Adj'!Print_Titles</vt:lpstr>
      <vt:lpstr>'Restating Adj'!Print_Titles</vt:lpstr>
      <vt:lpstr>'Total Adj'!Print_Titles</vt:lpstr>
      <vt:lpstr>Restated_Op_revenue</vt:lpstr>
      <vt:lpstr>Restated_rate_base</vt:lpstr>
      <vt:lpstr>Restated_ROE</vt:lpstr>
      <vt:lpstr>Unadj_Op_revenue</vt:lpstr>
      <vt:lpstr>Unadj_rate_base</vt:lpstr>
      <vt:lpstr>Unadj_ROE</vt:lpstr>
      <vt:lpstr>uncollectible_perc</vt:lpstr>
      <vt:lpstr>WA_rev_tax_perc</vt:lpstr>
      <vt:lpstr>Weighted_cost_debt</vt:lpstr>
      <vt:lpstr>Weighted_cost_equity</vt:lpstr>
      <vt:lpstr>Weighted_cost_pref</vt:lpstr>
      <vt:lpstr>WUTC_reg_fee_perc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 SUNDARAM</dc:creator>
  <cp:lastModifiedBy>R. Bryce Dalley</cp:lastModifiedBy>
  <cp:lastPrinted>2010-12-08T18:57:11Z</cp:lastPrinted>
  <dcterms:created xsi:type="dcterms:W3CDTF">2009-02-17T19:17:29Z</dcterms:created>
  <dcterms:modified xsi:type="dcterms:W3CDTF">2010-12-10T19:21:44Z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