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4845" windowHeight="11640"/>
  </bookViews>
  <sheets>
    <sheet name="Summary" sheetId="4" r:id="rId1"/>
    <sheet name="Restating" sheetId="1" r:id="rId2"/>
    <sheet name="Pro Forma" sheetId="2" r:id="rId3"/>
    <sheet name="Capital Structure" sheetId="3" r:id="rId4"/>
  </sheets>
  <externalReferences>
    <externalReference r:id="rId5"/>
  </externalReferences>
  <definedNames>
    <definedName name="_xlnm.Print_Area" localSheetId="2">'Pro Forma'!$A$1:$AB$83</definedName>
    <definedName name="_xlnm.Print_Area" localSheetId="1">Restating!$A$1:$AL$84</definedName>
    <definedName name="_xlnm.Print_Titles" localSheetId="2">'Pro Forma'!$A:$A</definedName>
    <definedName name="_xlnm.Print_Titles" localSheetId="1">Restating!$A:$A</definedName>
  </definedNames>
  <calcPr calcId="125725"/>
</workbook>
</file>

<file path=xl/calcChain.xml><?xml version="1.0" encoding="utf-8"?>
<calcChain xmlns="http://schemas.openxmlformats.org/spreadsheetml/2006/main">
  <c r="D23" i="3"/>
  <c r="D13"/>
  <c r="Z60" i="2"/>
  <c r="Z54"/>
  <c r="Y54"/>
  <c r="Z47"/>
  <c r="Z46"/>
  <c r="Z42"/>
  <c r="Z40"/>
  <c r="Y40"/>
  <c r="V40"/>
  <c r="Z34"/>
  <c r="Y27"/>
  <c r="Z20"/>
  <c r="Z19"/>
  <c r="Y19"/>
  <c r="Y18"/>
  <c r="Z16"/>
  <c r="Y16"/>
  <c r="V12"/>
  <c r="Z12"/>
  <c r="Z11"/>
  <c r="M54"/>
  <c r="M6"/>
  <c r="T54" i="1"/>
  <c r="O83" i="2"/>
  <c r="AB75"/>
  <c r="Q29"/>
  <c r="P29"/>
  <c r="Q6"/>
  <c r="P6"/>
  <c r="O6"/>
  <c r="AS75" i="1"/>
  <c r="Y74"/>
  <c r="AC56"/>
  <c r="AA56"/>
  <c r="Z56"/>
  <c r="W56"/>
  <c r="V56"/>
  <c r="AB32"/>
  <c r="AA32"/>
  <c r="Z32"/>
  <c r="X32"/>
  <c r="W32"/>
  <c r="T76" i="2"/>
  <c r="S76"/>
  <c r="T56"/>
  <c r="S56"/>
  <c r="AA48"/>
  <c r="T42"/>
  <c r="S42"/>
  <c r="T32"/>
  <c r="S32"/>
  <c r="S28"/>
  <c r="T12"/>
  <c r="T6"/>
  <c r="S6"/>
  <c r="AI77" i="1"/>
  <c r="AK76"/>
  <c r="AJ76"/>
  <c r="AI76"/>
  <c r="AF76"/>
  <c r="AK60"/>
  <c r="AL59"/>
  <c r="AG58"/>
  <c r="AK56"/>
  <c r="AI56"/>
  <c r="AF56"/>
  <c r="AE54"/>
  <c r="AK50"/>
  <c r="AR48"/>
  <c r="AJ40"/>
  <c r="AH48"/>
  <c r="AH47"/>
  <c r="AE47"/>
  <c r="AE46"/>
  <c r="AH45"/>
  <c r="AH42"/>
  <c r="AF42"/>
  <c r="AE42"/>
  <c r="AE40"/>
  <c r="AL34"/>
  <c r="AK32"/>
  <c r="AI32"/>
  <c r="AF32"/>
  <c r="AK28"/>
  <c r="AJ27"/>
  <c r="AF25"/>
  <c r="J77" i="2"/>
  <c r="I77"/>
  <c r="J76"/>
  <c r="J56"/>
  <c r="J42"/>
  <c r="J32"/>
  <c r="I32"/>
  <c r="J25"/>
  <c r="I25"/>
  <c r="H25"/>
  <c r="H23"/>
  <c r="H22"/>
  <c r="H21"/>
  <c r="H20"/>
  <c r="H19"/>
  <c r="H18"/>
  <c r="H16"/>
  <c r="J6"/>
  <c r="I6"/>
  <c r="H6"/>
  <c r="N77" i="1"/>
  <c r="N76"/>
  <c r="N56"/>
  <c r="N32"/>
  <c r="AP25"/>
  <c r="AO25"/>
  <c r="AN25"/>
  <c r="AP23"/>
  <c r="L25"/>
  <c r="K25"/>
  <c r="N23"/>
  <c r="L23"/>
  <c r="K23"/>
  <c r="L22"/>
  <c r="O21"/>
  <c r="L21"/>
  <c r="O20"/>
  <c r="L20"/>
  <c r="O19"/>
  <c r="L19"/>
  <c r="K19"/>
  <c r="L18"/>
  <c r="O16"/>
  <c r="L16"/>
  <c r="X20" i="2"/>
  <c r="X19"/>
  <c r="X16"/>
  <c r="L12"/>
  <c r="X11"/>
  <c r="L6"/>
  <c r="S77" i="1"/>
  <c r="S76"/>
  <c r="Q60"/>
  <c r="S57"/>
  <c r="S56"/>
  <c r="S54"/>
  <c r="S40"/>
  <c r="S32"/>
  <c r="S29"/>
  <c r="S27"/>
  <c r="P26"/>
  <c r="R19"/>
  <c r="Q19"/>
  <c r="P16"/>
  <c r="P11"/>
  <c r="W12" i="2"/>
  <c r="G12"/>
  <c r="F9"/>
  <c r="G6"/>
  <c r="F6"/>
  <c r="AM77" i="1"/>
  <c r="AM76"/>
  <c r="G77"/>
  <c r="G76"/>
  <c r="AM60"/>
  <c r="AM56"/>
  <c r="G56"/>
  <c r="AM34"/>
  <c r="AM32"/>
  <c r="G32"/>
  <c r="J20"/>
  <c r="AQ12"/>
  <c r="J12"/>
  <c r="G9"/>
  <c r="F9"/>
  <c r="E8" i="3"/>
  <c r="C8"/>
  <c r="E7"/>
  <c r="C7"/>
  <c r="E6"/>
  <c r="C6"/>
  <c r="AL6" i="1"/>
  <c r="AK6"/>
  <c r="AJ6"/>
  <c r="AI6"/>
  <c r="AH6"/>
  <c r="AG6"/>
  <c r="AF6"/>
  <c r="AE6"/>
  <c r="AC6"/>
  <c r="AB6"/>
  <c r="AA6"/>
  <c r="Z6"/>
  <c r="Y6"/>
  <c r="X6"/>
  <c r="W6"/>
  <c r="V6"/>
  <c r="T6"/>
  <c r="S6"/>
  <c r="R6"/>
  <c r="Q6"/>
  <c r="P6"/>
  <c r="O6"/>
  <c r="N6"/>
  <c r="L6"/>
  <c r="K6"/>
  <c r="J6"/>
  <c r="G6"/>
  <c r="F6"/>
  <c r="D21" i="3"/>
  <c r="D18"/>
  <c r="D16"/>
  <c r="B83" i="2"/>
  <c r="A83"/>
  <c r="B82"/>
  <c r="B81"/>
  <c r="A81"/>
  <c r="B80"/>
  <c r="A80"/>
  <c r="B78"/>
  <c r="A78"/>
  <c r="B77"/>
  <c r="A77"/>
  <c r="B76"/>
  <c r="A76"/>
  <c r="B75"/>
  <c r="A75"/>
  <c r="A74"/>
  <c r="A73"/>
  <c r="B72"/>
  <c r="A72"/>
  <c r="A71"/>
  <c r="B67"/>
  <c r="A67"/>
  <c r="B66"/>
  <c r="B65"/>
  <c r="B64"/>
  <c r="A64"/>
  <c r="B63"/>
  <c r="B62"/>
  <c r="A62"/>
  <c r="B61"/>
  <c r="B60"/>
  <c r="A60"/>
  <c r="B59"/>
  <c r="A59"/>
  <c r="B58"/>
  <c r="A58"/>
  <c r="B57"/>
  <c r="A57"/>
  <c r="B56"/>
  <c r="A56"/>
  <c r="B55"/>
  <c r="A55"/>
  <c r="B54"/>
  <c r="A54"/>
  <c r="B53"/>
  <c r="A53"/>
  <c r="B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B37"/>
  <c r="A37"/>
  <c r="B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B13"/>
  <c r="A13"/>
  <c r="B12"/>
  <c r="A12"/>
  <c r="B11"/>
  <c r="A11"/>
  <c r="B10"/>
  <c r="A10"/>
  <c r="B9"/>
  <c r="A9"/>
  <c r="A8"/>
  <c r="B83" i="1"/>
  <c r="A83"/>
  <c r="B82"/>
  <c r="B81"/>
  <c r="A81"/>
  <c r="B80"/>
  <c r="A80"/>
  <c r="B79"/>
  <c r="B78"/>
  <c r="A78"/>
  <c r="B77"/>
  <c r="A77"/>
  <c r="B76"/>
  <c r="A76"/>
  <c r="B75"/>
  <c r="A75"/>
  <c r="B74"/>
  <c r="A74"/>
  <c r="B73"/>
  <c r="A73"/>
  <c r="B72"/>
  <c r="A72"/>
  <c r="A71"/>
  <c r="B67"/>
  <c r="A67"/>
  <c r="B64"/>
  <c r="A64"/>
  <c r="B63"/>
  <c r="B62"/>
  <c r="A62"/>
  <c r="B61"/>
  <c r="B60"/>
  <c r="A60"/>
  <c r="B59"/>
  <c r="A59"/>
  <c r="B58"/>
  <c r="A58"/>
  <c r="B57"/>
  <c r="A57"/>
  <c r="B56"/>
  <c r="A56"/>
  <c r="B55"/>
  <c r="A55"/>
  <c r="B54"/>
  <c r="A54"/>
  <c r="B53"/>
  <c r="A53"/>
  <c r="B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B37"/>
  <c r="A37"/>
  <c r="B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B13"/>
  <c r="A13"/>
  <c r="B12"/>
  <c r="A12"/>
  <c r="B11"/>
  <c r="A11"/>
  <c r="B10"/>
  <c r="A10"/>
  <c r="B9"/>
  <c r="A9"/>
  <c r="A8"/>
  <c r="B83" i="4"/>
  <c r="A83"/>
  <c r="B81"/>
  <c r="A81"/>
  <c r="B80"/>
  <c r="A80"/>
  <c r="B79"/>
  <c r="B78"/>
  <c r="A78"/>
  <c r="B77"/>
  <c r="A77"/>
  <c r="B76"/>
  <c r="A76"/>
  <c r="B75"/>
  <c r="A75"/>
  <c r="B74"/>
  <c r="A74"/>
  <c r="B73"/>
  <c r="A73"/>
  <c r="B72"/>
  <c r="A72"/>
  <c r="A71"/>
  <c r="B68"/>
  <c r="B67"/>
  <c r="A67"/>
  <c r="B64"/>
  <c r="A64"/>
  <c r="B62"/>
  <c r="A62"/>
  <c r="B60"/>
  <c r="A60"/>
  <c r="B59"/>
  <c r="A59"/>
  <c r="B58"/>
  <c r="A58"/>
  <c r="B57"/>
  <c r="A57"/>
  <c r="B56"/>
  <c r="A56"/>
  <c r="B55"/>
  <c r="A55"/>
  <c r="B54"/>
  <c r="A54"/>
  <c r="A53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A39"/>
  <c r="B37"/>
  <c r="A37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A15"/>
  <c r="B13"/>
  <c r="A13"/>
  <c r="B12"/>
  <c r="A12"/>
  <c r="B11"/>
  <c r="A11"/>
  <c r="B10"/>
  <c r="A10"/>
  <c r="B9"/>
  <c r="A9"/>
  <c r="A8"/>
  <c r="Z51" i="2"/>
  <c r="Z26"/>
  <c r="Z13"/>
  <c r="X26"/>
  <c r="Z62"/>
  <c r="Y62"/>
  <c r="Y51"/>
  <c r="Y64" s="1"/>
  <c r="Y26"/>
  <c r="Y13"/>
  <c r="AA62"/>
  <c r="AA51"/>
  <c r="AA26"/>
  <c r="AA72" s="1"/>
  <c r="AA78" s="1"/>
  <c r="AA13"/>
  <c r="AB62"/>
  <c r="AB51"/>
  <c r="AB64" s="1"/>
  <c r="AB26"/>
  <c r="AB13"/>
  <c r="AB72" s="1"/>
  <c r="AB78" s="1"/>
  <c r="X62"/>
  <c r="X51"/>
  <c r="X64" s="1"/>
  <c r="X13"/>
  <c r="AQ62" i="1"/>
  <c r="AQ64" s="1"/>
  <c r="AQ51"/>
  <c r="AQ26"/>
  <c r="AQ13"/>
  <c r="AQ72" s="1"/>
  <c r="AQ78" s="1"/>
  <c r="Z64" i="2" l="1"/>
  <c r="Y72"/>
  <c r="Y78" s="1"/>
  <c r="Z72"/>
  <c r="Z78" s="1"/>
  <c r="AA64"/>
  <c r="AA81"/>
  <c r="AA83"/>
  <c r="AA30" s="1"/>
  <c r="AA35"/>
  <c r="AA37" s="1"/>
  <c r="AB81"/>
  <c r="AB83"/>
  <c r="AB30" s="1"/>
  <c r="AB35" s="1"/>
  <c r="AB37" s="1"/>
  <c r="AQ81" i="1"/>
  <c r="AQ83"/>
  <c r="AQ30" s="1"/>
  <c r="AQ35" s="1"/>
  <c r="AQ37" s="1"/>
  <c r="Z83" i="2" l="1"/>
  <c r="Z30" s="1"/>
  <c r="Z35" s="1"/>
  <c r="Z37" s="1"/>
  <c r="Z81"/>
  <c r="Y83"/>
  <c r="Y30" s="1"/>
  <c r="Y35" s="1"/>
  <c r="Y37" s="1"/>
  <c r="Y81"/>
  <c r="AO26" i="1" l="1"/>
  <c r="AO72" s="1"/>
  <c r="AO78" s="1"/>
  <c r="AO83" s="1"/>
  <c r="AO30" s="1"/>
  <c r="AO35" s="1"/>
  <c r="AO37" s="1"/>
  <c r="X86" i="2"/>
  <c r="D82" i="1"/>
  <c r="D80"/>
  <c r="D79"/>
  <c r="D73"/>
  <c r="D71"/>
  <c r="D70"/>
  <c r="D69"/>
  <c r="D66"/>
  <c r="D65"/>
  <c r="D63"/>
  <c r="D61"/>
  <c r="D55"/>
  <c r="D53"/>
  <c r="D52"/>
  <c r="D49"/>
  <c r="D46"/>
  <c r="D44"/>
  <c r="D43"/>
  <c r="D41"/>
  <c r="D39"/>
  <c r="D38"/>
  <c r="D36"/>
  <c r="D33"/>
  <c r="D31"/>
  <c r="D24"/>
  <c r="D17"/>
  <c r="D15"/>
  <c r="D14"/>
  <c r="D10"/>
  <c r="D82" i="2"/>
  <c r="D80"/>
  <c r="D79"/>
  <c r="D74"/>
  <c r="D73"/>
  <c r="D71"/>
  <c r="D70"/>
  <c r="D66"/>
  <c r="D65"/>
  <c r="D63"/>
  <c r="D61"/>
  <c r="D59"/>
  <c r="D58"/>
  <c r="D57"/>
  <c r="D55"/>
  <c r="D53"/>
  <c r="D52"/>
  <c r="D50"/>
  <c r="D49"/>
  <c r="D47"/>
  <c r="D46"/>
  <c r="D45"/>
  <c r="D44"/>
  <c r="D43"/>
  <c r="D41"/>
  <c r="D39"/>
  <c r="D38"/>
  <c r="D36"/>
  <c r="D33"/>
  <c r="D31"/>
  <c r="D24"/>
  <c r="D17"/>
  <c r="D15"/>
  <c r="D14"/>
  <c r="D10"/>
  <c r="W62"/>
  <c r="W51"/>
  <c r="W26"/>
  <c r="E80" i="4"/>
  <c r="E73"/>
  <c r="E61"/>
  <c r="E55"/>
  <c r="E49"/>
  <c r="E46"/>
  <c r="E44"/>
  <c r="E43"/>
  <c r="E41"/>
  <c r="E33"/>
  <c r="E31"/>
  <c r="E24"/>
  <c r="E17"/>
  <c r="E10"/>
  <c r="AR35" i="1"/>
  <c r="AR37" s="1"/>
  <c r="AR83"/>
  <c r="AR81"/>
  <c r="AR78"/>
  <c r="AS64"/>
  <c r="AS62"/>
  <c r="AR62"/>
  <c r="AS51"/>
  <c r="AS13"/>
  <c r="AR13"/>
  <c r="AS26"/>
  <c r="AR26"/>
  <c r="AR30"/>
  <c r="AN26"/>
  <c r="AN72" s="1"/>
  <c r="AN78" s="1"/>
  <c r="AN83" s="1"/>
  <c r="AN30" s="1"/>
  <c r="AN35" s="1"/>
  <c r="AN37" s="1"/>
  <c r="AP64"/>
  <c r="AO64"/>
  <c r="AN64"/>
  <c r="AP62"/>
  <c r="AO62"/>
  <c r="AN62"/>
  <c r="AP51"/>
  <c r="AO51"/>
  <c r="AN51"/>
  <c r="AM51"/>
  <c r="AM26"/>
  <c r="AP13"/>
  <c r="AO13"/>
  <c r="AN13"/>
  <c r="AM13"/>
  <c r="AM62"/>
  <c r="D60" i="2"/>
  <c r="D34"/>
  <c r="D27"/>
  <c r="D54"/>
  <c r="D74" i="1"/>
  <c r="D28" i="2"/>
  <c r="E59" i="4"/>
  <c r="D58" i="1"/>
  <c r="D50"/>
  <c r="E47" i="4"/>
  <c r="E45"/>
  <c r="D28" i="1"/>
  <c r="D76" i="2"/>
  <c r="D56"/>
  <c r="D42"/>
  <c r="D23"/>
  <c r="D22"/>
  <c r="D21"/>
  <c r="D18"/>
  <c r="D22" i="1"/>
  <c r="D21"/>
  <c r="D18"/>
  <c r="E57" i="4"/>
  <c r="D54" i="1"/>
  <c r="D40"/>
  <c r="E29" i="4"/>
  <c r="E27"/>
  <c r="D11" i="1"/>
  <c r="D9" i="2"/>
  <c r="D76" i="1"/>
  <c r="D32"/>
  <c r="D20"/>
  <c r="F77" i="4"/>
  <c r="F76"/>
  <c r="F74"/>
  <c r="F73"/>
  <c r="O81" i="2"/>
  <c r="F80" i="4"/>
  <c r="F59"/>
  <c r="F58"/>
  <c r="F57"/>
  <c r="F55"/>
  <c r="F53"/>
  <c r="F50"/>
  <c r="F49"/>
  <c r="F47"/>
  <c r="F46"/>
  <c r="F45"/>
  <c r="F44"/>
  <c r="F43"/>
  <c r="F41"/>
  <c r="F39"/>
  <c r="F33"/>
  <c r="F31"/>
  <c r="F24"/>
  <c r="F17"/>
  <c r="F15"/>
  <c r="F10"/>
  <c r="F60"/>
  <c r="F40"/>
  <c r="F34"/>
  <c r="F27"/>
  <c r="F54"/>
  <c r="F29"/>
  <c r="F56"/>
  <c r="F32"/>
  <c r="F28"/>
  <c r="F42"/>
  <c r="F25"/>
  <c r="F23"/>
  <c r="F22"/>
  <c r="F21"/>
  <c r="F18"/>
  <c r="F9"/>
  <c r="W64" i="2" l="1"/>
  <c r="D60" i="1"/>
  <c r="D42"/>
  <c r="D25" i="2"/>
  <c r="D77"/>
  <c r="D29"/>
  <c r="D40"/>
  <c r="D16" i="1"/>
  <c r="D32" i="2"/>
  <c r="D9" i="1"/>
  <c r="D12"/>
  <c r="D56"/>
  <c r="E25" i="4"/>
  <c r="D23" i="1"/>
  <c r="AM72"/>
  <c r="W13" i="2"/>
  <c r="W72" s="1"/>
  <c r="W78" s="1"/>
  <c r="E77" i="4"/>
  <c r="D25" i="1"/>
  <c r="AM78"/>
  <c r="AM83" s="1"/>
  <c r="AM30" s="1"/>
  <c r="AM35" s="1"/>
  <c r="AM37" s="1"/>
  <c r="AM64"/>
  <c r="E9" i="4"/>
  <c r="E11"/>
  <c r="E21"/>
  <c r="E23"/>
  <c r="E28"/>
  <c r="E40"/>
  <c r="E42"/>
  <c r="E54"/>
  <c r="E56"/>
  <c r="E58"/>
  <c r="E60"/>
  <c r="E76"/>
  <c r="D27" i="1"/>
  <c r="D29"/>
  <c r="D45"/>
  <c r="D47"/>
  <c r="D57"/>
  <c r="D59"/>
  <c r="D77"/>
  <c r="E12" i="4"/>
  <c r="E16"/>
  <c r="E18"/>
  <c r="E20"/>
  <c r="E22"/>
  <c r="E32"/>
  <c r="E50"/>
  <c r="E74"/>
  <c r="AN81" i="1"/>
  <c r="AO81"/>
  <c r="C73" i="4"/>
  <c r="E34" l="1"/>
  <c r="AP26" i="1"/>
  <c r="AP72" s="1"/>
  <c r="AP78" s="1"/>
  <c r="AP83" s="1"/>
  <c r="AP30" s="1"/>
  <c r="AP35" s="1"/>
  <c r="AP37" s="1"/>
  <c r="D11" i="2"/>
  <c r="F12" i="4"/>
  <c r="W81" i="2"/>
  <c r="W83"/>
  <c r="W30" s="1"/>
  <c r="W35" s="1"/>
  <c r="W37" s="1"/>
  <c r="D12"/>
  <c r="D16"/>
  <c r="F16" i="4"/>
  <c r="AM81" i="1"/>
  <c r="F20" i="4"/>
  <c r="D34" i="1"/>
  <c r="F48" i="4"/>
  <c r="D20" i="2"/>
  <c r="F11" i="4"/>
  <c r="E73" i="2"/>
  <c r="E74"/>
  <c r="E65" i="1"/>
  <c r="E63"/>
  <c r="E79"/>
  <c r="E80"/>
  <c r="D73" i="4"/>
  <c r="AP81" i="1" l="1"/>
  <c r="D48" i="2"/>
  <c r="E73" i="1"/>
  <c r="D48" l="1"/>
  <c r="AR51"/>
  <c r="AR64" s="1"/>
  <c r="E48" i="4"/>
  <c r="E67"/>
  <c r="E76" i="2"/>
  <c r="V51"/>
  <c r="V13"/>
  <c r="V62"/>
  <c r="C74" i="4"/>
  <c r="D74" s="1"/>
  <c r="F67" l="1"/>
  <c r="E77" i="1"/>
  <c r="E76"/>
  <c r="C76" i="4"/>
  <c r="D76" s="1"/>
  <c r="E74" i="1"/>
  <c r="E77" i="2"/>
  <c r="V26"/>
  <c r="V72" s="1"/>
  <c r="V78" s="1"/>
  <c r="V64"/>
  <c r="V83" l="1"/>
  <c r="V81"/>
  <c r="AH51" i="1"/>
  <c r="AH26"/>
  <c r="AH13"/>
  <c r="AB62"/>
  <c r="AB51"/>
  <c r="AB26"/>
  <c r="AB13"/>
  <c r="AA51"/>
  <c r="AA26"/>
  <c r="AA13"/>
  <c r="V51"/>
  <c r="V26"/>
  <c r="V13"/>
  <c r="AH72" l="1"/>
  <c r="V72"/>
  <c r="V78" s="1"/>
  <c r="AB64"/>
  <c r="AA72"/>
  <c r="AA78" s="1"/>
  <c r="AB72"/>
  <c r="AB78" s="1"/>
  <c r="AA62"/>
  <c r="AA64" s="1"/>
  <c r="Q62"/>
  <c r="Q51"/>
  <c r="Q26"/>
  <c r="Q13"/>
  <c r="P19"/>
  <c r="P13"/>
  <c r="P72" s="1"/>
  <c r="P78" s="1"/>
  <c r="P62"/>
  <c r="P51"/>
  <c r="R62"/>
  <c r="R51"/>
  <c r="R26"/>
  <c r="R13"/>
  <c r="D19" l="1"/>
  <c r="E19" i="4"/>
  <c r="P81" i="1"/>
  <c r="P83"/>
  <c r="P30" s="1"/>
  <c r="AB81"/>
  <c r="AB83"/>
  <c r="AB30" s="1"/>
  <c r="AA81"/>
  <c r="AA83"/>
  <c r="AA30" s="1"/>
  <c r="V81"/>
  <c r="V83"/>
  <c r="V30" s="1"/>
  <c r="V35" s="1"/>
  <c r="V37" s="1"/>
  <c r="V62"/>
  <c r="V64" s="1"/>
  <c r="AH62"/>
  <c r="AH64" s="1"/>
  <c r="AA35"/>
  <c r="AA37" s="1"/>
  <c r="AH78"/>
  <c r="AB35"/>
  <c r="AB37" s="1"/>
  <c r="Q72"/>
  <c r="Q78" s="1"/>
  <c r="Q64"/>
  <c r="R72"/>
  <c r="R78" s="1"/>
  <c r="P64"/>
  <c r="R64"/>
  <c r="O62"/>
  <c r="O51"/>
  <c r="O13"/>
  <c r="R81" l="1"/>
  <c r="R83"/>
  <c r="R30" s="1"/>
  <c r="R35" s="1"/>
  <c r="R37" s="1"/>
  <c r="Q81"/>
  <c r="Q83"/>
  <c r="Q30" s="1"/>
  <c r="Q35" s="1"/>
  <c r="Q37" s="1"/>
  <c r="AH81"/>
  <c r="AH83"/>
  <c r="AH30" s="1"/>
  <c r="AH35" s="1"/>
  <c r="AH37" s="1"/>
  <c r="V35" i="2"/>
  <c r="O64" i="1"/>
  <c r="O26"/>
  <c r="O72" s="1"/>
  <c r="O78" s="1"/>
  <c r="P35"/>
  <c r="P37" s="1"/>
  <c r="G13"/>
  <c r="T51" i="2"/>
  <c r="AL62" i="1"/>
  <c r="AL51"/>
  <c r="AE51"/>
  <c r="AJ26"/>
  <c r="T62"/>
  <c r="K13" i="2"/>
  <c r="L26" i="1"/>
  <c r="G13" i="2"/>
  <c r="J13" i="1"/>
  <c r="Y62"/>
  <c r="T13" i="2"/>
  <c r="T26"/>
  <c r="T62"/>
  <c r="S13"/>
  <c r="S26"/>
  <c r="R62"/>
  <c r="R13"/>
  <c r="R26"/>
  <c r="Q51"/>
  <c r="Q13"/>
  <c r="Q26"/>
  <c r="P13"/>
  <c r="P26"/>
  <c r="P51"/>
  <c r="P62"/>
  <c r="O26"/>
  <c r="O13"/>
  <c r="O51"/>
  <c r="O62"/>
  <c r="N13"/>
  <c r="N26"/>
  <c r="N51"/>
  <c r="N62"/>
  <c r="M13"/>
  <c r="M26"/>
  <c r="M62"/>
  <c r="M51"/>
  <c r="L13"/>
  <c r="L26"/>
  <c r="L51"/>
  <c r="L62"/>
  <c r="K51"/>
  <c r="K62"/>
  <c r="J26"/>
  <c r="J13"/>
  <c r="J51"/>
  <c r="J62"/>
  <c r="I13"/>
  <c r="I26"/>
  <c r="I51"/>
  <c r="I62"/>
  <c r="H13"/>
  <c r="H51"/>
  <c r="H62"/>
  <c r="G26"/>
  <c r="G51"/>
  <c r="G62"/>
  <c r="F26"/>
  <c r="F51"/>
  <c r="F62"/>
  <c r="AL13" i="1"/>
  <c r="AL26"/>
  <c r="AK13"/>
  <c r="AK26"/>
  <c r="AK51"/>
  <c r="AK62"/>
  <c r="AJ13"/>
  <c r="AJ72" s="1"/>
  <c r="AJ78" s="1"/>
  <c r="AJ51"/>
  <c r="AJ62"/>
  <c r="AI62"/>
  <c r="AI13"/>
  <c r="AI26"/>
  <c r="AG51"/>
  <c r="AG13"/>
  <c r="AG26"/>
  <c r="AF26"/>
  <c r="AF13"/>
  <c r="AF51"/>
  <c r="AF62"/>
  <c r="AE62"/>
  <c r="AE13"/>
  <c r="AE26"/>
  <c r="AD62"/>
  <c r="AD13"/>
  <c r="AD26"/>
  <c r="AC13"/>
  <c r="AC26"/>
  <c r="AC51"/>
  <c r="AC62"/>
  <c r="Z13"/>
  <c r="Z26"/>
  <c r="Z51"/>
  <c r="Z62"/>
  <c r="Y13"/>
  <c r="Y26"/>
  <c r="Y51"/>
  <c r="X26"/>
  <c r="X13"/>
  <c r="X51"/>
  <c r="W26"/>
  <c r="W13"/>
  <c r="W62"/>
  <c r="W51"/>
  <c r="U13"/>
  <c r="U26"/>
  <c r="U51"/>
  <c r="U62"/>
  <c r="T13"/>
  <c r="T26"/>
  <c r="T51"/>
  <c r="S13"/>
  <c r="S26"/>
  <c r="S51"/>
  <c r="N13"/>
  <c r="N51"/>
  <c r="N62"/>
  <c r="M13"/>
  <c r="M51"/>
  <c r="M62"/>
  <c r="L13"/>
  <c r="L51"/>
  <c r="L62"/>
  <c r="K26"/>
  <c r="K13"/>
  <c r="K51"/>
  <c r="K62"/>
  <c r="J26"/>
  <c r="J51"/>
  <c r="J62"/>
  <c r="I13"/>
  <c r="I26"/>
  <c r="I51"/>
  <c r="I62"/>
  <c r="H13"/>
  <c r="H26"/>
  <c r="H51"/>
  <c r="H62"/>
  <c r="G26"/>
  <c r="G51"/>
  <c r="G62"/>
  <c r="F13"/>
  <c r="F26"/>
  <c r="F51"/>
  <c r="F62"/>
  <c r="E41" i="2"/>
  <c r="E31"/>
  <c r="E16" i="1"/>
  <c r="E31"/>
  <c r="E11"/>
  <c r="E61"/>
  <c r="E59"/>
  <c r="E55"/>
  <c r="E49"/>
  <c r="E43"/>
  <c r="E36"/>
  <c r="E24"/>
  <c r="E20"/>
  <c r="E10"/>
  <c r="D13" l="1"/>
  <c r="E13" i="4"/>
  <c r="S72" i="2"/>
  <c r="S78" s="1"/>
  <c r="S81" s="1"/>
  <c r="AD72" i="1"/>
  <c r="AD78" s="1"/>
  <c r="AD81" s="1"/>
  <c r="S83" i="2"/>
  <c r="S30" s="1"/>
  <c r="AJ81" i="1"/>
  <c r="AJ83"/>
  <c r="AJ30" s="1"/>
  <c r="O81"/>
  <c r="O83"/>
  <c r="O30" s="1"/>
  <c r="O35" s="1"/>
  <c r="O37" s="1"/>
  <c r="V37" i="2"/>
  <c r="I64"/>
  <c r="L64"/>
  <c r="O64"/>
  <c r="C22" i="4"/>
  <c r="E44" i="2"/>
  <c r="G8" i="3"/>
  <c r="E21" i="2"/>
  <c r="E12" i="1"/>
  <c r="E18"/>
  <c r="E22"/>
  <c r="E41"/>
  <c r="E47"/>
  <c r="E17" i="2"/>
  <c r="E33"/>
  <c r="E58"/>
  <c r="E24"/>
  <c r="E34" i="1"/>
  <c r="E27" i="2"/>
  <c r="K72" i="1"/>
  <c r="K78" s="1"/>
  <c r="T27"/>
  <c r="T28" s="1"/>
  <c r="K64"/>
  <c r="M64"/>
  <c r="AC64"/>
  <c r="AI72"/>
  <c r="AI78" s="1"/>
  <c r="U64"/>
  <c r="W64"/>
  <c r="AF64"/>
  <c r="E10" i="2"/>
  <c r="E43"/>
  <c r="E45"/>
  <c r="E47"/>
  <c r="N64"/>
  <c r="Q72"/>
  <c r="Q78" s="1"/>
  <c r="E11"/>
  <c r="E25"/>
  <c r="E54"/>
  <c r="T64"/>
  <c r="E54" i="1"/>
  <c r="E57"/>
  <c r="E60"/>
  <c r="E18" i="2"/>
  <c r="E23"/>
  <c r="E29"/>
  <c r="E49"/>
  <c r="E59"/>
  <c r="C60" i="4"/>
  <c r="Y64" i="1"/>
  <c r="AK64"/>
  <c r="J72" i="2"/>
  <c r="J78" s="1"/>
  <c r="M72"/>
  <c r="M78" s="1"/>
  <c r="P64"/>
  <c r="P72"/>
  <c r="P78" s="1"/>
  <c r="R72"/>
  <c r="R78" s="1"/>
  <c r="T72"/>
  <c r="T78" s="1"/>
  <c r="G7" i="3"/>
  <c r="E46" i="2"/>
  <c r="E50"/>
  <c r="C12" i="4"/>
  <c r="E40" i="1"/>
  <c r="U51" i="2"/>
  <c r="S62"/>
  <c r="H26"/>
  <c r="G72" i="1"/>
  <c r="G78" s="1"/>
  <c r="H64"/>
  <c r="H72"/>
  <c r="H78" s="1"/>
  <c r="I64"/>
  <c r="N64"/>
  <c r="T64"/>
  <c r="X72"/>
  <c r="X78" s="1"/>
  <c r="G72" i="2"/>
  <c r="G78" s="1"/>
  <c r="U13"/>
  <c r="S62" i="1"/>
  <c r="S64" s="1"/>
  <c r="I72"/>
  <c r="I78" s="1"/>
  <c r="C34" i="4"/>
  <c r="C21"/>
  <c r="E22" i="2"/>
  <c r="E16"/>
  <c r="C54" i="4"/>
  <c r="AL64" i="1"/>
  <c r="E28" i="2"/>
  <c r="C55" i="4"/>
  <c r="E20" i="2"/>
  <c r="C24" i="4"/>
  <c r="C17"/>
  <c r="F64" i="1"/>
  <c r="G64"/>
  <c r="J64"/>
  <c r="L64"/>
  <c r="S72"/>
  <c r="S78" s="1"/>
  <c r="Z72"/>
  <c r="AL72"/>
  <c r="AL78" s="1"/>
  <c r="G6" i="3"/>
  <c r="E42" i="2"/>
  <c r="E60"/>
  <c r="M26" i="1"/>
  <c r="M72" s="1"/>
  <c r="M78" s="1"/>
  <c r="U26" i="2"/>
  <c r="N26" i="1"/>
  <c r="F72"/>
  <c r="F78" s="1"/>
  <c r="AE64"/>
  <c r="AE67" s="1"/>
  <c r="E9"/>
  <c r="E13"/>
  <c r="E33"/>
  <c r="C25" i="4"/>
  <c r="C23"/>
  <c r="J72" i="1"/>
  <c r="J78" s="1"/>
  <c r="E17"/>
  <c r="E19"/>
  <c r="E21"/>
  <c r="E23"/>
  <c r="E25"/>
  <c r="E44"/>
  <c r="E46"/>
  <c r="E50"/>
  <c r="E12" i="2"/>
  <c r="E34"/>
  <c r="E55"/>
  <c r="C59" i="4"/>
  <c r="C50"/>
  <c r="C49"/>
  <c r="C47"/>
  <c r="C46"/>
  <c r="C44"/>
  <c r="C43"/>
  <c r="C41"/>
  <c r="C33"/>
  <c r="C31"/>
  <c r="C18"/>
  <c r="C11"/>
  <c r="C10"/>
  <c r="C77"/>
  <c r="D77" s="1"/>
  <c r="O72" i="2"/>
  <c r="U72" i="1"/>
  <c r="W72"/>
  <c r="W78" s="1"/>
  <c r="Y72"/>
  <c r="Z64"/>
  <c r="AC72"/>
  <c r="AC78" s="1"/>
  <c r="AE72"/>
  <c r="AE78" s="1"/>
  <c r="AF72"/>
  <c r="AF78" s="1"/>
  <c r="AG72"/>
  <c r="AG78" s="1"/>
  <c r="AJ64"/>
  <c r="AK72"/>
  <c r="AK78" s="1"/>
  <c r="F64" i="2"/>
  <c r="G64"/>
  <c r="H64"/>
  <c r="I72"/>
  <c r="I78" s="1"/>
  <c r="J64"/>
  <c r="K64"/>
  <c r="L72"/>
  <c r="L78" s="1"/>
  <c r="M64"/>
  <c r="M67" s="1"/>
  <c r="N72"/>
  <c r="AJ35" i="1"/>
  <c r="AJ37" s="1"/>
  <c r="AJ67" s="1"/>
  <c r="L72"/>
  <c r="L78" s="1"/>
  <c r="U67" i="2" l="1"/>
  <c r="K67"/>
  <c r="U67" i="1"/>
  <c r="M67"/>
  <c r="I67"/>
  <c r="R67" i="2"/>
  <c r="N67"/>
  <c r="AD67" i="1"/>
  <c r="H67"/>
  <c r="AQ67"/>
  <c r="AA67" i="2"/>
  <c r="AB67"/>
  <c r="Y67"/>
  <c r="Z67"/>
  <c r="AO67" i="1"/>
  <c r="AN67"/>
  <c r="AM67"/>
  <c r="AP67"/>
  <c r="AR67"/>
  <c r="AB67"/>
  <c r="V67"/>
  <c r="AH67"/>
  <c r="AA67"/>
  <c r="T67"/>
  <c r="W67" i="2"/>
  <c r="V67"/>
  <c r="R67" i="1"/>
  <c r="P67"/>
  <c r="AC67"/>
  <c r="O67"/>
  <c r="Q67"/>
  <c r="H72" i="2"/>
  <c r="H78" s="1"/>
  <c r="H83" s="1"/>
  <c r="H30" s="1"/>
  <c r="H35" s="1"/>
  <c r="H37" s="1"/>
  <c r="H67" s="1"/>
  <c r="D26" i="1"/>
  <c r="E26" s="1"/>
  <c r="E26" i="4"/>
  <c r="AD83" i="1"/>
  <c r="AD30" s="1"/>
  <c r="AD35" s="1"/>
  <c r="AD37" s="1"/>
  <c r="G10" i="3"/>
  <c r="I83" i="2"/>
  <c r="I30" s="1"/>
  <c r="I81"/>
  <c r="G83"/>
  <c r="G30" s="1"/>
  <c r="G35" s="1"/>
  <c r="G37" s="1"/>
  <c r="G67" s="1"/>
  <c r="G81"/>
  <c r="T83"/>
  <c r="T30" s="1"/>
  <c r="T35" s="1"/>
  <c r="T37" s="1"/>
  <c r="T67" s="1"/>
  <c r="T81"/>
  <c r="P83"/>
  <c r="P30" s="1"/>
  <c r="P35" s="1"/>
  <c r="P37" s="1"/>
  <c r="P67" s="1"/>
  <c r="P81"/>
  <c r="M83"/>
  <c r="M30" s="1"/>
  <c r="M81"/>
  <c r="L83"/>
  <c r="L30" s="1"/>
  <c r="L81"/>
  <c r="R83"/>
  <c r="R30" s="1"/>
  <c r="R35" s="1"/>
  <c r="R37" s="1"/>
  <c r="R81"/>
  <c r="J83"/>
  <c r="J30" s="1"/>
  <c r="J35" s="1"/>
  <c r="J37" s="1"/>
  <c r="J67" s="1"/>
  <c r="J81"/>
  <c r="Q83"/>
  <c r="Q30" s="1"/>
  <c r="Q35" s="1"/>
  <c r="Q37" s="1"/>
  <c r="Q67" s="1"/>
  <c r="Q81"/>
  <c r="M35"/>
  <c r="M37" s="1"/>
  <c r="M68" s="1"/>
  <c r="AF81" i="1"/>
  <c r="AF83"/>
  <c r="AF30" s="1"/>
  <c r="AF35" s="1"/>
  <c r="AF37" s="1"/>
  <c r="AF67" s="1"/>
  <c r="J81"/>
  <c r="J83"/>
  <c r="J30" s="1"/>
  <c r="J35" s="1"/>
  <c r="J37" s="1"/>
  <c r="J67" s="1"/>
  <c r="L81"/>
  <c r="L83"/>
  <c r="L30" s="1"/>
  <c r="L35" s="1"/>
  <c r="L37" s="1"/>
  <c r="L67" s="1"/>
  <c r="AC81"/>
  <c r="AC83"/>
  <c r="AC30" s="1"/>
  <c r="F81"/>
  <c r="AK81"/>
  <c r="AK83"/>
  <c r="AK30" s="1"/>
  <c r="AG81"/>
  <c r="AG83"/>
  <c r="AG30" s="1"/>
  <c r="AE81"/>
  <c r="AE83"/>
  <c r="AE30" s="1"/>
  <c r="W81"/>
  <c r="W83"/>
  <c r="W30" s="1"/>
  <c r="M81"/>
  <c r="M83"/>
  <c r="M30" s="1"/>
  <c r="AL81"/>
  <c r="AL83"/>
  <c r="AL30" s="1"/>
  <c r="S81"/>
  <c r="S83"/>
  <c r="S30" s="1"/>
  <c r="I81"/>
  <c r="I83"/>
  <c r="I30" s="1"/>
  <c r="X81"/>
  <c r="X83"/>
  <c r="X30" s="1"/>
  <c r="H81"/>
  <c r="H83"/>
  <c r="H30" s="1"/>
  <c r="G81"/>
  <c r="G83"/>
  <c r="G30" s="1"/>
  <c r="G35" s="1"/>
  <c r="G37" s="1"/>
  <c r="G67" s="1"/>
  <c r="AI81"/>
  <c r="AI83"/>
  <c r="AI30" s="1"/>
  <c r="K81"/>
  <c r="K83"/>
  <c r="K30" s="1"/>
  <c r="L35" i="2"/>
  <c r="L37" s="1"/>
  <c r="L67" s="1"/>
  <c r="F83" i="1"/>
  <c r="I35" i="2"/>
  <c r="I37" s="1"/>
  <c r="I67" s="1"/>
  <c r="AG35" i="1"/>
  <c r="AG37" s="1"/>
  <c r="W35"/>
  <c r="W37" s="1"/>
  <c r="W67" s="1"/>
  <c r="M35"/>
  <c r="M37" s="1"/>
  <c r="AL35"/>
  <c r="AL37" s="1"/>
  <c r="AL67" s="1"/>
  <c r="I35"/>
  <c r="I37" s="1"/>
  <c r="H35"/>
  <c r="H37" s="1"/>
  <c r="K35"/>
  <c r="K37" s="1"/>
  <c r="K67" s="1"/>
  <c r="AE35"/>
  <c r="AE37" s="1"/>
  <c r="AC35"/>
  <c r="AC37" s="1"/>
  <c r="E27"/>
  <c r="C27" i="4"/>
  <c r="T29" i="1"/>
  <c r="C28" i="4"/>
  <c r="Y78" i="1"/>
  <c r="AI35"/>
  <c r="AI37" s="1"/>
  <c r="C20" i="4"/>
  <c r="C16"/>
  <c r="E28" i="1"/>
  <c r="AK35"/>
  <c r="AK37" s="1"/>
  <c r="AK67" s="1"/>
  <c r="T72"/>
  <c r="T78" s="1"/>
  <c r="C29" i="4"/>
  <c r="E29" i="1"/>
  <c r="S35"/>
  <c r="S37" s="1"/>
  <c r="S67" s="1"/>
  <c r="X35"/>
  <c r="X37" s="1"/>
  <c r="X67" s="1"/>
  <c r="N72"/>
  <c r="N78" s="1"/>
  <c r="E32" i="2"/>
  <c r="U72"/>
  <c r="U78" s="1"/>
  <c r="C40" i="4"/>
  <c r="Q62" i="2"/>
  <c r="C57" i="4"/>
  <c r="E57" i="2"/>
  <c r="C45" i="4"/>
  <c r="E45" i="1"/>
  <c r="K72" i="2"/>
  <c r="K78" s="1"/>
  <c r="Z78" i="1"/>
  <c r="S51" i="2"/>
  <c r="S64" s="1"/>
  <c r="E40"/>
  <c r="AG62" i="1"/>
  <c r="AG64" s="1"/>
  <c r="AG67" s="1"/>
  <c r="E58"/>
  <c r="C58" i="4"/>
  <c r="E56" i="2"/>
  <c r="F13"/>
  <c r="C9" i="4"/>
  <c r="E9" i="2"/>
  <c r="E32" i="1"/>
  <c r="C32" i="4"/>
  <c r="U62" i="2"/>
  <c r="U64" s="1"/>
  <c r="S35"/>
  <c r="S37" s="1"/>
  <c r="S67" s="1"/>
  <c r="H81" l="1"/>
  <c r="AB68"/>
  <c r="AA68"/>
  <c r="AQ68" i="1"/>
  <c r="Y68" i="2"/>
  <c r="Z68"/>
  <c r="D75" i="1"/>
  <c r="E75" s="1"/>
  <c r="AS78"/>
  <c r="E75" i="4"/>
  <c r="D75" i="2"/>
  <c r="E75" s="1"/>
  <c r="F75" i="4"/>
  <c r="F13"/>
  <c r="C13" s="1"/>
  <c r="D13" i="2"/>
  <c r="E13" s="1"/>
  <c r="B68" i="1"/>
  <c r="AM68"/>
  <c r="AP68"/>
  <c r="AO68"/>
  <c r="AN68"/>
  <c r="W68" i="2"/>
  <c r="AR68" i="1"/>
  <c r="D72"/>
  <c r="E72" s="1"/>
  <c r="D62"/>
  <c r="E62" i="4"/>
  <c r="E72"/>
  <c r="D62" i="2"/>
  <c r="AE68" i="1"/>
  <c r="AC68"/>
  <c r="F62" i="4"/>
  <c r="O30" i="2"/>
  <c r="J68" i="1"/>
  <c r="AF68"/>
  <c r="P68" i="2"/>
  <c r="G68"/>
  <c r="S68"/>
  <c r="S68" i="1"/>
  <c r="H68"/>
  <c r="AL68"/>
  <c r="W68"/>
  <c r="I68" i="2"/>
  <c r="G68" i="1"/>
  <c r="V68" i="2"/>
  <c r="O68" i="1"/>
  <c r="H68" i="2"/>
  <c r="AG68" i="1"/>
  <c r="AK68"/>
  <c r="L68"/>
  <c r="K68"/>
  <c r="I68"/>
  <c r="M68"/>
  <c r="J68" i="2"/>
  <c r="T68"/>
  <c r="L68"/>
  <c r="AB68" i="1"/>
  <c r="AA68"/>
  <c r="V68"/>
  <c r="AH68"/>
  <c r="P68"/>
  <c r="Q68"/>
  <c r="R68"/>
  <c r="AJ68"/>
  <c r="F30"/>
  <c r="K83" i="2"/>
  <c r="K30" s="1"/>
  <c r="K35" s="1"/>
  <c r="K37" s="1"/>
  <c r="K81"/>
  <c r="U83"/>
  <c r="U35" s="1"/>
  <c r="U37" s="1"/>
  <c r="U81"/>
  <c r="Y81" i="1"/>
  <c r="Y83"/>
  <c r="Y30" s="1"/>
  <c r="E82"/>
  <c r="Z81"/>
  <c r="Z83"/>
  <c r="Z30" s="1"/>
  <c r="N81"/>
  <c r="N83"/>
  <c r="N30" s="1"/>
  <c r="N35" s="1"/>
  <c r="N37" s="1"/>
  <c r="N67" s="1"/>
  <c r="T81"/>
  <c r="T83"/>
  <c r="T30" s="1"/>
  <c r="T35" s="1"/>
  <c r="T37" s="1"/>
  <c r="Z35"/>
  <c r="Z37" s="1"/>
  <c r="Z67" s="1"/>
  <c r="Y35"/>
  <c r="Y37" s="1"/>
  <c r="Y67" s="1"/>
  <c r="D10" i="4"/>
  <c r="D12"/>
  <c r="D18"/>
  <c r="D44"/>
  <c r="D55"/>
  <c r="D29"/>
  <c r="D24"/>
  <c r="D22"/>
  <c r="D59"/>
  <c r="D49"/>
  <c r="D41"/>
  <c r="D20"/>
  <c r="F72" i="2"/>
  <c r="Q64"/>
  <c r="E62"/>
  <c r="E42" i="1"/>
  <c r="C42" i="4"/>
  <c r="X62" i="1"/>
  <c r="E56"/>
  <c r="C56" i="4"/>
  <c r="AI51" i="1"/>
  <c r="AI64" s="1"/>
  <c r="AI68" s="1"/>
  <c r="D25" i="4"/>
  <c r="D23"/>
  <c r="D17"/>
  <c r="D57"/>
  <c r="AI67" i="1" l="1"/>
  <c r="C75" i="4"/>
  <c r="D75" s="1"/>
  <c r="AS81" i="1"/>
  <c r="AS83"/>
  <c r="AS30" s="1"/>
  <c r="AS35" s="1"/>
  <c r="AS37" s="1"/>
  <c r="AS67" s="1"/>
  <c r="Q68" i="2"/>
  <c r="T68" i="1"/>
  <c r="O35" i="2"/>
  <c r="Z68" i="1"/>
  <c r="K68" i="2"/>
  <c r="Y68" i="1"/>
  <c r="N68"/>
  <c r="U68" i="2"/>
  <c r="D21" i="4"/>
  <c r="D31"/>
  <c r="N78" i="2"/>
  <c r="D34" i="4"/>
  <c r="D50"/>
  <c r="D27"/>
  <c r="D11"/>
  <c r="D45"/>
  <c r="C62"/>
  <c r="X64" i="1"/>
  <c r="E62"/>
  <c r="F78" i="2"/>
  <c r="D56" i="4"/>
  <c r="D32"/>
  <c r="D33"/>
  <c r="D58"/>
  <c r="D43"/>
  <c r="AS68" i="1" l="1"/>
  <c r="X68"/>
  <c r="O37" i="2"/>
  <c r="O67" s="1"/>
  <c r="F83"/>
  <c r="F81"/>
  <c r="N83"/>
  <c r="N35" s="1"/>
  <c r="N37" s="1"/>
  <c r="N81"/>
  <c r="E80"/>
  <c r="D60" i="4"/>
  <c r="D40"/>
  <c r="D28"/>
  <c r="D16"/>
  <c r="R51" i="2"/>
  <c r="E48"/>
  <c r="D9" i="4"/>
  <c r="D42"/>
  <c r="D47"/>
  <c r="D46"/>
  <c r="F35" i="1"/>
  <c r="F51" i="4" l="1"/>
  <c r="D51" i="2"/>
  <c r="E51" s="1"/>
  <c r="X88"/>
  <c r="O68"/>
  <c r="N68"/>
  <c r="F30"/>
  <c r="D13" i="4"/>
  <c r="D62"/>
  <c r="D54"/>
  <c r="R64" i="2"/>
  <c r="F37" i="1"/>
  <c r="F67" s="1"/>
  <c r="D64" i="2" l="1"/>
  <c r="F64" i="4"/>
  <c r="F68" i="1"/>
  <c r="R68" i="2"/>
  <c r="E64"/>
  <c r="E48" i="1"/>
  <c r="AD51"/>
  <c r="C48" i="4"/>
  <c r="U78" i="1"/>
  <c r="E78" i="4" l="1"/>
  <c r="D78" i="1"/>
  <c r="E78" s="1"/>
  <c r="E51" i="4"/>
  <c r="C51" s="1"/>
  <c r="D51" i="1"/>
  <c r="E51" s="1"/>
  <c r="U81"/>
  <c r="U83"/>
  <c r="C80" i="4"/>
  <c r="D80" s="1"/>
  <c r="C82"/>
  <c r="D82" s="1"/>
  <c r="F35" i="2"/>
  <c r="D48" i="4"/>
  <c r="AD64" i="1"/>
  <c r="E83" i="4" l="1"/>
  <c r="D83" i="1"/>
  <c r="E83" s="1"/>
  <c r="D64"/>
  <c r="E64" s="1"/>
  <c r="E64" i="4"/>
  <c r="C64" s="1"/>
  <c r="D81" i="1"/>
  <c r="E81" s="1"/>
  <c r="E81" i="4"/>
  <c r="AD68" i="1"/>
  <c r="U30"/>
  <c r="D51" i="4"/>
  <c r="F37" i="2"/>
  <c r="F67" s="1"/>
  <c r="D30" i="1" l="1"/>
  <c r="E30" i="4"/>
  <c r="F68" i="2"/>
  <c r="D64" i="4"/>
  <c r="E30" i="1" l="1"/>
  <c r="U35"/>
  <c r="D35" l="1"/>
  <c r="E35" s="1"/>
  <c r="E35" i="4"/>
  <c r="U37" i="1"/>
  <c r="D67" l="1"/>
  <c r="E37" i="4"/>
  <c r="D37" i="1"/>
  <c r="U68"/>
  <c r="E68" i="4" l="1"/>
  <c r="D68" i="1"/>
  <c r="E68" s="1"/>
  <c r="C67" i="4"/>
  <c r="D67" s="1"/>
  <c r="E67" i="1"/>
  <c r="E37"/>
  <c r="D26" i="2"/>
  <c r="E26" s="1"/>
  <c r="F26" i="4"/>
  <c r="C26" s="1"/>
  <c r="D26" s="1"/>
  <c r="F72"/>
  <c r="C72" s="1"/>
  <c r="D72" s="1"/>
  <c r="X72" i="2"/>
  <c r="D72" s="1"/>
  <c r="E72" s="1"/>
  <c r="X78"/>
  <c r="X81" s="1"/>
  <c r="D81" s="1"/>
  <c r="E81" s="1"/>
  <c r="D19"/>
  <c r="E19" s="1"/>
  <c r="X83" l="1"/>
  <c r="F78" i="4"/>
  <c r="F19"/>
  <c r="C19" s="1"/>
  <c r="D19" s="1"/>
  <c r="D78" i="2"/>
  <c r="E78" s="1"/>
  <c r="F81" i="4" l="1"/>
  <c r="C81" s="1"/>
  <c r="D81" s="1"/>
  <c r="C78"/>
  <c r="D78" s="1"/>
  <c r="F83"/>
  <c r="C83" s="1"/>
  <c r="D83" s="1"/>
  <c r="D83" i="2"/>
  <c r="E83" s="1"/>
  <c r="X30"/>
  <c r="D30" l="1"/>
  <c r="E30" s="1"/>
  <c r="F30" i="4"/>
  <c r="C30" s="1"/>
  <c r="D30" s="1"/>
  <c r="X35" i="2"/>
  <c r="D35" l="1"/>
  <c r="E35" s="1"/>
  <c r="F35" i="4"/>
  <c r="C35" s="1"/>
  <c r="D35" s="1"/>
  <c r="X37" i="2"/>
  <c r="X67" s="1"/>
  <c r="X68" l="1"/>
  <c r="D67"/>
  <c r="E67" s="1"/>
  <c r="D37"/>
  <c r="E37" s="1"/>
  <c r="F37" i="4"/>
  <c r="F68" l="1"/>
  <c r="C68" s="1"/>
  <c r="D68" s="1"/>
  <c r="C37"/>
  <c r="D37" s="1"/>
  <c r="D68" i="2"/>
  <c r="E68" s="1"/>
  <c r="X87"/>
  <c r="X89" s="1"/>
</calcChain>
</file>

<file path=xl/sharedStrings.xml><?xml version="1.0" encoding="utf-8"?>
<sst xmlns="http://schemas.openxmlformats.org/spreadsheetml/2006/main" count="161" uniqueCount="125">
  <si>
    <t>3.1</t>
  </si>
  <si>
    <t>4.1</t>
  </si>
  <si>
    <t>3.2</t>
  </si>
  <si>
    <t>3.3</t>
  </si>
  <si>
    <t>3.4</t>
  </si>
  <si>
    <t>Math Check</t>
  </si>
  <si>
    <t>Delta</t>
  </si>
  <si>
    <t>3.5</t>
  </si>
  <si>
    <t>3.6</t>
  </si>
  <si>
    <t>4.2</t>
  </si>
  <si>
    <t>4.3</t>
  </si>
  <si>
    <t>4.4</t>
  </si>
  <si>
    <t>4.5</t>
  </si>
  <si>
    <t>4.6</t>
  </si>
  <si>
    <t>4.7</t>
  </si>
  <si>
    <t>5.1</t>
  </si>
  <si>
    <t>6.1</t>
  </si>
  <si>
    <t>7.1</t>
  </si>
  <si>
    <t>7.2</t>
  </si>
  <si>
    <t>7.3</t>
  </si>
  <si>
    <t>7.4</t>
  </si>
  <si>
    <t>7.7</t>
  </si>
  <si>
    <t>7.8</t>
  </si>
  <si>
    <t>7.9</t>
  </si>
  <si>
    <t>7.10</t>
  </si>
  <si>
    <t>7.11</t>
  </si>
  <si>
    <t>7.12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</si>
  <si>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</si>
  <si>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</si>
  <si>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</si>
  <si>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</si>
  <si>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</si>
  <si>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</si>
  <si>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</si>
  <si>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</si>
  <si>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</si>
  <si>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</si>
  <si>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9.1</t>
  </si>
  <si>
    <t>CAPITAL STRUCTURE INFORMATION</t>
  </si>
  <si>
    <t xml:space="preserve">Capital Structure </t>
  </si>
  <si>
    <t>Embedded Cost</t>
  </si>
  <si>
    <t>Weighted Cost</t>
  </si>
  <si>
    <t>DEBT%</t>
  </si>
  <si>
    <t>PREFERRED %</t>
  </si>
  <si>
    <t>COMMON %</t>
  </si>
  <si>
    <t>Gross UP</t>
  </si>
  <si>
    <t>Unadjusted Rate Base</t>
  </si>
  <si>
    <t>Restated Op. rev for Return</t>
  </si>
  <si>
    <t>Restated Rate Base</t>
  </si>
  <si>
    <t>Tab 6</t>
  </si>
  <si>
    <t>Total Restating Adjustments</t>
  </si>
  <si>
    <t>Tab 3 - Revenue</t>
  </si>
  <si>
    <t>Tab 4 - Operations and Maintenance</t>
  </si>
  <si>
    <t>Tab 5 - Net Power Costs</t>
  </si>
  <si>
    <t>Tab 7 - Taxes</t>
  </si>
  <si>
    <t>Tab 8 - Rate Base</t>
  </si>
  <si>
    <t>Total Pro Forma Adjustments</t>
  </si>
  <si>
    <t>Total Adjustments</t>
  </si>
  <si>
    <t>Ref. Page 1.0</t>
  </si>
  <si>
    <t>Ref. Page 1.1</t>
  </si>
  <si>
    <t>5.4</t>
  </si>
  <si>
    <t>5.5</t>
  </si>
  <si>
    <t>4.8</t>
  </si>
  <si>
    <t>5.6</t>
  </si>
  <si>
    <t>5.3</t>
  </si>
  <si>
    <t>7.5</t>
  </si>
  <si>
    <t>7.6</t>
  </si>
  <si>
    <t>8.5.1</t>
  </si>
  <si>
    <t xml:space="preserve">Tab 6 </t>
  </si>
  <si>
    <t>5.2</t>
  </si>
  <si>
    <t>9.1.1</t>
  </si>
  <si>
    <t>PacifiCorp</t>
  </si>
  <si>
    <t>WA General Rate Case - December 2009</t>
  </si>
  <si>
    <t>Total Proforma Adjustments</t>
  </si>
  <si>
    <t>Estimated Price Change</t>
  </si>
  <si>
    <t>Math check</t>
  </si>
  <si>
    <t>Tab 9 - Prod. Factor</t>
  </si>
  <si>
    <t>Unadjusted Op. Rev for Return</t>
  </si>
  <si>
    <t>Tab 12 - Rebuttal Adjustments</t>
  </si>
  <si>
    <t>SERP Expense</t>
  </si>
  <si>
    <t>Advertising Expenses</t>
  </si>
  <si>
    <t>Tab 12 - Rebuttal</t>
  </si>
  <si>
    <t xml:space="preserve">SO2 Emission Allowance Revenues </t>
  </si>
  <si>
    <t>Affiliate Management Fee</t>
  </si>
  <si>
    <t>12.1</t>
  </si>
  <si>
    <t>12.3</t>
  </si>
  <si>
    <t>12.4</t>
  </si>
  <si>
    <t>12.5</t>
  </si>
  <si>
    <t>12.2</t>
  </si>
  <si>
    <t>12.6</t>
  </si>
  <si>
    <t>12.7</t>
  </si>
  <si>
    <t>Interest Sync Impact</t>
  </si>
  <si>
    <t>Cash Working Capital Impact</t>
  </si>
  <si>
    <t>Filed</t>
  </si>
  <si>
    <t>Green Tag Revenues</t>
  </si>
  <si>
    <t>Net Power Costs</t>
  </si>
  <si>
    <t>12.8</t>
  </si>
  <si>
    <t>Green Tag (REC) Revenues</t>
  </si>
  <si>
    <t>Replaced by Rebuttal Adj. 12.1</t>
  </si>
  <si>
    <t>Replaced by Rebuttal Adj. 12.5</t>
  </si>
  <si>
    <t>Replaced by Rebuttal Adj. 12.3</t>
  </si>
  <si>
    <t>Replaced by Rebuttal Adj. 12.9</t>
  </si>
  <si>
    <t>Replaced by Rebuttal Adj. 12.8</t>
  </si>
  <si>
    <t>Replaces
Adj 3.4</t>
  </si>
  <si>
    <t>Replaces
Adj 4.5</t>
  </si>
  <si>
    <t>Replaces
Adj 3.5</t>
  </si>
  <si>
    <t>Replaces
Adj 8.1</t>
  </si>
  <si>
    <t>Replaces
Adj 7.1</t>
  </si>
  <si>
    <t>12.9</t>
  </si>
  <si>
    <t>Net Power Costs - Proforma</t>
  </si>
  <si>
    <t>Cash Working Capital</t>
  </si>
  <si>
    <t>Interest True Up</t>
  </si>
  <si>
    <t xml:space="preserve">Production Factor Adjustment </t>
  </si>
  <si>
    <t xml:space="preserve">(Cont) Production Factor Adjustment </t>
  </si>
  <si>
    <t>SO2 Emission Allowances</t>
  </si>
  <si>
    <t>Replaces
Adj 5.2</t>
  </si>
  <si>
    <t>Replaces
Adj 9.1</t>
  </si>
  <si>
    <t>Replaces
Adj 9.1.1</t>
  </si>
  <si>
    <t>12.7.1</t>
  </si>
  <si>
    <t>Replaced by Rebuttal Adj. 12.6</t>
  </si>
  <si>
    <t>Replaced by Rebuttal Adj. 12.7</t>
  </si>
  <si>
    <t>Replaced by Rebuttal Adj. 12.7.1</t>
  </si>
  <si>
    <t>Summary of Total Adjustments - Rebuttal</t>
  </si>
  <si>
    <t>Summary of Restating Adjustments (Rebuttal)</t>
  </si>
  <si>
    <t>Summary of Proforma Adjustments (Rebuttal)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</si>
</sst>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</numFmts>
  <fonts count="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0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2" applyNumberFormat="1" applyFont="1" applyBorder="1"/>
    <xf numFmtId="0" fontId="3" fillId="0" borderId="8" xfId="0" applyFont="1" applyBorder="1"/>
    <xf numFmtId="0" fontId="3" fillId="0" borderId="2" xfId="0" applyFont="1" applyBorder="1"/>
    <xf numFmtId="165" fontId="3" fillId="0" borderId="9" xfId="2" applyNumberFormat="1" applyFont="1" applyBorder="1"/>
    <xf numFmtId="0" fontId="0" fillId="0" borderId="10" xfId="0" applyBorder="1"/>
    <xf numFmtId="0" fontId="3" fillId="0" borderId="11" xfId="0" applyFont="1" applyBorder="1"/>
    <xf numFmtId="0" fontId="3" fillId="0" borderId="12" xfId="0" applyFont="1" applyBorder="1"/>
    <xf numFmtId="165" fontId="3" fillId="0" borderId="11" xfId="2" applyNumberFormat="1" applyFont="1" applyBorder="1"/>
    <xf numFmtId="165" fontId="3" fillId="0" borderId="12" xfId="2" applyNumberFormat="1" applyFont="1" applyBorder="1"/>
    <xf numFmtId="0" fontId="3" fillId="0" borderId="13" xfId="0" applyFont="1" applyBorder="1" applyAlignment="1"/>
    <xf numFmtId="0" fontId="0" fillId="0" borderId="13" xfId="0" applyBorder="1"/>
    <xf numFmtId="164" fontId="3" fillId="0" borderId="14" xfId="1" applyNumberFormat="1" applyFont="1" applyBorder="1"/>
    <xf numFmtId="0" fontId="0" fillId="0" borderId="6" xfId="0" applyBorder="1"/>
    <xf numFmtId="164" fontId="3" fillId="0" borderId="7" xfId="1" applyNumberFormat="1" applyFont="1" applyBorder="1"/>
    <xf numFmtId="0" fontId="0" fillId="0" borderId="8" xfId="0" applyBorder="1"/>
    <xf numFmtId="0" fontId="0" fillId="0" borderId="9" xfId="0" applyBorder="1"/>
    <xf numFmtId="0" fontId="0" fillId="0" borderId="14" xfId="0" applyBorder="1"/>
    <xf numFmtId="0" fontId="0" fillId="0" borderId="7" xfId="0" applyBorder="1"/>
    <xf numFmtId="164" fontId="3" fillId="0" borderId="9" xfId="1" applyNumberFormat="1" applyFont="1" applyBorder="1"/>
    <xf numFmtId="0" fontId="3" fillId="0" borderId="15" xfId="0" applyFont="1" applyBorder="1"/>
    <xf numFmtId="166" fontId="3" fillId="0" borderId="16" xfId="2" applyNumberFormat="1" applyFont="1" applyBorder="1"/>
    <xf numFmtId="165" fontId="3" fillId="0" borderId="13" xfId="0" applyNumberFormat="1" applyFont="1" applyBorder="1"/>
    <xf numFmtId="0" fontId="4" fillId="0" borderId="29" xfId="0" applyFont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4" fillId="0" borderId="0" xfId="1" applyNumberFormat="1" applyFont="1" applyAlignment="1">
      <alignment horizontal="left"/>
    </xf>
    <xf numFmtId="164" fontId="1" fillId="0" borderId="0" xfId="1" applyNumberFormat="1" applyFont="1" applyFill="1" applyBorder="1"/>
    <xf numFmtId="164" fontId="1" fillId="0" borderId="0" xfId="1" applyNumberFormat="1" applyFont="1"/>
    <xf numFmtId="164" fontId="4" fillId="0" borderId="0" xfId="1" applyNumberFormat="1" applyFont="1" applyFill="1" applyBorder="1"/>
    <xf numFmtId="164" fontId="4" fillId="0" borderId="0" xfId="1" applyNumberFormat="1" applyFont="1"/>
    <xf numFmtId="164" fontId="4" fillId="0" borderId="0" xfId="1" applyNumberFormat="1" applyFont="1" applyFill="1" applyBorder="1" applyAlignment="1">
      <alignment horizontal="centerContinuous"/>
    </xf>
    <xf numFmtId="164" fontId="4" fillId="0" borderId="0" xfId="1" applyNumberFormat="1" applyFont="1" applyFill="1"/>
    <xf numFmtId="164" fontId="4" fillId="0" borderId="28" xfId="1" applyNumberFormat="1" applyFont="1" applyFill="1" applyBorder="1" applyAlignment="1">
      <alignment horizontal="centerContinuous"/>
    </xf>
    <xf numFmtId="164" fontId="4" fillId="0" borderId="29" xfId="1" applyNumberFormat="1" applyFont="1" applyFill="1" applyBorder="1" applyAlignment="1">
      <alignment horizontal="centerContinuous"/>
    </xf>
    <xf numFmtId="164" fontId="4" fillId="0" borderId="39" xfId="1" applyNumberFormat="1" applyFont="1" applyFill="1" applyBorder="1" applyAlignment="1">
      <alignment horizontal="centerContinuous"/>
    </xf>
    <xf numFmtId="164" fontId="4" fillId="0" borderId="30" xfId="1" applyNumberFormat="1" applyFont="1" applyFill="1" applyBorder="1" applyAlignment="1">
      <alignment horizontal="centerContinuous"/>
    </xf>
    <xf numFmtId="164" fontId="1" fillId="0" borderId="0" xfId="1" quotePrefix="1" applyNumberFormat="1" applyFont="1" applyBorder="1" applyAlignment="1" applyProtection="1">
      <alignment horizontal="center"/>
      <protection locked="0"/>
    </xf>
    <xf numFmtId="164" fontId="4" fillId="0" borderId="0" xfId="1" quotePrefix="1" applyNumberFormat="1" applyFont="1" applyAlignment="1">
      <alignment horizontal="center" vertical="center"/>
    </xf>
    <xf numFmtId="164" fontId="1" fillId="0" borderId="17" xfId="1" quotePrefix="1" applyNumberFormat="1" applyFont="1" applyBorder="1" applyAlignment="1" applyProtection="1">
      <alignment horizontal="center"/>
      <protection locked="0"/>
    </xf>
    <xf numFmtId="164" fontId="1" fillId="0" borderId="18" xfId="1" quotePrefix="1" applyNumberFormat="1" applyFont="1" applyBorder="1" applyAlignment="1" applyProtection="1">
      <alignment horizontal="center"/>
      <protection locked="0"/>
    </xf>
    <xf numFmtId="164" fontId="4" fillId="0" borderId="0" xfId="1" applyNumberFormat="1" applyFont="1" applyBorder="1" applyAlignment="1" applyProtection="1">
      <alignment horizontal="center" vertical="center" wrapText="1"/>
      <protection locked="0"/>
    </xf>
    <xf numFmtId="164" fontId="4" fillId="0" borderId="0" xfId="1" applyNumberFormat="1" applyFont="1" applyAlignment="1">
      <alignment horizontal="center" vertical="center" wrapText="1"/>
    </xf>
    <xf numFmtId="164" fontId="4" fillId="0" borderId="17" xfId="1" applyNumberFormat="1" applyFont="1" applyBorder="1" applyAlignment="1" applyProtection="1">
      <alignment horizontal="center" vertical="center" wrapText="1"/>
      <protection locked="0"/>
    </xf>
    <xf numFmtId="164" fontId="4" fillId="0" borderId="18" xfId="1" applyNumberFormat="1" applyFont="1" applyBorder="1" applyAlignment="1" applyProtection="1">
      <alignment horizontal="center" vertical="center" wrapText="1"/>
      <protection locked="0"/>
    </xf>
    <xf numFmtId="164" fontId="4" fillId="0" borderId="0" xfId="1" quotePrefix="1" applyNumberFormat="1" applyFont="1" applyBorder="1" applyAlignment="1" applyProtection="1">
      <alignment horizontal="center" vertical="center" wrapText="1"/>
      <protection locked="0"/>
    </xf>
    <xf numFmtId="164" fontId="1" fillId="0" borderId="0" xfId="1" applyNumberFormat="1" applyFont="1" applyBorder="1" applyProtection="1">
      <protection locked="0"/>
    </xf>
    <xf numFmtId="164" fontId="4" fillId="0" borderId="0" xfId="1" applyNumberFormat="1" applyFont="1" applyAlignment="1">
      <alignment horizontal="center" vertical="center"/>
    </xf>
    <xf numFmtId="164" fontId="1" fillId="0" borderId="17" xfId="1" applyNumberFormat="1" applyFont="1" applyBorder="1"/>
    <xf numFmtId="164" fontId="1" fillId="0" borderId="0" xfId="1" applyNumberFormat="1" applyFont="1" applyBorder="1" applyAlignment="1" applyProtection="1">
      <alignment horizontal="center"/>
      <protection locked="0"/>
    </xf>
    <xf numFmtId="164" fontId="1" fillId="0" borderId="17" xfId="1" applyNumberFormat="1" applyFont="1" applyBorder="1" applyProtection="1">
      <protection locked="0"/>
    </xf>
    <xf numFmtId="164" fontId="1" fillId="0" borderId="17" xfId="1" applyNumberFormat="1" applyFont="1" applyBorder="1" applyAlignment="1" applyProtection="1">
      <alignment horizontal="center"/>
      <protection locked="0"/>
    </xf>
    <xf numFmtId="164" fontId="1" fillId="0" borderId="18" xfId="1" applyNumberFormat="1" applyFont="1" applyBorder="1" applyProtection="1">
      <protection locked="0"/>
    </xf>
    <xf numFmtId="164" fontId="1" fillId="0" borderId="18" xfId="1" applyNumberFormat="1" applyFont="1" applyBorder="1" applyAlignment="1" applyProtection="1">
      <alignment horizontal="center"/>
      <protection locked="0"/>
    </xf>
    <xf numFmtId="164" fontId="4" fillId="0" borderId="0" xfId="1" applyNumberFormat="1" applyFont="1" applyAlignment="1">
      <alignment vertical="center"/>
    </xf>
    <xf numFmtId="164" fontId="1" fillId="0" borderId="0" xfId="1" quotePrefix="1" applyNumberFormat="1" applyFont="1" applyBorder="1" applyAlignment="1" applyProtection="1">
      <alignment horizontal="left"/>
      <protection locked="0"/>
    </xf>
    <xf numFmtId="164" fontId="1" fillId="0" borderId="0" xfId="1" applyNumberFormat="1" applyFont="1" applyAlignment="1">
      <alignment vertical="center"/>
    </xf>
    <xf numFmtId="164" fontId="1" fillId="0" borderId="17" xfId="1" applyNumberFormat="1" applyFont="1" applyBorder="1" applyAlignment="1" applyProtection="1">
      <alignment horizontal="left"/>
      <protection locked="0"/>
    </xf>
    <xf numFmtId="164" fontId="1" fillId="0" borderId="17" xfId="1" quotePrefix="1" applyNumberFormat="1" applyFont="1" applyBorder="1" applyAlignment="1" applyProtection="1">
      <alignment horizontal="left"/>
      <protection locked="0"/>
    </xf>
    <xf numFmtId="164" fontId="1" fillId="0" borderId="0" xfId="1" applyNumberFormat="1" applyFont="1" applyBorder="1" applyAlignment="1" applyProtection="1">
      <alignment horizontal="left"/>
      <protection locked="0"/>
    </xf>
    <xf numFmtId="164" fontId="1" fillId="0" borderId="18" xfId="1" applyNumberFormat="1" applyFont="1" applyBorder="1" applyAlignment="1" applyProtection="1">
      <alignment horizontal="left"/>
      <protection locked="0"/>
    </xf>
    <xf numFmtId="164" fontId="1" fillId="0" borderId="18" xfId="1" quotePrefix="1" applyNumberFormat="1" applyFont="1" applyBorder="1" applyAlignment="1" applyProtection="1">
      <alignment horizontal="left"/>
      <protection locked="0"/>
    </xf>
    <xf numFmtId="164" fontId="1" fillId="0" borderId="1" xfId="1" applyNumberFormat="1" applyFont="1" applyBorder="1" applyProtection="1">
      <protection locked="0"/>
    </xf>
    <xf numFmtId="164" fontId="1" fillId="0" borderId="1" xfId="1" applyNumberFormat="1" applyFont="1" applyBorder="1" applyAlignment="1">
      <alignment vertical="center"/>
    </xf>
    <xf numFmtId="164" fontId="1" fillId="0" borderId="19" xfId="1" applyNumberFormat="1" applyFont="1" applyBorder="1" applyProtection="1">
      <protection locked="0"/>
    </xf>
    <xf numFmtId="164" fontId="1" fillId="0" borderId="20" xfId="1" applyNumberFormat="1" applyFont="1" applyBorder="1" applyProtection="1">
      <protection locked="0"/>
    </xf>
    <xf numFmtId="164" fontId="1" fillId="0" borderId="2" xfId="1" applyNumberFormat="1" applyFont="1" applyBorder="1" applyAlignment="1" applyProtection="1">
      <alignment horizontal="left"/>
      <protection locked="0"/>
    </xf>
    <xf numFmtId="164" fontId="1" fillId="0" borderId="2" xfId="1" applyNumberFormat="1" applyFont="1" applyBorder="1" applyAlignment="1">
      <alignment vertical="center"/>
    </xf>
    <xf numFmtId="164" fontId="1" fillId="0" borderId="21" xfId="1" applyNumberFormat="1" applyFont="1" applyBorder="1" applyAlignment="1" applyProtection="1">
      <alignment horizontal="left"/>
      <protection locked="0"/>
    </xf>
    <xf numFmtId="164" fontId="1" fillId="0" borderId="2" xfId="1" quotePrefix="1" applyNumberFormat="1" applyFont="1" applyBorder="1" applyAlignment="1" applyProtection="1">
      <alignment horizontal="left"/>
      <protection locked="0"/>
    </xf>
    <xf numFmtId="164" fontId="1" fillId="0" borderId="22" xfId="1" applyNumberFormat="1" applyFont="1" applyBorder="1" applyAlignment="1" applyProtection="1">
      <alignment horizontal="left"/>
      <protection locked="0"/>
    </xf>
    <xf numFmtId="164" fontId="1" fillId="0" borderId="2" xfId="1" applyNumberFormat="1" applyFont="1" applyBorder="1" applyProtection="1">
      <protection locked="0"/>
    </xf>
    <xf numFmtId="164" fontId="1" fillId="0" borderId="0" xfId="1" applyNumberFormat="1" applyFont="1" applyBorder="1" applyAlignment="1">
      <alignment vertical="center"/>
    </xf>
    <xf numFmtId="164" fontId="1" fillId="0" borderId="3" xfId="1" applyNumberFormat="1" applyFont="1" applyBorder="1" applyAlignment="1"/>
    <xf numFmtId="164" fontId="1" fillId="0" borderId="23" xfId="1" applyNumberFormat="1" applyFont="1" applyBorder="1" applyAlignment="1"/>
    <xf numFmtId="164" fontId="1" fillId="0" borderId="24" xfId="1" applyNumberFormat="1" applyFont="1" applyBorder="1" applyAlignment="1"/>
    <xf numFmtId="164" fontId="1" fillId="0" borderId="1" xfId="1" quotePrefix="1" applyNumberFormat="1" applyFont="1" applyBorder="1" applyAlignment="1" applyProtection="1">
      <alignment horizontal="left"/>
      <protection locked="0"/>
    </xf>
    <xf numFmtId="164" fontId="1" fillId="0" borderId="19" xfId="1" quotePrefix="1" applyNumberFormat="1" applyFont="1" applyBorder="1" applyAlignment="1" applyProtection="1">
      <alignment horizontal="left"/>
      <protection locked="0"/>
    </xf>
    <xf numFmtId="164" fontId="1" fillId="0" borderId="20" xfId="1" quotePrefix="1" applyNumberFormat="1" applyFont="1" applyBorder="1" applyAlignment="1" applyProtection="1">
      <alignment horizontal="left"/>
      <protection locked="0"/>
    </xf>
    <xf numFmtId="164" fontId="1" fillId="0" borderId="3" xfId="1" applyNumberFormat="1" applyFont="1" applyBorder="1" applyAlignment="1">
      <alignment vertical="center"/>
    </xf>
    <xf numFmtId="164" fontId="1" fillId="0" borderId="23" xfId="1" applyNumberFormat="1" applyFont="1" applyBorder="1" applyAlignment="1">
      <alignment vertical="center"/>
    </xf>
    <xf numFmtId="164" fontId="1" fillId="0" borderId="24" xfId="1" applyNumberFormat="1" applyFont="1" applyBorder="1" applyAlignment="1">
      <alignment vertical="center"/>
    </xf>
    <xf numFmtId="164" fontId="1" fillId="0" borderId="17" xfId="1" applyNumberFormat="1" applyFont="1" applyBorder="1" applyAlignment="1">
      <alignment vertical="center"/>
    </xf>
    <xf numFmtId="164" fontId="1" fillId="0" borderId="18" xfId="1" applyNumberFormat="1" applyFont="1" applyBorder="1" applyAlignment="1">
      <alignment vertical="center"/>
    </xf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17" xfId="0" applyNumberFormat="1" applyFont="1" applyBorder="1"/>
    <xf numFmtId="164" fontId="1" fillId="0" borderId="18" xfId="0" applyNumberFormat="1" applyFont="1" applyBorder="1"/>
    <xf numFmtId="164" fontId="1" fillId="0" borderId="0" xfId="1" applyNumberFormat="1" applyFont="1" applyBorder="1"/>
    <xf numFmtId="164" fontId="1" fillId="0" borderId="21" xfId="1" quotePrefix="1" applyNumberFormat="1" applyFont="1" applyBorder="1" applyAlignment="1" applyProtection="1">
      <alignment horizontal="left"/>
      <protection locked="0"/>
    </xf>
    <xf numFmtId="164" fontId="1" fillId="0" borderId="22" xfId="1" applyNumberFormat="1" applyFont="1" applyBorder="1" applyProtection="1">
      <protection locked="0"/>
    </xf>
    <xf numFmtId="164" fontId="1" fillId="0" borderId="5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1" fillId="0" borderId="26" xfId="1" applyNumberFormat="1" applyFont="1" applyBorder="1"/>
    <xf numFmtId="164" fontId="1" fillId="0" borderId="27" xfId="1" applyNumberFormat="1" applyFont="1" applyBorder="1"/>
    <xf numFmtId="164" fontId="1" fillId="0" borderId="0" xfId="1" applyNumberFormat="1" applyFont="1" applyFill="1" applyBorder="1" applyProtection="1">
      <protection locked="0"/>
    </xf>
    <xf numFmtId="164" fontId="1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/>
    <xf numFmtId="164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1" fillId="0" borderId="0" xfId="2" applyNumberFormat="1" applyFont="1" applyFill="1" applyBorder="1" applyAlignment="1">
      <alignment vertical="center"/>
    </xf>
    <xf numFmtId="164" fontId="1" fillId="0" borderId="0" xfId="1" applyNumberFormat="1" applyFont="1" applyFill="1" applyAlignment="1">
      <alignment vertical="center"/>
    </xf>
    <xf numFmtId="164" fontId="1" fillId="0" borderId="17" xfId="1" applyNumberFormat="1" applyFont="1" applyFill="1" applyBorder="1" applyAlignment="1">
      <alignment vertical="center"/>
    </xf>
    <xf numFmtId="164" fontId="1" fillId="0" borderId="18" xfId="1" applyNumberFormat="1" applyFont="1" applyFill="1" applyBorder="1" applyAlignment="1">
      <alignment vertical="center"/>
    </xf>
    <xf numFmtId="165" fontId="1" fillId="0" borderId="17" xfId="2" applyNumberFormat="1" applyFont="1" applyFill="1" applyBorder="1" applyAlignment="1">
      <alignment vertical="center"/>
    </xf>
    <xf numFmtId="165" fontId="1" fillId="0" borderId="18" xfId="2" applyNumberFormat="1" applyFont="1" applyFill="1" applyBorder="1" applyAlignment="1">
      <alignment vertical="center"/>
    </xf>
    <xf numFmtId="164" fontId="1" fillId="0" borderId="22" xfId="1" quotePrefix="1" applyNumberFormat="1" applyFont="1" applyBorder="1" applyAlignment="1" applyProtection="1">
      <alignment horizontal="left"/>
      <protection locked="0"/>
    </xf>
    <xf numFmtId="164" fontId="1" fillId="0" borderId="31" xfId="1" quotePrefix="1" applyNumberFormat="1" applyFont="1" applyBorder="1" applyAlignment="1" applyProtection="1">
      <alignment horizontal="center"/>
      <protection locked="0"/>
    </xf>
    <xf numFmtId="164" fontId="4" fillId="0" borderId="31" xfId="1" applyNumberFormat="1" applyFont="1" applyBorder="1" applyAlignment="1" applyProtection="1">
      <alignment horizontal="center" vertical="center" wrapText="1"/>
      <protection locked="0"/>
    </xf>
    <xf numFmtId="164" fontId="1" fillId="0" borderId="31" xfId="1" applyNumberFormat="1" applyFont="1" applyBorder="1" applyProtection="1">
      <protection locked="0"/>
    </xf>
    <xf numFmtId="164" fontId="1" fillId="0" borderId="31" xfId="1" applyNumberFormat="1" applyFont="1" applyBorder="1" applyAlignment="1" applyProtection="1">
      <alignment horizontal="left"/>
      <protection locked="0"/>
    </xf>
    <xf numFmtId="164" fontId="1" fillId="0" borderId="32" xfId="1" applyNumberFormat="1" applyFont="1" applyBorder="1" applyProtection="1">
      <protection locked="0"/>
    </xf>
    <xf numFmtId="164" fontId="1" fillId="0" borderId="33" xfId="1" applyNumberFormat="1" applyFont="1" applyBorder="1" applyAlignment="1" applyProtection="1">
      <alignment horizontal="left"/>
      <protection locked="0"/>
    </xf>
    <xf numFmtId="164" fontId="1" fillId="0" borderId="31" xfId="1" quotePrefix="1" applyNumberFormat="1" applyFont="1" applyBorder="1" applyAlignment="1" applyProtection="1">
      <alignment horizontal="left"/>
      <protection locked="0"/>
    </xf>
    <xf numFmtId="164" fontId="1" fillId="0" borderId="34" xfId="1" applyNumberFormat="1" applyFont="1" applyBorder="1" applyAlignment="1"/>
    <xf numFmtId="164" fontId="1" fillId="0" borderId="32" xfId="1" quotePrefix="1" applyNumberFormat="1" applyFont="1" applyBorder="1" applyAlignment="1" applyProtection="1">
      <alignment horizontal="left"/>
      <protection locked="0"/>
    </xf>
    <xf numFmtId="164" fontId="1" fillId="0" borderId="34" xfId="1" applyNumberFormat="1" applyFont="1" applyBorder="1" applyAlignment="1">
      <alignment vertical="center"/>
    </xf>
    <xf numFmtId="165" fontId="1" fillId="0" borderId="31" xfId="2" applyNumberFormat="1" applyFont="1" applyFill="1" applyBorder="1" applyAlignment="1">
      <alignment vertical="center"/>
    </xf>
    <xf numFmtId="164" fontId="1" fillId="0" borderId="31" xfId="1" applyNumberFormat="1" applyFont="1" applyFill="1" applyBorder="1" applyAlignment="1">
      <alignment vertical="center"/>
    </xf>
    <xf numFmtId="164" fontId="1" fillId="0" borderId="33" xfId="1" applyNumberFormat="1" applyFont="1" applyBorder="1" applyProtection="1">
      <protection locked="0"/>
    </xf>
    <xf numFmtId="164" fontId="1" fillId="0" borderId="31" xfId="1" applyNumberFormat="1" applyFont="1" applyBorder="1" applyAlignment="1">
      <alignment vertical="center"/>
    </xf>
    <xf numFmtId="0" fontId="1" fillId="0" borderId="0" xfId="0" applyFont="1"/>
    <xf numFmtId="164" fontId="1" fillId="0" borderId="6" xfId="1" applyNumberFormat="1" applyFont="1" applyBorder="1" applyAlignment="1">
      <alignment vertical="center"/>
    </xf>
    <xf numFmtId="164" fontId="1" fillId="0" borderId="40" xfId="1" applyNumberFormat="1" applyFont="1" applyBorder="1" applyAlignment="1">
      <alignment vertical="center"/>
    </xf>
    <xf numFmtId="164" fontId="1" fillId="0" borderId="15" xfId="1" applyNumberFormat="1" applyFont="1" applyBorder="1" applyAlignment="1">
      <alignment vertical="center"/>
    </xf>
    <xf numFmtId="0" fontId="1" fillId="0" borderId="0" xfId="0" applyFont="1" applyBorder="1"/>
    <xf numFmtId="164" fontId="1" fillId="0" borderId="0" xfId="1" applyNumberFormat="1" applyFont="1" applyBorder="1" applyAlignment="1">
      <alignment horizontal="centerContinuous"/>
    </xf>
    <xf numFmtId="164" fontId="4" fillId="0" borderId="28" xfId="1" applyNumberFormat="1" applyFont="1" applyBorder="1" applyAlignment="1">
      <alignment horizontal="centerContinuous"/>
    </xf>
    <xf numFmtId="164" fontId="4" fillId="0" borderId="29" xfId="1" applyNumberFormat="1" applyFont="1" applyBorder="1" applyAlignment="1">
      <alignment horizontal="centerContinuous"/>
    </xf>
    <xf numFmtId="164" fontId="1" fillId="0" borderId="29" xfId="1" applyNumberFormat="1" applyFont="1" applyBorder="1" applyAlignment="1">
      <alignment horizontal="centerContinuous"/>
    </xf>
    <xf numFmtId="164" fontId="1" fillId="0" borderId="30" xfId="1" applyNumberFormat="1" applyFont="1" applyBorder="1" applyAlignment="1">
      <alignment horizontal="centerContinuous"/>
    </xf>
    <xf numFmtId="164" fontId="4" fillId="0" borderId="30" xfId="1" applyNumberFormat="1" applyFont="1" applyBorder="1" applyAlignment="1">
      <alignment horizontal="centerContinuous"/>
    </xf>
    <xf numFmtId="164" fontId="4" fillId="0" borderId="39" xfId="1" applyNumberFormat="1" applyFont="1" applyBorder="1" applyAlignment="1">
      <alignment horizontal="center"/>
    </xf>
    <xf numFmtId="164" fontId="4" fillId="0" borderId="0" xfId="1" applyNumberFormat="1" applyFont="1" applyBorder="1" applyAlignment="1" applyProtection="1">
      <alignment horizontal="center" wrapText="1"/>
      <protection locked="0"/>
    </xf>
    <xf numFmtId="164" fontId="4" fillId="0" borderId="17" xfId="1" applyNumberFormat="1" applyFont="1" applyBorder="1" applyAlignment="1" applyProtection="1">
      <alignment horizontal="center" wrapText="1"/>
      <protection locked="0"/>
    </xf>
    <xf numFmtId="164" fontId="4" fillId="0" borderId="18" xfId="1" applyNumberFormat="1" applyFont="1" applyBorder="1" applyAlignment="1" applyProtection="1">
      <alignment horizontal="center" wrapText="1"/>
      <protection locked="0"/>
    </xf>
    <xf numFmtId="164" fontId="4" fillId="0" borderId="31" xfId="1" applyNumberFormat="1" applyFont="1" applyBorder="1" applyAlignment="1" applyProtection="1">
      <alignment horizontal="center" wrapText="1"/>
      <protection locked="0"/>
    </xf>
    <xf numFmtId="164" fontId="4" fillId="0" borderId="0" xfId="1" quotePrefix="1" applyNumberFormat="1" applyFont="1" applyBorder="1" applyAlignment="1" applyProtection="1">
      <alignment horizontal="center" wrapText="1"/>
      <protection locked="0"/>
    </xf>
    <xf numFmtId="164" fontId="4" fillId="0" borderId="1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4" fillId="0" borderId="3" xfId="1" applyNumberFormat="1" applyFont="1" applyBorder="1" applyAlignment="1"/>
    <xf numFmtId="164" fontId="1" fillId="0" borderId="3" xfId="1" applyNumberFormat="1" applyFont="1" applyBorder="1" applyProtection="1">
      <protection locked="0"/>
    </xf>
    <xf numFmtId="164" fontId="4" fillId="0" borderId="3" xfId="1" applyNumberFormat="1" applyFont="1" applyBorder="1" applyAlignment="1">
      <alignment vertical="center"/>
    </xf>
    <xf numFmtId="164" fontId="1" fillId="0" borderId="23" xfId="1" applyNumberFormat="1" applyFont="1" applyBorder="1" applyProtection="1">
      <protection locked="0"/>
    </xf>
    <xf numFmtId="164" fontId="1" fillId="0" borderId="24" xfId="1" applyNumberFormat="1" applyFont="1" applyBorder="1" applyProtection="1">
      <protection locked="0"/>
    </xf>
    <xf numFmtId="164" fontId="1" fillId="0" borderId="34" xfId="1" applyNumberFormat="1" applyFont="1" applyBorder="1" applyProtection="1">
      <protection locked="0"/>
    </xf>
    <xf numFmtId="165" fontId="4" fillId="0" borderId="0" xfId="2" applyNumberFormat="1" applyFont="1" applyAlignment="1">
      <alignment vertical="center"/>
    </xf>
    <xf numFmtId="165" fontId="1" fillId="0" borderId="0" xfId="2" applyNumberFormat="1" applyFont="1" applyAlignment="1">
      <alignment vertical="center"/>
    </xf>
    <xf numFmtId="165" fontId="1" fillId="0" borderId="17" xfId="2" applyNumberFormat="1" applyFont="1" applyBorder="1" applyAlignment="1">
      <alignment vertical="center"/>
    </xf>
    <xf numFmtId="165" fontId="1" fillId="0" borderId="0" xfId="2" applyNumberFormat="1" applyFont="1" applyBorder="1" applyAlignment="1">
      <alignment vertical="center"/>
    </xf>
    <xf numFmtId="165" fontId="1" fillId="0" borderId="18" xfId="2" applyNumberFormat="1" applyFont="1" applyBorder="1" applyAlignment="1">
      <alignment vertical="center"/>
    </xf>
    <xf numFmtId="165" fontId="1" fillId="0" borderId="31" xfId="2" applyNumberFormat="1" applyFont="1" applyBorder="1" applyAlignment="1">
      <alignment vertical="center"/>
    </xf>
    <xf numFmtId="164" fontId="4" fillId="0" borderId="0" xfId="0" applyNumberFormat="1" applyFont="1"/>
    <xf numFmtId="164" fontId="4" fillId="0" borderId="0" xfId="1" applyNumberFormat="1" applyFont="1" applyBorder="1"/>
    <xf numFmtId="164" fontId="1" fillId="0" borderId="4" xfId="1" applyNumberFormat="1" applyFont="1" applyBorder="1" applyProtection="1">
      <protection locked="0"/>
    </xf>
    <xf numFmtId="164" fontId="1" fillId="0" borderId="37" xfId="1" applyNumberFormat="1" applyFont="1" applyBorder="1" applyProtection="1">
      <protection locked="0"/>
    </xf>
    <xf numFmtId="164" fontId="1" fillId="0" borderId="38" xfId="1" applyNumberFormat="1" applyFont="1" applyBorder="1" applyProtection="1">
      <protection locked="0"/>
    </xf>
    <xf numFmtId="164" fontId="1" fillId="0" borderId="35" xfId="1" applyNumberFormat="1" applyFont="1" applyBorder="1" applyProtection="1">
      <protection locked="0"/>
    </xf>
    <xf numFmtId="164" fontId="4" fillId="0" borderId="0" xfId="1" quotePrefix="1" applyNumberFormat="1" applyFont="1" applyBorder="1" applyAlignment="1">
      <alignment horizontal="left" vertical="center"/>
    </xf>
    <xf numFmtId="165" fontId="1" fillId="0" borderId="6" xfId="2" applyNumberFormat="1" applyFont="1" applyBorder="1" applyAlignment="1">
      <alignment vertical="center"/>
    </xf>
    <xf numFmtId="164" fontId="1" fillId="0" borderId="18" xfId="1" applyNumberFormat="1" applyFont="1" applyBorder="1"/>
    <xf numFmtId="164" fontId="4" fillId="0" borderId="0" xfId="1" applyNumberFormat="1" applyFont="1" applyBorder="1" applyAlignment="1">
      <alignment horizontal="left"/>
    </xf>
    <xf numFmtId="9" fontId="1" fillId="0" borderId="0" xfId="2" applyNumberFormat="1" applyFont="1" applyAlignment="1">
      <alignment vertical="center"/>
    </xf>
    <xf numFmtId="164" fontId="1" fillId="0" borderId="25" xfId="1" applyNumberFormat="1" applyFont="1" applyBorder="1" applyProtection="1">
      <protection locked="0"/>
    </xf>
    <xf numFmtId="164" fontId="1" fillId="0" borderId="26" xfId="1" applyNumberFormat="1" applyFont="1" applyBorder="1" applyProtection="1">
      <protection locked="0"/>
    </xf>
    <xf numFmtId="164" fontId="1" fillId="0" borderId="27" xfId="1" applyNumberFormat="1" applyFont="1" applyBorder="1" applyProtection="1">
      <protection locked="0"/>
    </xf>
    <xf numFmtId="164" fontId="1" fillId="0" borderId="36" xfId="1" applyNumberFormat="1" applyFont="1" applyBorder="1" applyProtection="1">
      <protection locked="0"/>
    </xf>
    <xf numFmtId="10" fontId="1" fillId="0" borderId="0" xfId="2" applyNumberFormat="1" applyFont="1" applyBorder="1" applyAlignment="1">
      <alignment vertical="center"/>
    </xf>
    <xf numFmtId="10" fontId="1" fillId="0" borderId="6" xfId="2" applyNumberFormat="1" applyFont="1" applyBorder="1" applyAlignment="1">
      <alignment vertical="center"/>
    </xf>
    <xf numFmtId="10" fontId="1" fillId="0" borderId="0" xfId="2" applyNumberFormat="1" applyFont="1" applyFill="1" applyBorder="1" applyAlignment="1">
      <alignment vertical="center"/>
    </xf>
    <xf numFmtId="10" fontId="1" fillId="0" borderId="0" xfId="2" applyNumberFormat="1" applyFont="1" applyAlignment="1">
      <alignment vertical="center"/>
    </xf>
    <xf numFmtId="10" fontId="1" fillId="0" borderId="17" xfId="2" applyNumberFormat="1" applyFont="1" applyFill="1" applyBorder="1" applyAlignment="1">
      <alignment vertical="center"/>
    </xf>
    <xf numFmtId="10" fontId="1" fillId="0" borderId="18" xfId="2" applyNumberFormat="1" applyFont="1" applyFill="1" applyBorder="1" applyAlignment="1">
      <alignment vertical="center"/>
    </xf>
    <xf numFmtId="10" fontId="1" fillId="0" borderId="31" xfId="2" applyNumberFormat="1" applyFont="1" applyFill="1" applyBorder="1" applyAlignment="1">
      <alignment vertical="center"/>
    </xf>
    <xf numFmtId="10" fontId="4" fillId="0" borderId="0" xfId="2" applyNumberFormat="1" applyFont="1" applyAlignment="1">
      <alignment vertical="center"/>
    </xf>
    <xf numFmtId="10" fontId="1" fillId="0" borderId="17" xfId="2" applyNumberFormat="1" applyFont="1" applyBorder="1" applyAlignment="1">
      <alignment vertical="center"/>
    </xf>
    <xf numFmtId="10" fontId="1" fillId="0" borderId="18" xfId="2" applyNumberFormat="1" applyFont="1" applyBorder="1" applyAlignment="1">
      <alignment vertical="center"/>
    </xf>
    <xf numFmtId="10" fontId="1" fillId="0" borderId="31" xfId="2" applyNumberFormat="1" applyFont="1" applyBorder="1" applyAlignment="1">
      <alignment vertical="center"/>
    </xf>
    <xf numFmtId="164" fontId="1" fillId="0" borderId="8" xfId="1" applyNumberFormat="1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30" xfId="0" applyFont="1" applyBorder="1" applyAlignment="1">
      <alignment horizontal="center" vertical="center" wrapText="1"/>
    </xf>
    <xf numFmtId="164" fontId="1" fillId="0" borderId="42" xfId="1" applyNumberFormat="1" applyFont="1" applyBorder="1" applyAlignment="1">
      <alignment vertical="center"/>
    </xf>
    <xf numFmtId="164" fontId="1" fillId="0" borderId="43" xfId="1" applyNumberFormat="1" applyFont="1" applyBorder="1" applyAlignment="1">
      <alignment vertical="center"/>
    </xf>
    <xf numFmtId="164" fontId="1" fillId="0" borderId="19" xfId="1" applyNumberFormat="1" applyFont="1" applyBorder="1" applyAlignment="1">
      <alignment vertical="center"/>
    </xf>
    <xf numFmtId="164" fontId="1" fillId="0" borderId="20" xfId="1" applyNumberFormat="1" applyFont="1" applyBorder="1" applyAlignment="1">
      <alignment vertical="center"/>
    </xf>
    <xf numFmtId="164" fontId="1" fillId="0" borderId="21" xfId="1" applyNumberFormat="1" applyFont="1" applyBorder="1" applyAlignment="1">
      <alignment vertical="center"/>
    </xf>
    <xf numFmtId="164" fontId="1" fillId="0" borderId="22" xfId="1" applyNumberFormat="1" applyFont="1" applyBorder="1" applyAlignment="1">
      <alignment vertical="center"/>
    </xf>
    <xf numFmtId="164" fontId="1" fillId="0" borderId="25" xfId="1" applyNumberFormat="1" applyFont="1" applyBorder="1" applyAlignment="1">
      <alignment vertical="center"/>
    </xf>
    <xf numFmtId="164" fontId="1" fillId="0" borderId="26" xfId="1" applyNumberFormat="1" applyFont="1" applyBorder="1" applyAlignment="1">
      <alignment vertical="center"/>
    </xf>
    <xf numFmtId="164" fontId="1" fillId="0" borderId="44" xfId="1" applyNumberFormat="1" applyFont="1" applyBorder="1" applyAlignment="1">
      <alignment vertical="center"/>
    </xf>
    <xf numFmtId="164" fontId="1" fillId="0" borderId="27" xfId="1" applyNumberFormat="1" applyFont="1" applyBorder="1" applyAlignment="1">
      <alignment vertical="center"/>
    </xf>
    <xf numFmtId="164" fontId="1" fillId="0" borderId="45" xfId="1" quotePrefix="1" applyNumberFormat="1" applyFont="1" applyBorder="1" applyAlignment="1" applyProtection="1">
      <alignment horizontal="center"/>
      <protection locked="0"/>
    </xf>
    <xf numFmtId="164" fontId="1" fillId="0" borderId="46" xfId="1" quotePrefix="1" applyNumberFormat="1" applyFont="1" applyBorder="1" applyAlignment="1" applyProtection="1">
      <alignment horizontal="center"/>
      <protection locked="0"/>
    </xf>
    <xf numFmtId="164" fontId="1" fillId="0" borderId="47" xfId="1" quotePrefix="1" applyNumberFormat="1" applyFont="1" applyBorder="1" applyAlignment="1" applyProtection="1">
      <alignment horizontal="center"/>
      <protection locked="0"/>
    </xf>
    <xf numFmtId="164" fontId="4" fillId="0" borderId="30" xfId="1" applyNumberFormat="1" applyFont="1" applyBorder="1"/>
    <xf numFmtId="164" fontId="1" fillId="2" borderId="0" xfId="1" quotePrefix="1" applyNumberFormat="1" applyFont="1" applyFill="1" applyBorder="1" applyAlignment="1" applyProtection="1">
      <alignment horizontal="center"/>
      <protection locked="0"/>
    </xf>
    <xf numFmtId="164" fontId="4" fillId="2" borderId="0" xfId="1" applyNumberFormat="1" applyFont="1" applyFill="1" applyBorder="1" applyAlignment="1" applyProtection="1">
      <alignment horizontal="center" vertical="center" wrapText="1"/>
      <protection locked="0"/>
    </xf>
    <xf numFmtId="164" fontId="1" fillId="2" borderId="0" xfId="1" applyNumberFormat="1" applyFont="1" applyFill="1" applyBorder="1" applyProtection="1">
      <protection locked="0"/>
    </xf>
    <xf numFmtId="164" fontId="1" fillId="2" borderId="0" xfId="1" quotePrefix="1" applyNumberFormat="1" applyFont="1" applyFill="1" applyBorder="1" applyAlignment="1" applyProtection="1">
      <alignment horizontal="left"/>
      <protection locked="0"/>
    </xf>
    <xf numFmtId="164" fontId="1" fillId="2" borderId="0" xfId="1" applyNumberFormat="1" applyFont="1" applyFill="1" applyBorder="1" applyAlignment="1" applyProtection="1">
      <alignment horizontal="left"/>
      <protection locked="0"/>
    </xf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Alignment="1" applyProtection="1">
      <alignment horizontal="left"/>
      <protection locked="0"/>
    </xf>
    <xf numFmtId="164" fontId="1" fillId="2" borderId="3" xfId="1" applyNumberFormat="1" applyFont="1" applyFill="1" applyBorder="1" applyAlignment="1"/>
    <xf numFmtId="164" fontId="1" fillId="2" borderId="1" xfId="1" quotePrefix="1" applyNumberFormat="1" applyFont="1" applyFill="1" applyBorder="1" applyAlignment="1" applyProtection="1">
      <alignment horizontal="left"/>
      <protection locked="0"/>
    </xf>
    <xf numFmtId="164" fontId="1" fillId="2" borderId="3" xfId="1" applyNumberFormat="1" applyFont="1" applyFill="1" applyBorder="1" applyAlignment="1">
      <alignment vertical="center"/>
    </xf>
    <xf numFmtId="10" fontId="1" fillId="2" borderId="0" xfId="2" applyNumberFormat="1" applyFont="1" applyFill="1" applyBorder="1" applyAlignment="1">
      <alignment vertical="center"/>
    </xf>
    <xf numFmtId="164" fontId="1" fillId="2" borderId="0" xfId="0" applyNumberFormat="1" applyFont="1" applyFill="1" applyBorder="1"/>
    <xf numFmtId="165" fontId="1" fillId="2" borderId="0" xfId="2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center"/>
    </xf>
    <xf numFmtId="164" fontId="1" fillId="2" borderId="2" xfId="1" applyNumberFormat="1" applyFont="1" applyFill="1" applyBorder="1" applyProtection="1">
      <protection locked="0"/>
    </xf>
    <xf numFmtId="164" fontId="1" fillId="2" borderId="26" xfId="1" applyNumberFormat="1" applyFont="1" applyFill="1" applyBorder="1" applyProtection="1">
      <protection locked="0"/>
    </xf>
    <xf numFmtId="164" fontId="1" fillId="2" borderId="0" xfId="1" applyNumberFormat="1" applyFont="1" applyFill="1" applyBorder="1" applyAlignment="1" applyProtection="1">
      <alignment horizontal="center"/>
      <protection locked="0"/>
    </xf>
    <xf numFmtId="164" fontId="1" fillId="2" borderId="2" xfId="1" quotePrefix="1" applyNumberFormat="1" applyFont="1" applyFill="1" applyBorder="1" applyAlignment="1" applyProtection="1">
      <alignment horizontal="left"/>
      <protection locked="0"/>
    </xf>
    <xf numFmtId="164" fontId="6" fillId="0" borderId="0" xfId="1" applyNumberFormat="1" applyFont="1" applyFill="1" applyBorder="1" applyAlignment="1">
      <alignment horizontal="center" wrapText="1"/>
    </xf>
    <xf numFmtId="164" fontId="1" fillId="2" borderId="46" xfId="1" quotePrefix="1" applyNumberFormat="1" applyFont="1" applyFill="1" applyBorder="1" applyAlignment="1" applyProtection="1">
      <alignment horizontal="center"/>
      <protection locked="0"/>
    </xf>
    <xf numFmtId="164" fontId="1" fillId="2" borderId="17" xfId="1" quotePrefix="1" applyNumberFormat="1" applyFont="1" applyFill="1" applyBorder="1" applyAlignment="1" applyProtection="1">
      <alignment horizontal="center"/>
      <protection locked="0"/>
    </xf>
    <xf numFmtId="164" fontId="4" fillId="2" borderId="17" xfId="1" quotePrefix="1" applyNumberFormat="1" applyFont="1" applyFill="1" applyBorder="1" applyAlignment="1" applyProtection="1">
      <alignment horizontal="center" vertical="center" wrapText="1"/>
      <protection locked="0"/>
    </xf>
    <xf numFmtId="164" fontId="1" fillId="2" borderId="17" xfId="1" applyNumberFormat="1" applyFont="1" applyFill="1" applyBorder="1" applyAlignment="1" applyProtection="1">
      <alignment horizontal="center"/>
      <protection locked="0"/>
    </xf>
    <xf numFmtId="164" fontId="1" fillId="2" borderId="17" xfId="1" applyNumberFormat="1" applyFont="1" applyFill="1" applyBorder="1" applyProtection="1">
      <protection locked="0"/>
    </xf>
    <xf numFmtId="164" fontId="1" fillId="2" borderId="17" xfId="1" applyNumberFormat="1" applyFont="1" applyFill="1" applyBorder="1" applyAlignment="1" applyProtection="1">
      <alignment horizontal="left"/>
      <protection locked="0"/>
    </xf>
    <xf numFmtId="164" fontId="1" fillId="2" borderId="19" xfId="1" applyNumberFormat="1" applyFont="1" applyFill="1" applyBorder="1" applyProtection="1">
      <protection locked="0"/>
    </xf>
    <xf numFmtId="164" fontId="1" fillId="2" borderId="17" xfId="1" quotePrefix="1" applyNumberFormat="1" applyFont="1" applyFill="1" applyBorder="1" applyAlignment="1" applyProtection="1">
      <alignment horizontal="left"/>
      <protection locked="0"/>
    </xf>
    <xf numFmtId="164" fontId="1" fillId="2" borderId="21" xfId="1" applyNumberFormat="1" applyFont="1" applyFill="1" applyBorder="1" applyAlignment="1" applyProtection="1">
      <alignment horizontal="left"/>
      <protection locked="0"/>
    </xf>
    <xf numFmtId="164" fontId="1" fillId="2" borderId="23" xfId="1" applyNumberFormat="1" applyFont="1" applyFill="1" applyBorder="1" applyAlignment="1"/>
    <xf numFmtId="164" fontId="1" fillId="2" borderId="19" xfId="1" quotePrefix="1" applyNumberFormat="1" applyFont="1" applyFill="1" applyBorder="1" applyAlignment="1" applyProtection="1">
      <alignment horizontal="left"/>
      <protection locked="0"/>
    </xf>
    <xf numFmtId="164" fontId="1" fillId="2" borderId="23" xfId="1" applyNumberFormat="1" applyFont="1" applyFill="1" applyBorder="1" applyAlignment="1">
      <alignment vertical="center"/>
    </xf>
    <xf numFmtId="10" fontId="1" fillId="2" borderId="17" xfId="2" applyNumberFormat="1" applyFont="1" applyFill="1" applyBorder="1" applyAlignment="1">
      <alignment vertical="center"/>
    </xf>
    <xf numFmtId="164" fontId="1" fillId="2" borderId="17" xfId="0" applyNumberFormat="1" applyFont="1" applyFill="1" applyBorder="1"/>
    <xf numFmtId="165" fontId="1" fillId="2" borderId="17" xfId="2" applyNumberFormat="1" applyFont="1" applyFill="1" applyBorder="1" applyAlignment="1">
      <alignment vertical="center"/>
    </xf>
    <xf numFmtId="164" fontId="1" fillId="2" borderId="17" xfId="1" applyNumberFormat="1" applyFont="1" applyFill="1" applyBorder="1" applyAlignment="1">
      <alignment vertical="center"/>
    </xf>
    <xf numFmtId="164" fontId="1" fillId="2" borderId="21" xfId="1" applyNumberFormat="1" applyFont="1" applyFill="1" applyBorder="1" applyProtection="1">
      <protection locked="0"/>
    </xf>
    <xf numFmtId="164" fontId="1" fillId="2" borderId="17" xfId="1" applyNumberFormat="1" applyFont="1" applyFill="1" applyBorder="1"/>
    <xf numFmtId="164" fontId="1" fillId="2" borderId="25" xfId="1" applyNumberFormat="1" applyFont="1" applyFill="1" applyBorder="1"/>
    <xf numFmtId="164" fontId="1" fillId="2" borderId="45" xfId="1" quotePrefix="1" applyNumberFormat="1" applyFont="1" applyFill="1" applyBorder="1" applyAlignment="1" applyProtection="1">
      <alignment horizontal="center"/>
      <protection locked="0"/>
    </xf>
    <xf numFmtId="164" fontId="4" fillId="2" borderId="17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1" applyNumberFormat="1" applyFont="1" applyFill="1" applyBorder="1" applyAlignment="1">
      <alignment wrapText="1"/>
    </xf>
    <xf numFmtId="164" fontId="4" fillId="2" borderId="17" xfId="1" applyNumberFormat="1" applyFont="1" applyFill="1" applyBorder="1" applyAlignment="1" applyProtection="1">
      <alignment horizontal="center" wrapText="1"/>
      <protection locked="0"/>
    </xf>
    <xf numFmtId="164" fontId="4" fillId="2" borderId="18" xfId="1" applyNumberFormat="1" applyFont="1" applyFill="1" applyBorder="1" applyAlignment="1" applyProtection="1">
      <alignment horizontal="center" wrapText="1"/>
      <protection locked="0"/>
    </xf>
    <xf numFmtId="164" fontId="1" fillId="2" borderId="18" xfId="1" applyNumberFormat="1" applyFont="1" applyFill="1" applyBorder="1" applyAlignment="1" applyProtection="1">
      <alignment horizontal="center"/>
      <protection locked="0"/>
    </xf>
    <xf numFmtId="164" fontId="1" fillId="2" borderId="18" xfId="1" applyNumberFormat="1" applyFont="1" applyFill="1" applyBorder="1" applyProtection="1">
      <protection locked="0"/>
    </xf>
    <xf numFmtId="164" fontId="1" fillId="2" borderId="18" xfId="1" quotePrefix="1" applyNumberFormat="1" applyFont="1" applyFill="1" applyBorder="1" applyAlignment="1" applyProtection="1">
      <alignment horizontal="left"/>
      <protection locked="0"/>
    </xf>
    <xf numFmtId="164" fontId="1" fillId="2" borderId="20" xfId="1" applyNumberFormat="1" applyFont="1" applyFill="1" applyBorder="1" applyProtection="1">
      <protection locked="0"/>
    </xf>
    <xf numFmtId="164" fontId="1" fillId="2" borderId="22" xfId="1" quotePrefix="1" applyNumberFormat="1" applyFont="1" applyFill="1" applyBorder="1" applyAlignment="1" applyProtection="1">
      <alignment horizontal="left"/>
      <protection locked="0"/>
    </xf>
    <xf numFmtId="164" fontId="1" fillId="2" borderId="24" xfId="1" applyNumberFormat="1" applyFont="1" applyFill="1" applyBorder="1" applyAlignment="1"/>
    <xf numFmtId="164" fontId="1" fillId="2" borderId="20" xfId="1" quotePrefix="1" applyNumberFormat="1" applyFont="1" applyFill="1" applyBorder="1" applyAlignment="1" applyProtection="1">
      <alignment horizontal="left"/>
      <protection locked="0"/>
    </xf>
    <xf numFmtId="164" fontId="1" fillId="2" borderId="23" xfId="1" applyNumberFormat="1" applyFont="1" applyFill="1" applyBorder="1" applyProtection="1">
      <protection locked="0"/>
    </xf>
    <xf numFmtId="164" fontId="1" fillId="2" borderId="24" xfId="1" applyNumberFormat="1" applyFont="1" applyFill="1" applyBorder="1" applyProtection="1">
      <protection locked="0"/>
    </xf>
    <xf numFmtId="10" fontId="1" fillId="2" borderId="18" xfId="2" applyNumberFormat="1" applyFont="1" applyFill="1" applyBorder="1" applyAlignment="1">
      <alignment vertical="center"/>
    </xf>
    <xf numFmtId="165" fontId="1" fillId="2" borderId="18" xfId="2" applyNumberFormat="1" applyFont="1" applyFill="1" applyBorder="1" applyAlignment="1">
      <alignment vertical="center"/>
    </xf>
    <xf numFmtId="164" fontId="1" fillId="2" borderId="18" xfId="1" applyNumberFormat="1" applyFont="1" applyFill="1" applyBorder="1" applyAlignment="1">
      <alignment vertical="center"/>
    </xf>
    <xf numFmtId="164" fontId="1" fillId="2" borderId="37" xfId="1" applyNumberFormat="1" applyFont="1" applyFill="1" applyBorder="1" applyProtection="1">
      <protection locked="0"/>
    </xf>
    <xf numFmtId="164" fontId="1" fillId="2" borderId="38" xfId="1" applyNumberFormat="1" applyFont="1" applyFill="1" applyBorder="1" applyProtection="1">
      <protection locked="0"/>
    </xf>
    <xf numFmtId="164" fontId="1" fillId="2" borderId="25" xfId="1" applyNumberFormat="1" applyFont="1" applyFill="1" applyBorder="1" applyProtection="1">
      <protection locked="0"/>
    </xf>
    <xf numFmtId="164" fontId="1" fillId="2" borderId="27" xfId="1" applyNumberFormat="1" applyFont="1" applyFill="1" applyBorder="1" applyProtection="1">
      <protection locked="0"/>
    </xf>
    <xf numFmtId="164" fontId="4" fillId="2" borderId="17" xfId="1" quotePrefix="1" applyNumberFormat="1" applyFont="1" applyFill="1" applyBorder="1" applyAlignment="1" applyProtection="1">
      <alignment horizontal="center" wrapText="1"/>
      <protection locked="0"/>
    </xf>
    <xf numFmtId="164" fontId="7" fillId="0" borderId="0" xfId="1" applyNumberFormat="1" applyFont="1" applyAlignment="1">
      <alignment horizontal="left"/>
    </xf>
    <xf numFmtId="164" fontId="7" fillId="0" borderId="0" xfId="1" applyNumberFormat="1" applyFont="1" applyBorder="1" applyAlignment="1">
      <alignment horizontal="left"/>
    </xf>
    <xf numFmtId="164" fontId="4" fillId="0" borderId="28" xfId="1" applyNumberFormat="1" applyFont="1" applyFill="1" applyBorder="1" applyAlignment="1">
      <alignment horizontal="center"/>
    </xf>
    <xf numFmtId="164" fontId="4" fillId="0" borderId="29" xfId="1" applyNumberFormat="1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v.%20Req.%20Models/WA%20RAM%20Dec%202009%20GRC%20-%20Rebuttal%20(Supp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  <sheetName val="WA RAM Dec 2009 GRC - Rebuttal "/>
    </sheetNames>
    <definedNames>
      <definedName name="NetToGross" refersTo="='Variables'!$H$2"/>
      <definedName name="T1RateBase" refersTo="='Results'!$E$66"/>
    </definedNames>
    <sheetDataSet>
      <sheetData sheetId="0">
        <row r="14">
          <cell r="I14">
            <v>-6704444.6599999983</v>
          </cell>
        </row>
        <row r="78">
          <cell r="I78">
            <v>-33120.929999989981</v>
          </cell>
        </row>
        <row r="82">
          <cell r="I82">
            <v>-1653038</v>
          </cell>
        </row>
        <row r="83">
          <cell r="I83">
            <v>627345</v>
          </cell>
        </row>
        <row r="84">
          <cell r="I84">
            <v>2257541</v>
          </cell>
        </row>
        <row r="90">
          <cell r="I90">
            <v>479232</v>
          </cell>
        </row>
        <row r="92">
          <cell r="I92">
            <v>-10607</v>
          </cell>
        </row>
        <row r="93">
          <cell r="I93">
            <v>-130443</v>
          </cell>
        </row>
        <row r="94">
          <cell r="I94">
            <v>126418</v>
          </cell>
        </row>
        <row r="95">
          <cell r="I95">
            <v>14559</v>
          </cell>
        </row>
        <row r="129">
          <cell r="B129" t="str">
            <v>Effective Price Change</v>
          </cell>
        </row>
        <row r="141">
          <cell r="I141">
            <v>12402155.109999999</v>
          </cell>
        </row>
        <row r="199">
          <cell r="I199">
            <v>-547918.25463305868</v>
          </cell>
        </row>
        <row r="202">
          <cell r="I202">
            <v>1427857.4510296264</v>
          </cell>
        </row>
        <row r="203">
          <cell r="I203">
            <v>-3762045.7344390564</v>
          </cell>
        </row>
        <row r="208">
          <cell r="I208">
            <v>30046.781445040437</v>
          </cell>
        </row>
        <row r="209">
          <cell r="I209">
            <v>847031.53415215481</v>
          </cell>
        </row>
        <row r="210">
          <cell r="I210">
            <v>-11403.070822544751</v>
          </cell>
        </row>
        <row r="211">
          <cell r="I211">
            <v>321456.96563494159</v>
          </cell>
        </row>
        <row r="259">
          <cell r="I259">
            <v>-4211638.5008969298</v>
          </cell>
        </row>
        <row r="261">
          <cell r="I261">
            <v>4784094.8380285027</v>
          </cell>
        </row>
        <row r="315">
          <cell r="B315" t="str">
            <v>Wheeling Revenue Adjustment</v>
          </cell>
        </row>
        <row r="321">
          <cell r="I321">
            <v>102649.47138948992</v>
          </cell>
        </row>
        <row r="323">
          <cell r="I323">
            <v>-17062.670165353691</v>
          </cell>
        </row>
        <row r="328">
          <cell r="I328">
            <v>-7394.9629479036066</v>
          </cell>
        </row>
      </sheetData>
      <sheetData sheetId="1">
        <row r="11">
          <cell r="I11">
            <v>-398.79035040746351</v>
          </cell>
        </row>
        <row r="12">
          <cell r="I12">
            <v>-121.30651395581121</v>
          </cell>
        </row>
        <row r="13">
          <cell r="I13">
            <v>-605.43309650578158</v>
          </cell>
        </row>
        <row r="14">
          <cell r="I14">
            <v>-43058.05529843457</v>
          </cell>
        </row>
        <row r="19">
          <cell r="I19">
            <v>-92.604621577703739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-1.1386698157198312</v>
          </cell>
        </row>
        <row r="76">
          <cell r="I76">
            <v>1570.6990973295158</v>
          </cell>
        </row>
        <row r="77">
          <cell r="I77">
            <v>1.267349501741261</v>
          </cell>
        </row>
        <row r="78">
          <cell r="I78">
            <v>0</v>
          </cell>
        </row>
        <row r="79">
          <cell r="I79">
            <v>-285.58128768236969</v>
          </cell>
        </row>
        <row r="80">
          <cell r="I80">
            <v>5.3474122692439199</v>
          </cell>
        </row>
        <row r="81">
          <cell r="I81">
            <v>0</v>
          </cell>
        </row>
        <row r="82">
          <cell r="I82">
            <v>-11.571414283786176</v>
          </cell>
        </row>
        <row r="83">
          <cell r="I83">
            <v>3289.3039630802841</v>
          </cell>
        </row>
        <row r="84">
          <cell r="I84">
            <v>0</v>
          </cell>
        </row>
        <row r="85">
          <cell r="I85">
            <v>1687.6589231684209</v>
          </cell>
        </row>
        <row r="86">
          <cell r="I86">
            <v>0</v>
          </cell>
        </row>
        <row r="87">
          <cell r="I87">
            <v>277.17602847876208</v>
          </cell>
        </row>
        <row r="88">
          <cell r="I88">
            <v>0</v>
          </cell>
        </row>
        <row r="89">
          <cell r="I89">
            <v>348.61360576371493</v>
          </cell>
        </row>
        <row r="90">
          <cell r="I90">
            <v>73.228796819369649</v>
          </cell>
        </row>
        <row r="91">
          <cell r="I91">
            <v>0</v>
          </cell>
        </row>
        <row r="92">
          <cell r="I92">
            <v>108.51122946125389</v>
          </cell>
        </row>
        <row r="93">
          <cell r="I93">
            <v>0</v>
          </cell>
        </row>
        <row r="94">
          <cell r="I94">
            <v>27.278807630342413</v>
          </cell>
        </row>
        <row r="95">
          <cell r="I95">
            <v>350.40493073336393</v>
          </cell>
        </row>
        <row r="96">
          <cell r="I96">
            <v>1486.1211996747884</v>
          </cell>
        </row>
        <row r="97">
          <cell r="I97">
            <v>0</v>
          </cell>
        </row>
        <row r="98">
          <cell r="I98">
            <v>70.447479749293691</v>
          </cell>
        </row>
        <row r="99">
          <cell r="I99">
            <v>-1.5667060347230575</v>
          </cell>
        </row>
        <row r="100">
          <cell r="I100">
            <v>908.321148945044</v>
          </cell>
        </row>
        <row r="101">
          <cell r="I101">
            <v>0</v>
          </cell>
        </row>
        <row r="102">
          <cell r="I102">
            <v>539.36630903554976</v>
          </cell>
        </row>
        <row r="103">
          <cell r="I103">
            <v>14.48062556893545</v>
          </cell>
        </row>
        <row r="104">
          <cell r="I104">
            <v>167.86754168591898</v>
          </cell>
        </row>
        <row r="105">
          <cell r="I105">
            <v>1453.0347078132452</v>
          </cell>
        </row>
        <row r="106">
          <cell r="I106">
            <v>1820.466923562755</v>
          </cell>
        </row>
        <row r="107">
          <cell r="I107">
            <v>3190.5522784749605</v>
          </cell>
        </row>
        <row r="108">
          <cell r="I108">
            <v>614.58274655876983</v>
          </cell>
        </row>
        <row r="109">
          <cell r="I109">
            <v>2417.6393487201899</v>
          </cell>
        </row>
        <row r="110">
          <cell r="I110">
            <v>2048.4735129513465</v>
          </cell>
        </row>
        <row r="111">
          <cell r="I111">
            <v>207.26347054315181</v>
          </cell>
        </row>
        <row r="112">
          <cell r="I112">
            <v>0</v>
          </cell>
        </row>
        <row r="113">
          <cell r="I113">
            <v>0</v>
          </cell>
        </row>
        <row r="114">
          <cell r="I114">
            <v>46.675479132572811</v>
          </cell>
        </row>
        <row r="115">
          <cell r="I115">
            <v>6498.651633996994</v>
          </cell>
        </row>
        <row r="129">
          <cell r="B129" t="str">
            <v xml:space="preserve">Proforma General Wage Increase 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-14.719571245904099</v>
          </cell>
        </row>
        <row r="138">
          <cell r="I138">
            <v>20304.408661613041</v>
          </cell>
        </row>
        <row r="139">
          <cell r="I139">
            <v>16.383012025789544</v>
          </cell>
        </row>
        <row r="140">
          <cell r="I140">
            <v>0</v>
          </cell>
        </row>
        <row r="141">
          <cell r="I141">
            <v>-3691.7059295896684</v>
          </cell>
        </row>
        <row r="142">
          <cell r="I142">
            <v>69.125935184817905</v>
          </cell>
        </row>
        <row r="143">
          <cell r="I143">
            <v>0</v>
          </cell>
        </row>
        <row r="144">
          <cell r="I144">
            <v>-149.58353564363881</v>
          </cell>
        </row>
        <row r="145">
          <cell r="I145">
            <v>42520.793442993971</v>
          </cell>
        </row>
        <row r="146">
          <cell r="I146">
            <v>0</v>
          </cell>
        </row>
        <row r="147">
          <cell r="I147">
            <v>21816.346947476846</v>
          </cell>
        </row>
        <row r="148">
          <cell r="I148">
            <v>0</v>
          </cell>
        </row>
        <row r="149">
          <cell r="I149">
            <v>3583.0512432356791</v>
          </cell>
        </row>
        <row r="150">
          <cell r="I150">
            <v>0</v>
          </cell>
        </row>
        <row r="151">
          <cell r="I151">
            <v>4506.5239602286192</v>
          </cell>
        </row>
        <row r="152">
          <cell r="I152">
            <v>946.62779073768183</v>
          </cell>
        </row>
        <row r="153">
          <cell r="I153">
            <v>0</v>
          </cell>
        </row>
        <row r="154">
          <cell r="I154">
            <v>1402.7233803733093</v>
          </cell>
        </row>
        <row r="155">
          <cell r="I155">
            <v>0</v>
          </cell>
        </row>
        <row r="156">
          <cell r="I156">
            <v>352.63282373415814</v>
          </cell>
        </row>
        <row r="157">
          <cell r="I157">
            <v>4529.6803969333614</v>
          </cell>
        </row>
        <row r="158">
          <cell r="I158">
            <v>19211.071178551261</v>
          </cell>
        </row>
        <row r="159">
          <cell r="I159">
            <v>0</v>
          </cell>
        </row>
        <row r="160">
          <cell r="I160">
            <v>910.67373785488792</v>
          </cell>
        </row>
        <row r="161">
          <cell r="I161">
            <v>-20.252790388507275</v>
          </cell>
        </row>
        <row r="162">
          <cell r="I162">
            <v>11741.856753799952</v>
          </cell>
        </row>
        <row r="163">
          <cell r="I163">
            <v>0</v>
          </cell>
        </row>
        <row r="164">
          <cell r="I164">
            <v>6972.3819002527671</v>
          </cell>
        </row>
        <row r="165">
          <cell r="I165">
            <v>187.19087553265837</v>
          </cell>
        </row>
        <row r="166">
          <cell r="I166">
            <v>2170.0217267624785</v>
          </cell>
        </row>
        <row r="167">
          <cell r="I167">
            <v>18783.362489421623</v>
          </cell>
        </row>
        <row r="168">
          <cell r="I168">
            <v>23533.154398453891</v>
          </cell>
        </row>
        <row r="169">
          <cell r="I169">
            <v>41244.231583591216</v>
          </cell>
        </row>
        <row r="170">
          <cell r="I170">
            <v>7944.7038988702707</v>
          </cell>
        </row>
        <row r="171">
          <cell r="I171">
            <v>31252.795278402366</v>
          </cell>
        </row>
        <row r="172">
          <cell r="I172">
            <v>26480.592883875863</v>
          </cell>
        </row>
        <row r="173">
          <cell r="I173">
            <v>2679.2924333421715</v>
          </cell>
        </row>
        <row r="176">
          <cell r="I176">
            <v>603.37336692664383</v>
          </cell>
        </row>
        <row r="177">
          <cell r="I177">
            <v>84007.99284247146</v>
          </cell>
        </row>
        <row r="191">
          <cell r="B191" t="str">
            <v>Pension Curtailment</v>
          </cell>
        </row>
        <row r="200">
          <cell r="I200">
            <v>-776572.64858778729</v>
          </cell>
        </row>
        <row r="204">
          <cell r="I204">
            <v>1013713</v>
          </cell>
        </row>
        <row r="205">
          <cell r="I205">
            <v>384714</v>
          </cell>
        </row>
        <row r="259">
          <cell r="I259">
            <v>-92014.913865822877</v>
          </cell>
        </row>
        <row r="328">
          <cell r="I328">
            <v>-4858459</v>
          </cell>
        </row>
        <row r="331">
          <cell r="I331">
            <v>-1385852.3131956439</v>
          </cell>
        </row>
        <row r="332">
          <cell r="I332">
            <v>-525944.76265158609</v>
          </cell>
        </row>
        <row r="333">
          <cell r="I333">
            <v>472405.88223046891</v>
          </cell>
        </row>
        <row r="384">
          <cell r="I384">
            <v>-113509.94069594286</v>
          </cell>
        </row>
        <row r="387">
          <cell r="I387">
            <v>-82916.446129532909</v>
          </cell>
        </row>
        <row r="389">
          <cell r="I389">
            <v>-47</v>
          </cell>
        </row>
        <row r="390">
          <cell r="I390">
            <v>-91.506246302488393</v>
          </cell>
        </row>
        <row r="391">
          <cell r="I391">
            <v>-62.154217472519179</v>
          </cell>
        </row>
        <row r="439">
          <cell r="B439" t="str">
            <v>Remove MEHC Severance</v>
          </cell>
        </row>
        <row r="446">
          <cell r="I446">
            <v>-637047.3400000002</v>
          </cell>
        </row>
        <row r="451">
          <cell r="I451">
            <v>-637047.28166666592</v>
          </cell>
        </row>
        <row r="455">
          <cell r="I455">
            <v>-637047</v>
          </cell>
        </row>
        <row r="456">
          <cell r="I456">
            <v>241766</v>
          </cell>
        </row>
        <row r="457">
          <cell r="I457">
            <v>352575</v>
          </cell>
        </row>
        <row r="459">
          <cell r="I459">
            <v>-62223.490000068792</v>
          </cell>
        </row>
        <row r="460">
          <cell r="I460">
            <v>-23614.40075340624</v>
          </cell>
        </row>
        <row r="461">
          <cell r="I461">
            <v>-21904.030434714681</v>
          </cell>
        </row>
        <row r="507">
          <cell r="I507">
            <v>-169674.9921225</v>
          </cell>
        </row>
        <row r="569">
          <cell r="I569">
            <v>-1791.2877475899786</v>
          </cell>
        </row>
        <row r="571">
          <cell r="I571">
            <v>-21.442785335560455</v>
          </cell>
        </row>
      </sheetData>
      <sheetData sheetId="2">
        <row r="138">
          <cell r="I138">
            <v>3803644.2032988709</v>
          </cell>
        </row>
        <row r="147">
          <cell r="I147">
            <v>-4235345.8895238079</v>
          </cell>
        </row>
        <row r="156">
          <cell r="I156">
            <v>-1306516.3102050694</v>
          </cell>
        </row>
        <row r="159">
          <cell r="I159">
            <v>-2961090.7285266677</v>
          </cell>
        </row>
        <row r="200">
          <cell r="I200">
            <v>-46151633.162128016</v>
          </cell>
        </row>
        <row r="209">
          <cell r="I209">
            <v>-22001083.43130691</v>
          </cell>
        </row>
        <row r="215">
          <cell r="I215">
            <v>4041591.9433055972</v>
          </cell>
        </row>
        <row r="218">
          <cell r="I218">
            <v>3898053.4118813579</v>
          </cell>
        </row>
        <row r="219">
          <cell r="I219">
            <v>2680028.4647450736</v>
          </cell>
        </row>
        <row r="260">
          <cell r="I260">
            <v>152282.21898382137</v>
          </cell>
        </row>
        <row r="262">
          <cell r="I262">
            <v>-212582.87396787116</v>
          </cell>
        </row>
        <row r="324">
          <cell r="I324">
            <v>8025121</v>
          </cell>
        </row>
        <row r="377">
          <cell r="B377" t="str">
            <v>James River Royalty Offset</v>
          </cell>
        </row>
        <row r="383">
          <cell r="I383">
            <v>1178569.3667911782</v>
          </cell>
        </row>
        <row r="445">
          <cell r="I445">
            <v>-370246.10036195512</v>
          </cell>
        </row>
        <row r="446">
          <cell r="I446">
            <v>-26985.901168847417</v>
          </cell>
        </row>
        <row r="447">
          <cell r="I447">
            <v>-42124.459304340671</v>
          </cell>
        </row>
        <row r="448">
          <cell r="I448">
            <v>-90396.065974144673</v>
          </cell>
        </row>
        <row r="449">
          <cell r="I449">
            <v>-370246.10036195512</v>
          </cell>
        </row>
        <row r="450">
          <cell r="I450">
            <v>-26985.901168847417</v>
          </cell>
        </row>
        <row r="451">
          <cell r="I451">
            <v>116447.30590310732</v>
          </cell>
        </row>
        <row r="454">
          <cell r="I454">
            <v>-24358296.07644441</v>
          </cell>
        </row>
        <row r="455">
          <cell r="I455">
            <v>-1767631.8934282884</v>
          </cell>
        </row>
        <row r="456">
          <cell r="I456">
            <v>15693985.060380375</v>
          </cell>
        </row>
        <row r="457">
          <cell r="I457">
            <v>316777.27904775692</v>
          </cell>
        </row>
        <row r="458">
          <cell r="I458">
            <v>1572142.4576148225</v>
          </cell>
        </row>
        <row r="459">
          <cell r="I459">
            <v>144385.82344165733</v>
          </cell>
        </row>
        <row r="462">
          <cell r="I462">
            <v>-52188</v>
          </cell>
        </row>
        <row r="463">
          <cell r="I463">
            <v>19806</v>
          </cell>
        </row>
        <row r="464">
          <cell r="I464">
            <v>238507</v>
          </cell>
        </row>
      </sheetData>
      <sheetData sheetId="3">
        <row r="129">
          <cell r="B129" t="str">
            <v>Hydro Decommissioning</v>
          </cell>
        </row>
        <row r="135">
          <cell r="I135">
            <v>-8005.3957926276607</v>
          </cell>
        </row>
        <row r="141">
          <cell r="I141">
            <v>-256078.4788596172</v>
          </cell>
        </row>
      </sheetData>
      <sheetData sheetId="4">
        <row r="11">
          <cell r="I11">
            <v>-3756595.1086111031</v>
          </cell>
        </row>
        <row r="13">
          <cell r="I13">
            <v>251454.32158437371</v>
          </cell>
        </row>
        <row r="129">
          <cell r="B129" t="str">
            <v>Renewable Energy Tax Credit</v>
          </cell>
        </row>
        <row r="135">
          <cell r="I135">
            <v>-5638736.2665997902</v>
          </cell>
        </row>
        <row r="197">
          <cell r="I197">
            <v>-291666.75803272682</v>
          </cell>
        </row>
        <row r="200">
          <cell r="I200">
            <v>-510417.13577641395</v>
          </cell>
        </row>
        <row r="259">
          <cell r="I259">
            <v>5532834</v>
          </cell>
        </row>
        <row r="321">
          <cell r="I321">
            <v>217013.20626896209</v>
          </cell>
        </row>
        <row r="377">
          <cell r="B377" t="str">
            <v>Public Utility Tax Adjustment</v>
          </cell>
        </row>
        <row r="383">
          <cell r="I383">
            <v>-396368</v>
          </cell>
        </row>
        <row r="446">
          <cell r="I446">
            <v>-2199228</v>
          </cell>
        </row>
        <row r="448">
          <cell r="I448">
            <v>1099614</v>
          </cell>
        </row>
        <row r="508">
          <cell r="I508">
            <v>525562</v>
          </cell>
        </row>
        <row r="510">
          <cell r="I510">
            <v>-262781</v>
          </cell>
        </row>
        <row r="570">
          <cell r="I570">
            <v>170464.29080562192</v>
          </cell>
        </row>
        <row r="646">
          <cell r="I646">
            <v>-9873199.076123938</v>
          </cell>
        </row>
        <row r="693">
          <cell r="I693">
            <v>-349401.97856930096</v>
          </cell>
        </row>
        <row r="694">
          <cell r="I694">
            <v>0</v>
          </cell>
        </row>
        <row r="697">
          <cell r="I697">
            <v>2394.4741997504043</v>
          </cell>
        </row>
        <row r="698">
          <cell r="I698">
            <v>-6500.5691617324073</v>
          </cell>
        </row>
        <row r="701">
          <cell r="I701">
            <v>76958.07063223765</v>
          </cell>
        </row>
        <row r="702">
          <cell r="I702">
            <v>0</v>
          </cell>
        </row>
        <row r="705">
          <cell r="I705">
            <v>-710431.24525650393</v>
          </cell>
        </row>
        <row r="706">
          <cell r="I706">
            <v>0</v>
          </cell>
        </row>
        <row r="709">
          <cell r="I709">
            <v>-4212053.58073851</v>
          </cell>
        </row>
        <row r="710">
          <cell r="I710">
            <v>0</v>
          </cell>
        </row>
        <row r="811">
          <cell r="B811" t="str">
            <v>WA Low Income Tax Credit</v>
          </cell>
        </row>
        <row r="817">
          <cell r="I817">
            <v>-32248.54</v>
          </cell>
        </row>
      </sheetData>
      <sheetData sheetId="5">
        <row r="73">
          <cell r="I73">
            <v>53613851.168249354</v>
          </cell>
        </row>
        <row r="74">
          <cell r="I74">
            <v>2005617.942152187</v>
          </cell>
        </row>
        <row r="75">
          <cell r="I75">
            <v>2033952.2560125524</v>
          </cell>
        </row>
        <row r="76">
          <cell r="I76">
            <v>514243.44230495289</v>
          </cell>
        </row>
        <row r="77">
          <cell r="I77">
            <v>-23449722.352869298</v>
          </cell>
        </row>
        <row r="138">
          <cell r="I138">
            <v>54303.537524919564</v>
          </cell>
        </row>
        <row r="141">
          <cell r="I141">
            <v>-532533.3878096831</v>
          </cell>
        </row>
        <row r="142">
          <cell r="I142">
            <v>564547.91874999995</v>
          </cell>
        </row>
        <row r="143">
          <cell r="I143">
            <v>123551.71296764362</v>
          </cell>
        </row>
        <row r="146">
          <cell r="I146">
            <v>-41091.633941917637</v>
          </cell>
        </row>
        <row r="147">
          <cell r="I147">
            <v>15594.692357382572</v>
          </cell>
        </row>
        <row r="148">
          <cell r="I148">
            <v>361533.94674291194</v>
          </cell>
        </row>
        <row r="150">
          <cell r="I150">
            <v>-43743</v>
          </cell>
        </row>
        <row r="151">
          <cell r="I151">
            <v>224611</v>
          </cell>
        </row>
        <row r="152">
          <cell r="I152">
            <v>-208010</v>
          </cell>
        </row>
        <row r="153">
          <cell r="I153">
            <v>-43335</v>
          </cell>
        </row>
        <row r="154">
          <cell r="I154">
            <v>-165366</v>
          </cell>
        </row>
        <row r="156">
          <cell r="I156">
            <v>25459.400411784434</v>
          </cell>
        </row>
        <row r="157">
          <cell r="I157">
            <v>-9661.6994621422491</v>
          </cell>
        </row>
        <row r="158">
          <cell r="I158">
            <v>-46890.38717771892</v>
          </cell>
        </row>
        <row r="209">
          <cell r="I209">
            <v>23142.536575635779</v>
          </cell>
        </row>
        <row r="321">
          <cell r="I321">
            <v>-17990.552800000001</v>
          </cell>
        </row>
        <row r="325">
          <cell r="I325">
            <v>-17990.552800000001</v>
          </cell>
        </row>
        <row r="329">
          <cell r="I329">
            <v>-441006.12659999984</v>
          </cell>
        </row>
        <row r="377">
          <cell r="B377" t="str">
            <v>Powerdale Hydro Removal</v>
          </cell>
        </row>
        <row r="383">
          <cell r="I383">
            <v>-768621.8482946154</v>
          </cell>
        </row>
        <row r="384">
          <cell r="I384">
            <v>586332.86810780026</v>
          </cell>
        </row>
        <row r="388">
          <cell r="I388">
            <v>-586332.86810780037</v>
          </cell>
        </row>
        <row r="391">
          <cell r="I391">
            <v>1064385.2416330248</v>
          </cell>
        </row>
        <row r="392">
          <cell r="I392">
            <v>-402093.99324819405</v>
          </cell>
        </row>
        <row r="394">
          <cell r="I394">
            <v>-898979.334985491</v>
          </cell>
        </row>
        <row r="395">
          <cell r="I395">
            <v>341171.63812389108</v>
          </cell>
        </row>
        <row r="396">
          <cell r="I396">
            <v>498127.96094176243</v>
          </cell>
        </row>
        <row r="399">
          <cell r="I399">
            <v>586332.86810780026</v>
          </cell>
        </row>
        <row r="400">
          <cell r="I400">
            <v>-222521.38247076774</v>
          </cell>
        </row>
        <row r="401">
          <cell r="I401">
            <v>-111261.90602486566</v>
          </cell>
        </row>
        <row r="447">
          <cell r="I447">
            <v>-169568.97296169098</v>
          </cell>
        </row>
        <row r="451">
          <cell r="I451">
            <v>436629.36000000004</v>
          </cell>
        </row>
        <row r="452">
          <cell r="I452">
            <v>-419071.98208723229</v>
          </cell>
        </row>
        <row r="453">
          <cell r="I453">
            <v>-286133.98627459229</v>
          </cell>
        </row>
        <row r="455">
          <cell r="I455">
            <v>445442.12953812571</v>
          </cell>
        </row>
        <row r="456">
          <cell r="I456">
            <v>739666.66559016658</v>
          </cell>
        </row>
        <row r="461">
          <cell r="I461">
            <v>-347730.61460689106</v>
          </cell>
        </row>
        <row r="462">
          <cell r="I462">
            <v>-162775.95081482874</v>
          </cell>
        </row>
        <row r="463">
          <cell r="I463">
            <v>294743.1197675899</v>
          </cell>
        </row>
        <row r="464">
          <cell r="I464">
            <v>-134362.97251784222</v>
          </cell>
        </row>
        <row r="465">
          <cell r="I465">
            <v>-33911.536603771216</v>
          </cell>
        </row>
        <row r="507">
          <cell r="I507">
            <v>34004.906666666662</v>
          </cell>
        </row>
        <row r="512">
          <cell r="I512">
            <v>-2980495.6783333328</v>
          </cell>
        </row>
        <row r="563">
          <cell r="B563" t="str">
            <v>Chehalis Reg Asset - WA</v>
          </cell>
        </row>
        <row r="569">
          <cell r="I569">
            <v>-3000000</v>
          </cell>
        </row>
        <row r="573">
          <cell r="I573">
            <v>-750000</v>
          </cell>
        </row>
        <row r="574">
          <cell r="I574">
            <v>16500000</v>
          </cell>
        </row>
        <row r="577">
          <cell r="I577">
            <v>3000000</v>
          </cell>
        </row>
        <row r="578">
          <cell r="I578">
            <v>-1138530</v>
          </cell>
        </row>
        <row r="579">
          <cell r="I579">
            <v>-6261915</v>
          </cell>
        </row>
        <row r="631">
          <cell r="I631">
            <v>10805618.20269021</v>
          </cell>
        </row>
        <row r="633">
          <cell r="I633">
            <v>364275.90369573049</v>
          </cell>
        </row>
        <row r="694">
          <cell r="I694">
            <v>-159.19957656870318</v>
          </cell>
        </row>
        <row r="695">
          <cell r="I695">
            <v>-40047.559678700585</v>
          </cell>
        </row>
        <row r="696">
          <cell r="I696">
            <v>-2517762.0288639646</v>
          </cell>
        </row>
        <row r="697">
          <cell r="I697">
            <v>312274.8637390103</v>
          </cell>
        </row>
        <row r="698">
          <cell r="I698">
            <v>0</v>
          </cell>
        </row>
        <row r="699">
          <cell r="I699">
            <v>87214.818729051156</v>
          </cell>
        </row>
        <row r="700">
          <cell r="I700">
            <v>0</v>
          </cell>
        </row>
        <row r="701">
          <cell r="I701">
            <v>-812.04502276222956</v>
          </cell>
        </row>
        <row r="719">
          <cell r="I719">
            <v>-2850427.9619466118</v>
          </cell>
        </row>
        <row r="726">
          <cell r="I726">
            <v>-2030094.5131613784</v>
          </cell>
        </row>
        <row r="733">
          <cell r="I733">
            <v>-837021.19896710326</v>
          </cell>
        </row>
        <row r="735">
          <cell r="I735">
            <v>12559.956921456682</v>
          </cell>
        </row>
        <row r="756">
          <cell r="I756">
            <v>-30343.453417825134</v>
          </cell>
        </row>
        <row r="757">
          <cell r="I757">
            <v>11515.54167494158</v>
          </cell>
        </row>
        <row r="758">
          <cell r="I758">
            <v>104120.48996763401</v>
          </cell>
        </row>
        <row r="760">
          <cell r="I760">
            <v>-37921.972817686954</v>
          </cell>
        </row>
        <row r="761">
          <cell r="I761">
            <v>14391.721426194801</v>
          </cell>
        </row>
        <row r="762">
          <cell r="I762">
            <v>396373.66001384397</v>
          </cell>
        </row>
        <row r="764">
          <cell r="I764">
            <v>-346778.45259815606</v>
          </cell>
        </row>
        <row r="765">
          <cell r="I765">
            <v>-131605.90991767219</v>
          </cell>
        </row>
        <row r="766">
          <cell r="I766">
            <v>1147776.7214228653</v>
          </cell>
        </row>
        <row r="768">
          <cell r="I768">
            <v>-139125.77560826804</v>
          </cell>
        </row>
        <row r="769">
          <cell r="I769">
            <v>-52799.599206138089</v>
          </cell>
        </row>
        <row r="770">
          <cell r="I770">
            <v>67930.527618659515</v>
          </cell>
        </row>
        <row r="772">
          <cell r="I772">
            <v>-52382.359823157582</v>
          </cell>
        </row>
        <row r="773">
          <cell r="I773">
            <v>-19879.619323328818</v>
          </cell>
        </row>
        <row r="774">
          <cell r="I774">
            <v>-19051.289504240573</v>
          </cell>
        </row>
        <row r="776">
          <cell r="I776">
            <v>-796.4601584256734</v>
          </cell>
        </row>
        <row r="777">
          <cell r="I777">
            <v>302.37214555872072</v>
          </cell>
        </row>
        <row r="778">
          <cell r="I778">
            <v>289.78250911106034</v>
          </cell>
        </row>
      </sheetData>
      <sheetData sheetId="6">
        <row r="11">
          <cell r="I11">
            <v>-362260.04062721808</v>
          </cell>
        </row>
        <row r="12">
          <cell r="I12">
            <v>-405.99437376912704</v>
          </cell>
        </row>
        <row r="13">
          <cell r="I13">
            <v>-49529.807733012247</v>
          </cell>
        </row>
        <row r="14">
          <cell r="I14">
            <v>780</v>
          </cell>
        </row>
        <row r="15">
          <cell r="I15">
            <v>-179837.78947415506</v>
          </cell>
        </row>
        <row r="16">
          <cell r="I16">
            <v>-475822.1928248707</v>
          </cell>
        </row>
        <row r="23">
          <cell r="I23">
            <v>337916.75424200163</v>
          </cell>
        </row>
        <row r="29">
          <cell r="I29">
            <v>-29238.355724457091</v>
          </cell>
        </row>
        <row r="31">
          <cell r="I31">
            <v>-4.2482522893739816</v>
          </cell>
        </row>
        <row r="32">
          <cell r="I32">
            <v>-301.13703550156026</v>
          </cell>
        </row>
        <row r="33">
          <cell r="I33">
            <v>-273.56363400283254</v>
          </cell>
        </row>
        <row r="34">
          <cell r="I34">
            <v>-6.7384850892141586</v>
          </cell>
        </row>
        <row r="35">
          <cell r="I35">
            <v>-2414.745042037694</v>
          </cell>
        </row>
        <row r="36">
          <cell r="I36">
            <v>-19242.711250332104</v>
          </cell>
        </row>
        <row r="37">
          <cell r="I37">
            <v>-11271.310203687006</v>
          </cell>
        </row>
        <row r="38">
          <cell r="I38">
            <v>-203.50349396460965</v>
          </cell>
        </row>
        <row r="39">
          <cell r="I39">
            <v>-9472.3922966622649</v>
          </cell>
        </row>
        <row r="40">
          <cell r="I40">
            <v>-221.97163806671435</v>
          </cell>
        </row>
        <row r="41">
          <cell r="I41">
            <v>171.47397684041061</v>
          </cell>
        </row>
        <row r="42">
          <cell r="I42">
            <v>-4416.1042846203018</v>
          </cell>
        </row>
        <row r="43">
          <cell r="I43">
            <v>-65.425042796529723</v>
          </cell>
        </row>
        <row r="44">
          <cell r="I44">
            <v>-893.96950272419849</v>
          </cell>
        </row>
        <row r="75">
          <cell r="I75">
            <v>-64300.224244192235</v>
          </cell>
        </row>
        <row r="76">
          <cell r="I76">
            <v>-93259.516577459872</v>
          </cell>
        </row>
        <row r="77">
          <cell r="I77">
            <v>-4026.2083825925365</v>
          </cell>
        </row>
        <row r="78">
          <cell r="I78">
            <v>-5399.1450573368929</v>
          </cell>
        </row>
        <row r="79">
          <cell r="I79">
            <v>-42269.957641813904</v>
          </cell>
        </row>
        <row r="80">
          <cell r="I80">
            <v>-974.68135726440221</v>
          </cell>
        </row>
        <row r="81">
          <cell r="I81">
            <v>-67953.83006285876</v>
          </cell>
        </row>
        <row r="82">
          <cell r="I82">
            <v>-73513.538259193301</v>
          </cell>
        </row>
        <row r="86">
          <cell r="I86">
            <v>-2083.3098946869263</v>
          </cell>
        </row>
        <row r="89">
          <cell r="I89">
            <v>-94771.058690577745</v>
          </cell>
        </row>
        <row r="90">
          <cell r="I90">
            <v>-3545.2505568028428</v>
          </cell>
        </row>
        <row r="91">
          <cell r="I91">
            <v>-3595.335989266634</v>
          </cell>
        </row>
        <row r="92">
          <cell r="I92">
            <v>-909.00754916836752</v>
          </cell>
        </row>
        <row r="93">
          <cell r="I93">
            <v>41451.135573294014</v>
          </cell>
        </row>
        <row r="97">
          <cell r="I97">
            <v>1497.2637677959865</v>
          </cell>
        </row>
        <row r="98">
          <cell r="I98">
            <v>6650.0176601060666</v>
          </cell>
        </row>
        <row r="102">
          <cell r="I102">
            <v>-8456.6529506202787</v>
          </cell>
        </row>
      </sheetData>
      <sheetData sheetId="7" refreshError="1"/>
      <sheetData sheetId="8" refreshError="1"/>
      <sheetData sheetId="9" refreshError="1"/>
      <sheetData sheetId="10">
        <row r="2">
          <cell r="H2">
            <v>0.61987999999999999</v>
          </cell>
        </row>
        <row r="3">
          <cell r="O3">
            <v>0.47599999999999998</v>
          </cell>
        </row>
        <row r="4">
          <cell r="O4">
            <v>3.0000000000000001E-3</v>
          </cell>
        </row>
        <row r="5">
          <cell r="O5">
            <v>0.52100000000000002</v>
          </cell>
        </row>
        <row r="7">
          <cell r="O7">
            <v>5.8900000000000001E-2</v>
          </cell>
        </row>
        <row r="8">
          <cell r="O8">
            <v>5.4100000000000002E-2</v>
          </cell>
        </row>
        <row r="9">
          <cell r="O9">
            <v>0.106</v>
          </cell>
        </row>
        <row r="17">
          <cell r="A17" t="str">
            <v>Temperature Normalization</v>
          </cell>
          <cell r="L17" t="str">
            <v>Miscellaneous General Expense Adjustment</v>
          </cell>
        </row>
        <row r="18">
          <cell r="A18" t="str">
            <v>Revenue Normalization</v>
          </cell>
          <cell r="L18" t="str">
            <v>General Wage Increase  - Annualization</v>
          </cell>
        </row>
        <row r="22">
          <cell r="A22" t="str">
            <v>Wheeling Revenue Adjustment</v>
          </cell>
          <cell r="L22" t="str">
            <v>DSM Removal Adjustment</v>
          </cell>
        </row>
        <row r="23">
          <cell r="L23" t="str">
            <v>Remove Non-Recurring Entries</v>
          </cell>
        </row>
        <row r="49">
          <cell r="A49" t="str">
            <v>Net Power Costs - Restating</v>
          </cell>
          <cell r="L49" t="str">
            <v>Hydro Decommissioning</v>
          </cell>
        </row>
        <row r="51">
          <cell r="A51" t="str">
            <v>Electric Lake Settlement</v>
          </cell>
        </row>
        <row r="52">
          <cell r="A52" t="str">
            <v>BPA Residential Exchange</v>
          </cell>
        </row>
        <row r="54">
          <cell r="A54" t="str">
            <v>Removal of Colstrip #3</v>
          </cell>
        </row>
        <row r="72">
          <cell r="L72" t="str">
            <v>Jim Bridger Mine Rate Base Adjustment</v>
          </cell>
        </row>
        <row r="73">
          <cell r="L73" t="str">
            <v xml:space="preserve">Environmental Remediation </v>
          </cell>
        </row>
        <row r="74">
          <cell r="A74" t="str">
            <v>Malin Midpoint Adjustment</v>
          </cell>
          <cell r="L74" t="str">
            <v>Customer Advances for Construction</v>
          </cell>
        </row>
        <row r="75">
          <cell r="A75" t="str">
            <v>WA - FAS 109 Flow-Through</v>
          </cell>
        </row>
        <row r="76">
          <cell r="A76" t="str">
            <v>AFUDC - Equity</v>
          </cell>
          <cell r="L76" t="str">
            <v>Removal of Colstrip #4 AFUDC</v>
          </cell>
        </row>
        <row r="78">
          <cell r="A78" t="str">
            <v>Remove Deferred State Tax Expense</v>
          </cell>
          <cell r="L78" t="str">
            <v>Trojan Unrecovered Plant Adjustment</v>
          </cell>
        </row>
        <row r="79">
          <cell r="A79" t="str">
            <v>Current Year Def Inc Tax Normalization</v>
          </cell>
          <cell r="L79" t="str">
            <v>Customer Service Deposits</v>
          </cell>
        </row>
        <row r="80">
          <cell r="A80" t="str">
            <v>Medicare Deferred Tax Expense</v>
          </cell>
        </row>
        <row r="81">
          <cell r="A81" t="str">
            <v>Avg Balance for Accum Def Inc Tax - Property</v>
          </cell>
        </row>
        <row r="82">
          <cell r="A82" t="str">
            <v>Accumulated Deferred Income Tax Factor Correction</v>
          </cell>
          <cell r="L82" t="str">
            <v>Miscellaneous Rate Base</v>
          </cell>
        </row>
        <row r="83">
          <cell r="L83" t="str">
            <v xml:space="preserve">(Cont) Miscellaneous Rate Base </v>
          </cell>
        </row>
      </sheetData>
      <sheetData sheetId="11">
        <row r="10">
          <cell r="B10" t="str">
            <v xml:space="preserve">   Operating Revenues:</v>
          </cell>
        </row>
        <row r="11">
          <cell r="B11" t="str">
            <v>General Business Revenues</v>
          </cell>
          <cell r="D11">
            <v>-6737565.5899999887</v>
          </cell>
          <cell r="H11">
            <v>12402155.109999999</v>
          </cell>
        </row>
        <row r="12">
          <cell r="B12" t="str">
            <v>Interdepartmental</v>
          </cell>
          <cell r="D12">
            <v>0</v>
          </cell>
          <cell r="H12">
            <v>0</v>
          </cell>
        </row>
        <row r="13">
          <cell r="B13" t="str">
            <v>Special Sales</v>
          </cell>
          <cell r="D13">
            <v>3803644.2032988709</v>
          </cell>
          <cell r="H13">
            <v>-46215933.386372209</v>
          </cell>
        </row>
        <row r="14">
          <cell r="B14" t="str">
            <v>Other Operating Revenues</v>
          </cell>
          <cell r="D14">
            <v>-4108989.02950744</v>
          </cell>
          <cell r="H14">
            <v>2935061.5718090204</v>
          </cell>
        </row>
        <row r="15">
          <cell r="B15" t="str">
            <v xml:space="preserve">   Total Operating Revenues</v>
          </cell>
          <cell r="D15">
            <v>-7042910.4162085578</v>
          </cell>
          <cell r="H15">
            <v>-30878716.704563189</v>
          </cell>
        </row>
        <row r="17">
          <cell r="B17" t="str">
            <v xml:space="preserve">   Operating Expenses:</v>
          </cell>
        </row>
        <row r="18">
          <cell r="B18" t="str">
            <v>Steam Production</v>
          </cell>
          <cell r="D18">
            <v>-1302039.490000973</v>
          </cell>
          <cell r="H18">
            <v>3866911.1401345846</v>
          </cell>
        </row>
        <row r="19">
          <cell r="B19" t="str">
            <v>Nuclear Production</v>
          </cell>
          <cell r="D19">
            <v>0</v>
          </cell>
          <cell r="H19">
            <v>0</v>
          </cell>
        </row>
        <row r="20">
          <cell r="B20" t="str">
            <v>Hydro Production</v>
          </cell>
          <cell r="D20">
            <v>1964.8349516471831</v>
          </cell>
          <cell r="H20">
            <v>14128.087987025521</v>
          </cell>
        </row>
        <row r="21">
          <cell r="B21" t="str">
            <v>Other Power Supply</v>
          </cell>
          <cell r="D21">
            <v>2206561.8332285578</v>
          </cell>
          <cell r="H21">
            <v>-19481406.007589854</v>
          </cell>
        </row>
        <row r="22">
          <cell r="B22" t="str">
            <v>Transmission</v>
          </cell>
          <cell r="D22">
            <v>-119205.98724489645</v>
          </cell>
          <cell r="H22">
            <v>4020309.1765103331</v>
          </cell>
        </row>
        <row r="23">
          <cell r="B23" t="str">
            <v>Distribution</v>
          </cell>
          <cell r="D23">
            <v>6969.4824389372116</v>
          </cell>
          <cell r="H23">
            <v>91505.452370337007</v>
          </cell>
        </row>
        <row r="24">
          <cell r="B24" t="str">
            <v>Customer Accounting</v>
          </cell>
          <cell r="D24">
            <v>4466.1128616715359</v>
          </cell>
          <cell r="H24">
            <v>57733.388162278228</v>
          </cell>
        </row>
        <row r="25">
          <cell r="B25" t="str">
            <v>Customer Service &amp; Info</v>
          </cell>
          <cell r="D25">
            <v>-4860648.457373553</v>
          </cell>
          <cell r="H25">
            <v>2679.2924333421715</v>
          </cell>
        </row>
        <row r="26">
          <cell r="B26" t="str">
            <v>Sales</v>
          </cell>
          <cell r="D26">
            <v>0</v>
          </cell>
          <cell r="H26">
            <v>0</v>
          </cell>
        </row>
        <row r="27">
          <cell r="B27" t="str">
            <v>Administrative &amp; General</v>
          </cell>
          <cell r="D27">
            <v>-244134.45056957746</v>
          </cell>
          <cell r="H27">
            <v>-1329008.6223783894</v>
          </cell>
        </row>
        <row r="28">
          <cell r="B28" t="str">
            <v xml:space="preserve">   Total O&amp;M Expenses</v>
          </cell>
          <cell r="D28">
            <v>-4306066.1217081863</v>
          </cell>
          <cell r="H28">
            <v>-12757148.092370346</v>
          </cell>
        </row>
        <row r="29">
          <cell r="B29" t="str">
            <v>Depreciation</v>
          </cell>
          <cell r="D29">
            <v>-415222.55433080252</v>
          </cell>
          <cell r="H29">
            <v>-29238.355724457091</v>
          </cell>
        </row>
        <row r="30">
          <cell r="B30" t="str">
            <v xml:space="preserve">Amortization </v>
          </cell>
          <cell r="D30">
            <v>-169568.97296169098</v>
          </cell>
          <cell r="H30">
            <v>-182288.98018681514</v>
          </cell>
        </row>
        <row r="31">
          <cell r="B31" t="str">
            <v>Taxes Other Than Income</v>
          </cell>
          <cell r="D31">
            <v>-42124.459304340671</v>
          </cell>
          <cell r="H31">
            <v>-428616.54</v>
          </cell>
        </row>
        <row r="32">
          <cell r="B32" t="str">
            <v>Income Taxes - Federal</v>
          </cell>
          <cell r="D32">
            <v>194287.75381242129</v>
          </cell>
          <cell r="H32">
            <v>-11461182.021078767</v>
          </cell>
        </row>
        <row r="33">
          <cell r="B33" t="str">
            <v>Income Taxes - State</v>
          </cell>
          <cell r="D33">
            <v>0</v>
          </cell>
          <cell r="H33">
            <v>0</v>
          </cell>
        </row>
        <row r="34">
          <cell r="B34" t="str">
            <v>Income Taxes - Def Net</v>
          </cell>
          <cell r="D34">
            <v>4258073.6394843701</v>
          </cell>
          <cell r="H34">
            <v>-417014.14510028285</v>
          </cell>
        </row>
        <row r="35">
          <cell r="B35" t="str">
            <v>Investment Tax Credit Adj.</v>
          </cell>
          <cell r="D35">
            <v>0</v>
          </cell>
          <cell r="H35">
            <v>0</v>
          </cell>
        </row>
        <row r="36">
          <cell r="B36" t="str">
            <v>Misc Revenue &amp; Expense</v>
          </cell>
          <cell r="D36">
            <v>-513913.347966392</v>
          </cell>
          <cell r="H36">
            <v>1497.2637677959865</v>
          </cell>
        </row>
        <row r="37">
          <cell r="B37" t="str">
            <v xml:space="preserve">   Total Operating Expenses:</v>
          </cell>
          <cell r="D37">
            <v>-994534.06297462201</v>
          </cell>
          <cell r="H37">
            <v>-25273990.870692872</v>
          </cell>
        </row>
        <row r="39">
          <cell r="B39" t="str">
            <v xml:space="preserve">   Operating Rev For Return:</v>
          </cell>
          <cell r="C39">
            <v>46232661.73507905</v>
          </cell>
          <cell r="D39">
            <v>-6048376.3532339353</v>
          </cell>
          <cell r="E39">
            <v>40184285.381845117</v>
          </cell>
          <cell r="G39">
            <v>40184285.381845117</v>
          </cell>
          <cell r="H39">
            <v>-5604725.8338703178</v>
          </cell>
        </row>
        <row r="41">
          <cell r="B41" t="str">
            <v xml:space="preserve">   Rate Base:</v>
          </cell>
        </row>
        <row r="42">
          <cell r="B42" t="str">
            <v>Electric Plant In Service</v>
          </cell>
          <cell r="D42">
            <v>27046917.071776658</v>
          </cell>
          <cell r="H42">
            <v>-1161846.8837236031</v>
          </cell>
        </row>
        <row r="43">
          <cell r="B43" t="str">
            <v>Plant Held for Future Use</v>
          </cell>
          <cell r="D43">
            <v>0</v>
          </cell>
          <cell r="H43">
            <v>0</v>
          </cell>
        </row>
        <row r="44">
          <cell r="B44" t="str">
            <v>Misc Deferred Debits</v>
          </cell>
          <cell r="D44">
            <v>-2197306.0259155687</v>
          </cell>
          <cell r="H44">
            <v>15188002.091061195</v>
          </cell>
        </row>
        <row r="45">
          <cell r="B45" t="str">
            <v>Elec Plant Acq Adj</v>
          </cell>
          <cell r="D45">
            <v>0</v>
          </cell>
          <cell r="H45">
            <v>0</v>
          </cell>
        </row>
        <row r="46">
          <cell r="B46" t="str">
            <v>Nuclear Fuel</v>
          </cell>
          <cell r="D46">
            <v>0</v>
          </cell>
          <cell r="H46">
            <v>0</v>
          </cell>
        </row>
        <row r="47">
          <cell r="B47" t="str">
            <v>Prepayments</v>
          </cell>
          <cell r="D47">
            <v>-2850427.9619466118</v>
          </cell>
          <cell r="H47">
            <v>0</v>
          </cell>
        </row>
        <row r="48">
          <cell r="B48" t="str">
            <v>Fuel Stock</v>
          </cell>
          <cell r="D48">
            <v>2033952.2560125524</v>
          </cell>
          <cell r="H48">
            <v>-3595.335989266634</v>
          </cell>
        </row>
        <row r="49">
          <cell r="B49" t="str">
            <v>Material &amp; Supplies</v>
          </cell>
          <cell r="D49">
            <v>2018177.8990736436</v>
          </cell>
          <cell r="H49">
            <v>-3545.2505568028428</v>
          </cell>
        </row>
        <row r="50">
          <cell r="B50" t="str">
            <v>Working Capital</v>
          </cell>
          <cell r="D50">
            <v>8646327.0520162769</v>
          </cell>
          <cell r="H50">
            <v>364275.90369573049</v>
          </cell>
        </row>
        <row r="51">
          <cell r="B51" t="str">
            <v>Weatherization</v>
          </cell>
          <cell r="D51">
            <v>0</v>
          </cell>
          <cell r="H51">
            <v>0</v>
          </cell>
        </row>
        <row r="52">
          <cell r="B52" t="str">
            <v xml:space="preserve">Misc Rate Base </v>
          </cell>
          <cell r="D52">
            <v>-268576.60836182453</v>
          </cell>
          <cell r="H52">
            <v>0</v>
          </cell>
        </row>
        <row r="53">
          <cell r="B53" t="str">
            <v xml:space="preserve">   Total Electric Plant:</v>
          </cell>
          <cell r="D53">
            <v>34429063.682655126</v>
          </cell>
          <cell r="H53">
            <v>14383290.524487253</v>
          </cell>
        </row>
        <row r="55">
          <cell r="B55" t="str">
            <v>Rate Base Deductions:</v>
          </cell>
        </row>
        <row r="56">
          <cell r="B56" t="str">
            <v>Accum Prov For Deprec</v>
          </cell>
          <cell r="D56">
            <v>-7446965.4092337936</v>
          </cell>
          <cell r="H56">
            <v>123289.41095567844</v>
          </cell>
        </row>
        <row r="57">
          <cell r="B57" t="str">
            <v>Accum Prov For Amort</v>
          </cell>
          <cell r="D57">
            <v>0</v>
          </cell>
          <cell r="H57">
            <v>0</v>
          </cell>
        </row>
        <row r="58">
          <cell r="B58" t="str">
            <v>Accum Def Income Tax</v>
          </cell>
          <cell r="D58">
            <v>-6648465.3074480388</v>
          </cell>
          <cell r="H58">
            <v>-5544377.9755178178</v>
          </cell>
        </row>
        <row r="59">
          <cell r="B59" t="str">
            <v>Unamortized ITC</v>
          </cell>
          <cell r="D59">
            <v>144385.82344165733</v>
          </cell>
          <cell r="H59">
            <v>0</v>
          </cell>
        </row>
        <row r="60">
          <cell r="B60" t="str">
            <v>Customer Adv For Const</v>
          </cell>
          <cell r="D60">
            <v>23142.536575635779</v>
          </cell>
          <cell r="H60">
            <v>0</v>
          </cell>
        </row>
        <row r="61">
          <cell r="B61" t="str">
            <v>Customer Service Deposits</v>
          </cell>
          <cell r="D61">
            <v>-2980495.6783333328</v>
          </cell>
          <cell r="H61">
            <v>0</v>
          </cell>
        </row>
        <row r="62">
          <cell r="B62" t="str">
            <v>Misc Rate Base Deductions</v>
          </cell>
          <cell r="D62">
            <v>-2789519.813278635</v>
          </cell>
          <cell r="H62">
            <v>6650.0176601060666</v>
          </cell>
        </row>
        <row r="64">
          <cell r="B64" t="str">
            <v xml:space="preserve">     Total Rate Base Deductions</v>
          </cell>
          <cell r="D64">
            <v>-19697917.848276507</v>
          </cell>
          <cell r="H64">
            <v>-5414438.5469020326</v>
          </cell>
        </row>
        <row r="66">
          <cell r="B66" t="str">
            <v xml:space="preserve">   Total Rate Base:</v>
          </cell>
          <cell r="C66">
            <v>751399886.74508774</v>
          </cell>
          <cell r="D66">
            <v>14731145.834378619</v>
          </cell>
          <cell r="E66">
            <v>766131032.57946646</v>
          </cell>
          <cell r="G66">
            <v>766131032.57946646</v>
          </cell>
          <cell r="H66">
            <v>8968851.9775852207</v>
          </cell>
        </row>
        <row r="69">
          <cell r="B69" t="str">
            <v>Return on Equity</v>
          </cell>
          <cell r="C69">
            <v>6.3973137599340105E-2</v>
          </cell>
          <cell r="D69">
            <v>-1.7423751248643829E-2</v>
          </cell>
          <cell r="G69">
            <v>4.6549386350696262E-2</v>
          </cell>
          <cell r="H69">
            <v>-1.504394174770831E-2</v>
          </cell>
        </row>
        <row r="71">
          <cell r="B71" t="str">
            <v>TAX CALCULATION:</v>
          </cell>
        </row>
        <row r="72">
          <cell r="B72" t="str">
            <v>Operating Revenue</v>
          </cell>
          <cell r="D72">
            <v>-1596014.959937145</v>
          </cell>
          <cell r="H72">
            <v>-17482922.000049364</v>
          </cell>
        </row>
        <row r="73">
          <cell r="B73" t="str">
            <v>Other Deductions</v>
          </cell>
        </row>
        <row r="74">
          <cell r="B74" t="str">
            <v>Interest (AFUDC)</v>
          </cell>
          <cell r="D74">
            <v>217013.20626896209</v>
          </cell>
        </row>
        <row r="75">
          <cell r="B75" t="str">
            <v>Interest</v>
          </cell>
          <cell r="D75">
            <v>-3756595.1086111031</v>
          </cell>
          <cell r="H75">
            <v>251454.32158437371</v>
          </cell>
        </row>
        <row r="76">
          <cell r="B76" t="str">
            <v>Schedule "M" Additions</v>
          </cell>
          <cell r="D76">
            <v>-2566569.5074167242</v>
          </cell>
          <cell r="H76">
            <v>2050306.5331223095</v>
          </cell>
        </row>
        <row r="77">
          <cell r="B77" t="str">
            <v>Schedule "M" Deductions</v>
          </cell>
          <cell r="D77">
            <v>-1178110.4330472155</v>
          </cell>
          <cell r="H77">
            <v>951489.50999993121</v>
          </cell>
        </row>
        <row r="78">
          <cell r="B78" t="str">
            <v>Income Before Tax</v>
          </cell>
          <cell r="D78">
            <v>555107.86803548736</v>
          </cell>
          <cell r="H78">
            <v>-16635559.29851136</v>
          </cell>
        </row>
        <row r="80">
          <cell r="B80" t="str">
            <v>State Income Taxes</v>
          </cell>
          <cell r="D80">
            <v>0</v>
          </cell>
        </row>
        <row r="81">
          <cell r="B81" t="str">
            <v>Taxable Income</v>
          </cell>
          <cell r="D81">
            <v>555107.86803548736</v>
          </cell>
          <cell r="H81">
            <v>-16635559.29851136</v>
          </cell>
        </row>
        <row r="83">
          <cell r="B83" t="str">
            <v>Federal Income Taxes + Other</v>
          </cell>
          <cell r="D83">
            <v>194287.75381242129</v>
          </cell>
          <cell r="H83">
            <v>-11461182.021078767</v>
          </cell>
        </row>
        <row r="188">
          <cell r="D188">
            <v>5664589.5200000107</v>
          </cell>
        </row>
        <row r="189">
          <cell r="D189">
            <v>0</v>
          </cell>
        </row>
        <row r="190">
          <cell r="D190">
            <v>-42412289.183073334</v>
          </cell>
        </row>
        <row r="191">
          <cell r="D191">
            <v>-1173927.4576984197</v>
          </cell>
        </row>
        <row r="192">
          <cell r="D192">
            <v>-37921627.120771743</v>
          </cell>
        </row>
        <row r="195">
          <cell r="D195">
            <v>2564871.6501336116</v>
          </cell>
        </row>
        <row r="196">
          <cell r="D196">
            <v>0</v>
          </cell>
        </row>
        <row r="197">
          <cell r="D197">
            <v>16092.922938672704</v>
          </cell>
        </row>
        <row r="198">
          <cell r="D198">
            <v>-17274844.174361296</v>
          </cell>
        </row>
        <row r="199">
          <cell r="D199">
            <v>3901103.1892654365</v>
          </cell>
        </row>
        <row r="200">
          <cell r="D200">
            <v>98474.934809274215</v>
          </cell>
        </row>
        <row r="201">
          <cell r="D201">
            <v>62199.501023949764</v>
          </cell>
        </row>
        <row r="202">
          <cell r="D202">
            <v>-4857969.164940211</v>
          </cell>
        </row>
        <row r="203">
          <cell r="D203">
            <v>0</v>
          </cell>
        </row>
        <row r="204">
          <cell r="D204">
            <v>-1573143.0729479669</v>
          </cell>
        </row>
        <row r="205">
          <cell r="D205">
            <v>-17063214.214078527</v>
          </cell>
        </row>
        <row r="206">
          <cell r="D206">
            <v>-444460.91005525959</v>
          </cell>
        </row>
        <row r="207">
          <cell r="D207">
            <v>-351857.95314850612</v>
          </cell>
        </row>
        <row r="208">
          <cell r="D208">
            <v>-470740.99930434063</v>
          </cell>
        </row>
        <row r="209">
          <cell r="D209">
            <v>-11266894.267266346</v>
          </cell>
        </row>
        <row r="210">
          <cell r="D210">
            <v>0</v>
          </cell>
        </row>
        <row r="211">
          <cell r="D211">
            <v>3841059.4943840872</v>
          </cell>
        </row>
        <row r="212">
          <cell r="D212">
            <v>0</v>
          </cell>
        </row>
        <row r="213">
          <cell r="D213">
            <v>-512416.08419859601</v>
          </cell>
        </row>
        <row r="214">
          <cell r="D214">
            <v>-26268524.933667492</v>
          </cell>
        </row>
        <row r="216">
          <cell r="D216">
            <v>-11653102.187104251</v>
          </cell>
        </row>
        <row r="219">
          <cell r="D219">
            <v>25885070.188053057</v>
          </cell>
        </row>
        <row r="220">
          <cell r="D220">
            <v>0</v>
          </cell>
        </row>
        <row r="221">
          <cell r="D221">
            <v>12990696.065145627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-2850427.9619466118</v>
          </cell>
        </row>
        <row r="225">
          <cell r="D225">
            <v>2030356.9200232858</v>
          </cell>
        </row>
        <row r="226">
          <cell r="D226">
            <v>2014632.6485168408</v>
          </cell>
        </row>
        <row r="227">
          <cell r="D227">
            <v>9010602.9557120074</v>
          </cell>
        </row>
        <row r="228">
          <cell r="D228">
            <v>0</v>
          </cell>
        </row>
        <row r="229">
          <cell r="D229">
            <v>-268576.60836182453</v>
          </cell>
        </row>
        <row r="230">
          <cell r="D230">
            <v>48812354.207142375</v>
          </cell>
        </row>
        <row r="233">
          <cell r="D233">
            <v>-7323675.9982781149</v>
          </cell>
        </row>
        <row r="234">
          <cell r="D234">
            <v>0</v>
          </cell>
        </row>
        <row r="235">
          <cell r="D235">
            <v>-12192843.282965858</v>
          </cell>
        </row>
        <row r="236">
          <cell r="D236">
            <v>144385.82344165733</v>
          </cell>
        </row>
        <row r="237">
          <cell r="D237">
            <v>23142.536575635779</v>
          </cell>
        </row>
        <row r="238">
          <cell r="D238">
            <v>-2980495.6783333328</v>
          </cell>
        </row>
        <row r="239">
          <cell r="D239">
            <v>-2782869.795618529</v>
          </cell>
        </row>
        <row r="241">
          <cell r="D241">
            <v>-25112356.395178545</v>
          </cell>
        </row>
        <row r="243">
          <cell r="D243">
            <v>23699997.81196383</v>
          </cell>
        </row>
        <row r="246">
          <cell r="D246">
            <v>-3.2467692996352139E-2</v>
          </cell>
        </row>
        <row r="249">
          <cell r="D249">
            <v>-19078936.959986508</v>
          </cell>
        </row>
        <row r="251">
          <cell r="D251">
            <v>217013.20626896209</v>
          </cell>
        </row>
        <row r="252">
          <cell r="D252">
            <v>-3505140.7870267294</v>
          </cell>
        </row>
        <row r="256">
          <cell r="D256">
            <v>0</v>
          </cell>
        </row>
        <row r="257">
          <cell r="D257">
            <v>-16080451.430475872</v>
          </cell>
        </row>
        <row r="259">
          <cell r="D259">
            <v>-11266894.267266346</v>
          </cell>
        </row>
        <row r="261">
          <cell r="D261">
            <v>21987613.739146344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6"/>
  <sheetViews>
    <sheetView tabSelected="1" zoomScale="85" zoomScaleNormal="85" workbookViewId="0">
      <selection activeCell="I15" sqref="I15"/>
    </sheetView>
  </sheetViews>
  <sheetFormatPr defaultRowHeight="12.75"/>
  <cols>
    <col min="1" max="1" width="43.85546875" style="125" customWidth="1"/>
    <col min="2" max="2" width="18.5703125" style="125" customWidth="1"/>
    <col min="3" max="4" width="18.5703125" style="125" hidden="1" customWidth="1"/>
    <col min="5" max="6" width="18.5703125" style="125" customWidth="1"/>
    <col min="7" max="7" width="12.85546875" style="125" customWidth="1"/>
    <col min="8" max="16384" width="9.140625" style="125"/>
  </cols>
  <sheetData>
    <row r="1" spans="1:6">
      <c r="A1" s="34" t="s">
        <v>71</v>
      </c>
    </row>
    <row r="2" spans="1:6">
      <c r="A2" s="30" t="s">
        <v>72</v>
      </c>
    </row>
    <row r="3" spans="1:6">
      <c r="A3" s="260" t="s">
        <v>122</v>
      </c>
    </row>
    <row r="4" spans="1:6">
      <c r="A4" s="30"/>
    </row>
    <row r="5" spans="1:6">
      <c r="A5" s="30"/>
    </row>
    <row r="6" spans="1:6" ht="13.5" thickBot="1">
      <c r="A6" s="30"/>
      <c r="B6" s="29" t="s">
        <v>58</v>
      </c>
      <c r="C6" s="29"/>
      <c r="D6" s="29"/>
      <c r="E6" s="29" t="s">
        <v>59</v>
      </c>
      <c r="F6" s="29" t="s">
        <v>59</v>
      </c>
    </row>
    <row r="7" spans="1:6" ht="43.5" customHeight="1" thickBot="1">
      <c r="A7" s="129"/>
      <c r="B7" s="183" t="s">
        <v>57</v>
      </c>
      <c r="C7" s="27" t="s">
        <v>75</v>
      </c>
      <c r="D7" s="184" t="s">
        <v>6</v>
      </c>
      <c r="E7" s="28" t="s">
        <v>50</v>
      </c>
      <c r="F7" s="185" t="s">
        <v>73</v>
      </c>
    </row>
    <row r="8" spans="1:6">
      <c r="A8" s="96" t="str">
        <f>[1]Results!B10</f>
        <v xml:space="preserve">   Operating Revenues:</v>
      </c>
      <c r="B8" s="86"/>
      <c r="C8" s="76"/>
      <c r="D8" s="126"/>
      <c r="E8" s="76"/>
      <c r="F8" s="87"/>
    </row>
    <row r="9" spans="1:6">
      <c r="A9" s="96" t="str">
        <f>[1]Results!B11</f>
        <v>General Business Revenues</v>
      </c>
      <c r="B9" s="86">
        <f>[1]Results!D188</f>
        <v>5664589.5200000107</v>
      </c>
      <c r="C9" s="76">
        <f>SUM(E9:F9)</f>
        <v>5664589.5200000107</v>
      </c>
      <c r="D9" s="126">
        <f>B9-C9</f>
        <v>0</v>
      </c>
      <c r="E9" s="76">
        <f>SUM(Restating!F9:AS9)</f>
        <v>-6737565.5899999887</v>
      </c>
      <c r="F9" s="87">
        <f>SUM('Pro Forma'!F9:AS9)</f>
        <v>12402155.109999999</v>
      </c>
    </row>
    <row r="10" spans="1:6">
      <c r="A10" s="96" t="str">
        <f>[1]Results!B12</f>
        <v>Interdepartmental</v>
      </c>
      <c r="B10" s="86">
        <f>[1]Results!D189</f>
        <v>0</v>
      </c>
      <c r="C10" s="76">
        <f t="shared" ref="C10:C68" si="0">SUM(E10:F10)</f>
        <v>0</v>
      </c>
      <c r="D10" s="126">
        <f t="shared" ref="D10:D80" si="1">B10-C10</f>
        <v>0</v>
      </c>
      <c r="E10" s="76">
        <f>SUM(Restating!F10:AS10)</f>
        <v>0</v>
      </c>
      <c r="F10" s="87">
        <f>SUM('Pro Forma'!F10:AS10)</f>
        <v>0</v>
      </c>
    </row>
    <row r="11" spans="1:6">
      <c r="A11" s="96" t="str">
        <f>[1]Results!B13</f>
        <v>Special Sales</v>
      </c>
      <c r="B11" s="86">
        <f>[1]Results!D190</f>
        <v>-42412289.183073334</v>
      </c>
      <c r="C11" s="76">
        <f t="shared" si="0"/>
        <v>-42412289.183073334</v>
      </c>
      <c r="D11" s="126">
        <f t="shared" si="1"/>
        <v>0</v>
      </c>
      <c r="E11" s="76">
        <f>SUM(Restating!F11:AS11)</f>
        <v>3803644.2032988709</v>
      </c>
      <c r="F11" s="87">
        <f>SUM('Pro Forma'!F11:AS11)</f>
        <v>-46215933.386372209</v>
      </c>
    </row>
    <row r="12" spans="1:6">
      <c r="A12" s="96" t="str">
        <f>[1]Results!B14</f>
        <v>Other Operating Revenues</v>
      </c>
      <c r="B12" s="86">
        <f>[1]Results!D191</f>
        <v>-1173927.4576984197</v>
      </c>
      <c r="C12" s="76">
        <f t="shared" si="0"/>
        <v>-1173927.4576984202</v>
      </c>
      <c r="D12" s="126">
        <f t="shared" si="1"/>
        <v>0</v>
      </c>
      <c r="E12" s="76">
        <f>SUM(Restating!F12:AS12)</f>
        <v>-4108989.02950744</v>
      </c>
      <c r="F12" s="87">
        <f>SUM('Pro Forma'!F12:AS12)</f>
        <v>2935061.5718090199</v>
      </c>
    </row>
    <row r="13" spans="1:6" ht="13.5" thickBot="1">
      <c r="A13" s="96" t="str">
        <f>[1]Results!B15</f>
        <v xml:space="preserve">   Total Operating Revenues</v>
      </c>
      <c r="B13" s="186">
        <f>[1]Results!D192</f>
        <v>-37921627.120771743</v>
      </c>
      <c r="C13" s="95">
        <f t="shared" si="0"/>
        <v>-37921627.120771751</v>
      </c>
      <c r="D13" s="127">
        <f t="shared" si="1"/>
        <v>0</v>
      </c>
      <c r="E13" s="95">
        <f>SUM(Restating!F13:AS13)</f>
        <v>-7042910.4162085578</v>
      </c>
      <c r="F13" s="187">
        <f>SUM('Pro Forma'!F13:AS13)</f>
        <v>-30878716.704563189</v>
      </c>
    </row>
    <row r="14" spans="1:6" ht="13.5" thickTop="1">
      <c r="A14" s="96"/>
      <c r="B14" s="86"/>
      <c r="C14" s="76"/>
      <c r="D14" s="126"/>
      <c r="E14" s="76"/>
      <c r="F14" s="87"/>
    </row>
    <row r="15" spans="1:6">
      <c r="A15" s="96" t="str">
        <f>[1]Results!B17</f>
        <v xml:space="preserve">   Operating Expenses:</v>
      </c>
      <c r="B15" s="86"/>
      <c r="C15" s="76"/>
      <c r="D15" s="126"/>
      <c r="E15" s="76"/>
      <c r="F15" s="87">
        <f>SUM('Pro Forma'!F15:AS15)</f>
        <v>0</v>
      </c>
    </row>
    <row r="16" spans="1:6">
      <c r="A16" s="96" t="str">
        <f>[1]Results!B18</f>
        <v>Steam Production</v>
      </c>
      <c r="B16" s="86">
        <f>[1]Results!D195</f>
        <v>2564871.6501336116</v>
      </c>
      <c r="C16" s="76">
        <f t="shared" si="0"/>
        <v>2564871.6501336116</v>
      </c>
      <c r="D16" s="126">
        <f t="shared" si="1"/>
        <v>0</v>
      </c>
      <c r="E16" s="76">
        <f>SUM(Restating!F16:AS16)</f>
        <v>-1302039.490000973</v>
      </c>
      <c r="F16" s="87">
        <f>SUM('Pro Forma'!F16:AS16)</f>
        <v>3866911.1401345846</v>
      </c>
    </row>
    <row r="17" spans="1:6">
      <c r="A17" s="96" t="str">
        <f>[1]Results!B19</f>
        <v>Nuclear Production</v>
      </c>
      <c r="B17" s="86">
        <f>[1]Results!D196</f>
        <v>0</v>
      </c>
      <c r="C17" s="76">
        <f t="shared" si="0"/>
        <v>0</v>
      </c>
      <c r="D17" s="126">
        <f t="shared" si="1"/>
        <v>0</v>
      </c>
      <c r="E17" s="76">
        <f>SUM(Restating!F17:AS17)</f>
        <v>0</v>
      </c>
      <c r="F17" s="87">
        <f>SUM('Pro Forma'!F17:AS17)</f>
        <v>0</v>
      </c>
    </row>
    <row r="18" spans="1:6">
      <c r="A18" s="96" t="str">
        <f>[1]Results!B20</f>
        <v>Hydro Production</v>
      </c>
      <c r="B18" s="86">
        <f>[1]Results!D197</f>
        <v>16092.922938672704</v>
      </c>
      <c r="C18" s="76">
        <f t="shared" si="0"/>
        <v>16092.922938672704</v>
      </c>
      <c r="D18" s="126">
        <f t="shared" si="1"/>
        <v>0</v>
      </c>
      <c r="E18" s="76">
        <f>SUM(Restating!F18:AS18)</f>
        <v>1964.8349516471831</v>
      </c>
      <c r="F18" s="87">
        <f>SUM('Pro Forma'!F18:AS18)</f>
        <v>14128.087987025521</v>
      </c>
    </row>
    <row r="19" spans="1:6">
      <c r="A19" s="96" t="str">
        <f>[1]Results!B21</f>
        <v>Other Power Supply</v>
      </c>
      <c r="B19" s="86">
        <f>[1]Results!D198</f>
        <v>-17274844.174361296</v>
      </c>
      <c r="C19" s="76">
        <f t="shared" si="0"/>
        <v>-17274844.174361296</v>
      </c>
      <c r="D19" s="126">
        <f t="shared" si="1"/>
        <v>0</v>
      </c>
      <c r="E19" s="76">
        <f>SUM(Restating!F19:AS19)</f>
        <v>2206561.8332285574</v>
      </c>
      <c r="F19" s="87">
        <f>SUM('Pro Forma'!F19:AS19)</f>
        <v>-19481406.007589854</v>
      </c>
    </row>
    <row r="20" spans="1:6">
      <c r="A20" s="96" t="str">
        <f>[1]Results!B22</f>
        <v>Transmission</v>
      </c>
      <c r="B20" s="86">
        <f>[1]Results!D199</f>
        <v>3901103.1892654365</v>
      </c>
      <c r="C20" s="76">
        <f t="shared" si="0"/>
        <v>3901103.1892654365</v>
      </c>
      <c r="D20" s="126">
        <f t="shared" si="1"/>
        <v>0</v>
      </c>
      <c r="E20" s="76">
        <f>SUM(Restating!F20:AS20)</f>
        <v>-119205.98724489645</v>
      </c>
      <c r="F20" s="87">
        <f>SUM('Pro Forma'!F20:AS20)</f>
        <v>4020309.1765103331</v>
      </c>
    </row>
    <row r="21" spans="1:6">
      <c r="A21" s="96" t="str">
        <f>[1]Results!B23</f>
        <v>Distribution</v>
      </c>
      <c r="B21" s="86">
        <f>[1]Results!D200</f>
        <v>98474.934809274215</v>
      </c>
      <c r="C21" s="76">
        <f t="shared" si="0"/>
        <v>98474.934809274215</v>
      </c>
      <c r="D21" s="126">
        <f t="shared" si="1"/>
        <v>0</v>
      </c>
      <c r="E21" s="76">
        <f>SUM(Restating!F21:AS21)</f>
        <v>6969.4824389372116</v>
      </c>
      <c r="F21" s="87">
        <f>SUM('Pro Forma'!F21:AS21)</f>
        <v>91505.452370337007</v>
      </c>
    </row>
    <row r="22" spans="1:6">
      <c r="A22" s="96" t="str">
        <f>[1]Results!B24</f>
        <v>Customer Accounting</v>
      </c>
      <c r="B22" s="86">
        <f>[1]Results!D201</f>
        <v>62199.501023949764</v>
      </c>
      <c r="C22" s="76">
        <f t="shared" si="0"/>
        <v>62199.501023949764</v>
      </c>
      <c r="D22" s="126">
        <f t="shared" si="1"/>
        <v>0</v>
      </c>
      <c r="E22" s="76">
        <f>SUM(Restating!F22:AS22)</f>
        <v>4466.1128616715359</v>
      </c>
      <c r="F22" s="87">
        <f>SUM('Pro Forma'!F22:AS22)</f>
        <v>57733.388162278228</v>
      </c>
    </row>
    <row r="23" spans="1:6">
      <c r="A23" s="96" t="str">
        <f>[1]Results!B25</f>
        <v>Customer Service &amp; Info</v>
      </c>
      <c r="B23" s="86">
        <f>[1]Results!D202</f>
        <v>-4857969.164940211</v>
      </c>
      <c r="C23" s="76">
        <f t="shared" si="0"/>
        <v>-4857969.164940211</v>
      </c>
      <c r="D23" s="126">
        <f t="shared" si="1"/>
        <v>0</v>
      </c>
      <c r="E23" s="76">
        <f>SUM(Restating!F23:AS23)</f>
        <v>-4860648.457373553</v>
      </c>
      <c r="F23" s="87">
        <f>SUM('Pro Forma'!F23:AS23)</f>
        <v>2679.2924333421715</v>
      </c>
    </row>
    <row r="24" spans="1:6">
      <c r="A24" s="96" t="str">
        <f>[1]Results!B26</f>
        <v>Sales</v>
      </c>
      <c r="B24" s="86">
        <f>[1]Results!D203</f>
        <v>0</v>
      </c>
      <c r="C24" s="76">
        <f t="shared" si="0"/>
        <v>0</v>
      </c>
      <c r="D24" s="126">
        <f t="shared" si="1"/>
        <v>0</v>
      </c>
      <c r="E24" s="76">
        <f>SUM(Restating!F24:AS24)</f>
        <v>0</v>
      </c>
      <c r="F24" s="87">
        <f>SUM('Pro Forma'!F24:AS24)</f>
        <v>0</v>
      </c>
    </row>
    <row r="25" spans="1:6">
      <c r="A25" s="96" t="str">
        <f>[1]Results!B27</f>
        <v>Administrative &amp; General</v>
      </c>
      <c r="B25" s="86">
        <f>[1]Results!D204</f>
        <v>-1573143.0729479669</v>
      </c>
      <c r="C25" s="76">
        <f t="shared" si="0"/>
        <v>-1573143.0729479666</v>
      </c>
      <c r="D25" s="126">
        <f t="shared" si="1"/>
        <v>0</v>
      </c>
      <c r="E25" s="76">
        <f>SUM(Restating!F25:AS25)</f>
        <v>-244134.45056957737</v>
      </c>
      <c r="F25" s="87">
        <f>SUM('Pro Forma'!F25:AS25)</f>
        <v>-1329008.6223783894</v>
      </c>
    </row>
    <row r="26" spans="1:6">
      <c r="A26" s="96" t="str">
        <f>[1]Results!B28</f>
        <v xml:space="preserve">   Total O&amp;M Expenses</v>
      </c>
      <c r="B26" s="188">
        <f>[1]Results!D205</f>
        <v>-17063214.214078527</v>
      </c>
      <c r="C26" s="67">
        <f t="shared" si="0"/>
        <v>-17063214.214078527</v>
      </c>
      <c r="D26" s="128">
        <f t="shared" si="1"/>
        <v>0</v>
      </c>
      <c r="E26" s="67">
        <f>SUM(Restating!F26:AS26)</f>
        <v>-4306066.1217081854</v>
      </c>
      <c r="F26" s="189">
        <f>SUM('Pro Forma'!F26:AS26)</f>
        <v>-12757148.092370342</v>
      </c>
    </row>
    <row r="27" spans="1:6">
      <c r="A27" s="96" t="str">
        <f>[1]Results!B29</f>
        <v>Depreciation</v>
      </c>
      <c r="B27" s="86">
        <f>[1]Results!D206</f>
        <v>-444460.91005525959</v>
      </c>
      <c r="C27" s="76">
        <f t="shared" si="0"/>
        <v>-444460.91005525959</v>
      </c>
      <c r="D27" s="126">
        <f t="shared" si="1"/>
        <v>0</v>
      </c>
      <c r="E27" s="76">
        <f>SUM(Restating!F27:AS27)</f>
        <v>-415222.55433080252</v>
      </c>
      <c r="F27" s="87">
        <f>SUM('Pro Forma'!F27:AS27)</f>
        <v>-29238.355724457091</v>
      </c>
    </row>
    <row r="28" spans="1:6">
      <c r="A28" s="96" t="str">
        <f>[1]Results!B30</f>
        <v xml:space="preserve">Amortization </v>
      </c>
      <c r="B28" s="86">
        <f>[1]Results!D207</f>
        <v>-351857.95314850612</v>
      </c>
      <c r="C28" s="76">
        <f t="shared" si="0"/>
        <v>-351857.95314850612</v>
      </c>
      <c r="D28" s="126">
        <f t="shared" si="1"/>
        <v>0</v>
      </c>
      <c r="E28" s="76">
        <f>SUM(Restating!F28:AS28)</f>
        <v>-169568.97296169098</v>
      </c>
      <c r="F28" s="87">
        <f>SUM('Pro Forma'!F28:AS28)</f>
        <v>-182288.98018681514</v>
      </c>
    </row>
    <row r="29" spans="1:6">
      <c r="A29" s="96" t="str">
        <f>[1]Results!B31</f>
        <v>Taxes Other Than Income</v>
      </c>
      <c r="B29" s="86">
        <f>[1]Results!D208</f>
        <v>-470740.99930434063</v>
      </c>
      <c r="C29" s="76">
        <f t="shared" si="0"/>
        <v>-470740.99930434063</v>
      </c>
      <c r="D29" s="126">
        <f t="shared" si="1"/>
        <v>0</v>
      </c>
      <c r="E29" s="76">
        <f>SUM(Restating!F29:AS29)</f>
        <v>-42124.459304340671</v>
      </c>
      <c r="F29" s="87">
        <f>SUM('Pro Forma'!F29:AS29)</f>
        <v>-428616.54</v>
      </c>
    </row>
    <row r="30" spans="1:6">
      <c r="A30" s="96" t="str">
        <f>[1]Results!B32</f>
        <v>Income Taxes - Federal</v>
      </c>
      <c r="B30" s="86">
        <f>[1]Results!D209</f>
        <v>-11266894.267266346</v>
      </c>
      <c r="C30" s="76">
        <f>SUM(E30:F30)</f>
        <v>-11266894.267266344</v>
      </c>
      <c r="D30" s="126">
        <f t="shared" si="1"/>
        <v>0</v>
      </c>
      <c r="E30" s="76">
        <f>SUM(Restating!F30:AS30)</f>
        <v>194287.75381242135</v>
      </c>
      <c r="F30" s="87">
        <f>SUM('Pro Forma'!F30:AS30)</f>
        <v>-11461182.021078765</v>
      </c>
    </row>
    <row r="31" spans="1:6">
      <c r="A31" s="96" t="str">
        <f>[1]Results!B33</f>
        <v>Income Taxes - State</v>
      </c>
      <c r="B31" s="86">
        <f>[1]Results!D210</f>
        <v>0</v>
      </c>
      <c r="C31" s="76">
        <f t="shared" si="0"/>
        <v>0</v>
      </c>
      <c r="D31" s="126">
        <f t="shared" si="1"/>
        <v>0</v>
      </c>
      <c r="E31" s="76">
        <f>SUM(Restating!F31:AS31)</f>
        <v>0</v>
      </c>
      <c r="F31" s="87">
        <f>SUM('Pro Forma'!F31:AS31)</f>
        <v>0</v>
      </c>
    </row>
    <row r="32" spans="1:6">
      <c r="A32" s="96" t="str">
        <f>[1]Results!B34</f>
        <v>Income Taxes - Def Net</v>
      </c>
      <c r="B32" s="86">
        <f>[1]Results!D211</f>
        <v>3841059.4943840872</v>
      </c>
      <c r="C32" s="76">
        <f t="shared" si="0"/>
        <v>3841059.4943840881</v>
      </c>
      <c r="D32" s="126">
        <f t="shared" si="1"/>
        <v>0</v>
      </c>
      <c r="E32" s="76">
        <f>SUM(Restating!F32:AS32)</f>
        <v>4258073.6394843711</v>
      </c>
      <c r="F32" s="87">
        <f>SUM('Pro Forma'!F32:AS32)</f>
        <v>-417014.14510028285</v>
      </c>
    </row>
    <row r="33" spans="1:6">
      <c r="A33" s="96" t="str">
        <f>[1]Results!B35</f>
        <v>Investment Tax Credit Adj.</v>
      </c>
      <c r="B33" s="86">
        <f>[1]Results!D212</f>
        <v>0</v>
      </c>
      <c r="C33" s="76">
        <f t="shared" si="0"/>
        <v>0</v>
      </c>
      <c r="D33" s="126">
        <f t="shared" si="1"/>
        <v>0</v>
      </c>
      <c r="E33" s="76">
        <f>SUM(Restating!F33:AS33)</f>
        <v>0</v>
      </c>
      <c r="F33" s="87">
        <f>SUM('Pro Forma'!F33:AS33)</f>
        <v>0</v>
      </c>
    </row>
    <row r="34" spans="1:6">
      <c r="A34" s="96" t="str">
        <f>[1]Results!B36</f>
        <v>Misc Revenue &amp; Expense</v>
      </c>
      <c r="B34" s="86">
        <f>[1]Results!D213</f>
        <v>-512416.08419859601</v>
      </c>
      <c r="C34" s="76">
        <f t="shared" si="0"/>
        <v>-512416.08419859601</v>
      </c>
      <c r="D34" s="126">
        <f t="shared" si="1"/>
        <v>0</v>
      </c>
      <c r="E34" s="76">
        <f>SUM(Restating!F34:AS34)</f>
        <v>-513913.347966392</v>
      </c>
      <c r="F34" s="87">
        <f>SUM('Pro Forma'!F34:AS34)</f>
        <v>1497.2637677959865</v>
      </c>
    </row>
    <row r="35" spans="1:6">
      <c r="A35" s="96" t="str">
        <f>[1]Results!B37</f>
        <v xml:space="preserve">   Total Operating Expenses:</v>
      </c>
      <c r="B35" s="188">
        <f>[1]Results!D214</f>
        <v>-26268524.933667492</v>
      </c>
      <c r="C35" s="67">
        <f t="shared" si="0"/>
        <v>-26268524.933667488</v>
      </c>
      <c r="D35" s="128">
        <f t="shared" si="1"/>
        <v>0</v>
      </c>
      <c r="E35" s="67">
        <f>SUM(Restating!F35:AS35)</f>
        <v>-994534.06297462038</v>
      </c>
      <c r="F35" s="189">
        <f>SUM('Pro Forma'!F35:AS35)</f>
        <v>-25273990.870692868</v>
      </c>
    </row>
    <row r="36" spans="1:6">
      <c r="A36" s="96"/>
      <c r="B36" s="86"/>
      <c r="C36" s="76"/>
      <c r="D36" s="126"/>
      <c r="E36" s="76"/>
      <c r="F36" s="87"/>
    </row>
    <row r="37" spans="1:6" ht="13.5" thickBot="1">
      <c r="A37" s="96" t="str">
        <f>[1]Results!B39</f>
        <v xml:space="preserve">   Operating Rev For Return:</v>
      </c>
      <c r="B37" s="186">
        <f>[1]Results!D216</f>
        <v>-11653102.187104251</v>
      </c>
      <c r="C37" s="95">
        <f t="shared" si="0"/>
        <v>-11653102.187104253</v>
      </c>
      <c r="D37" s="127">
        <f t="shared" si="1"/>
        <v>0</v>
      </c>
      <c r="E37" s="95">
        <f>SUM(Restating!F37:AS37)</f>
        <v>-6048376.3532339372</v>
      </c>
      <c r="F37" s="187">
        <f>SUM('Pro Forma'!F37:AS37)</f>
        <v>-5604725.8338703159</v>
      </c>
    </row>
    <row r="38" spans="1:6" ht="13.5" thickTop="1">
      <c r="A38" s="96"/>
      <c r="B38" s="86"/>
      <c r="C38" s="76"/>
      <c r="D38" s="126"/>
      <c r="E38" s="76"/>
      <c r="F38" s="87"/>
    </row>
    <row r="39" spans="1:6">
      <c r="A39" s="96" t="str">
        <f>[1]Results!B41</f>
        <v xml:space="preserve">   Rate Base:</v>
      </c>
      <c r="B39" s="86"/>
      <c r="C39" s="76"/>
      <c r="D39" s="126"/>
      <c r="E39" s="76"/>
      <c r="F39" s="87">
        <f>SUM('Pro Forma'!F39:AS39)</f>
        <v>0</v>
      </c>
    </row>
    <row r="40" spans="1:6">
      <c r="A40" s="96" t="str">
        <f>[1]Results!B42</f>
        <v>Electric Plant In Service</v>
      </c>
      <c r="B40" s="86">
        <f>[1]Results!D219</f>
        <v>25885070.188053057</v>
      </c>
      <c r="C40" s="76">
        <f t="shared" si="0"/>
        <v>25885070.188053053</v>
      </c>
      <c r="D40" s="126">
        <f t="shared" si="1"/>
        <v>0</v>
      </c>
      <c r="E40" s="76">
        <f>SUM(Restating!F40:AS40)</f>
        <v>27046917.071776655</v>
      </c>
      <c r="F40" s="87">
        <f>SUM('Pro Forma'!F40:AS40)</f>
        <v>-1161846.8837236031</v>
      </c>
    </row>
    <row r="41" spans="1:6">
      <c r="A41" s="96" t="str">
        <f>[1]Results!B43</f>
        <v>Plant Held for Future Use</v>
      </c>
      <c r="B41" s="86">
        <f>[1]Results!D220</f>
        <v>0</v>
      </c>
      <c r="C41" s="76">
        <f t="shared" si="0"/>
        <v>0</v>
      </c>
      <c r="D41" s="126">
        <f t="shared" si="1"/>
        <v>0</v>
      </c>
      <c r="E41" s="76">
        <f>SUM(Restating!F41:AS41)</f>
        <v>0</v>
      </c>
      <c r="F41" s="87">
        <f>SUM('Pro Forma'!F41:AS41)</f>
        <v>0</v>
      </c>
    </row>
    <row r="42" spans="1:6">
      <c r="A42" s="96" t="str">
        <f>[1]Results!B44</f>
        <v>Misc Deferred Debits</v>
      </c>
      <c r="B42" s="86">
        <f>[1]Results!D221</f>
        <v>12990696.065145627</v>
      </c>
      <c r="C42" s="76">
        <f t="shared" si="0"/>
        <v>12990696.065145627</v>
      </c>
      <c r="D42" s="126">
        <f t="shared" si="1"/>
        <v>0</v>
      </c>
      <c r="E42" s="76">
        <f>SUM(Restating!F42:AS42)</f>
        <v>-2197306.0259155687</v>
      </c>
      <c r="F42" s="87">
        <f>SUM('Pro Forma'!F42:AS42)</f>
        <v>15188002.091061195</v>
      </c>
    </row>
    <row r="43" spans="1:6">
      <c r="A43" s="96" t="str">
        <f>[1]Results!B45</f>
        <v>Elec Plant Acq Adj</v>
      </c>
      <c r="B43" s="86">
        <f>[1]Results!D222</f>
        <v>0</v>
      </c>
      <c r="C43" s="76">
        <f t="shared" si="0"/>
        <v>0</v>
      </c>
      <c r="D43" s="126">
        <f t="shared" si="1"/>
        <v>0</v>
      </c>
      <c r="E43" s="76">
        <f>SUM(Restating!F43:AS43)</f>
        <v>0</v>
      </c>
      <c r="F43" s="87">
        <f>SUM('Pro Forma'!F43:AS43)</f>
        <v>0</v>
      </c>
    </row>
    <row r="44" spans="1:6">
      <c r="A44" s="96" t="str">
        <f>[1]Results!B46</f>
        <v>Nuclear Fuel</v>
      </c>
      <c r="B44" s="86">
        <f>[1]Results!D223</f>
        <v>0</v>
      </c>
      <c r="C44" s="76">
        <f t="shared" si="0"/>
        <v>0</v>
      </c>
      <c r="D44" s="126">
        <f t="shared" si="1"/>
        <v>0</v>
      </c>
      <c r="E44" s="76">
        <f>SUM(Restating!F44:AS44)</f>
        <v>0</v>
      </c>
      <c r="F44" s="87">
        <f>SUM('Pro Forma'!F44:AS44)</f>
        <v>0</v>
      </c>
    </row>
    <row r="45" spans="1:6">
      <c r="A45" s="96" t="str">
        <f>[1]Results!B47</f>
        <v>Prepayments</v>
      </c>
      <c r="B45" s="86">
        <f>[1]Results!D224</f>
        <v>-2850427.9619466118</v>
      </c>
      <c r="C45" s="76">
        <f t="shared" si="0"/>
        <v>-2850427.9619466118</v>
      </c>
      <c r="D45" s="126">
        <f t="shared" si="1"/>
        <v>0</v>
      </c>
      <c r="E45" s="76">
        <f>SUM(Restating!F45:AS45)</f>
        <v>-2850427.9619466118</v>
      </c>
      <c r="F45" s="87">
        <f>SUM('Pro Forma'!F45:AS45)</f>
        <v>0</v>
      </c>
    </row>
    <row r="46" spans="1:6">
      <c r="A46" s="96" t="str">
        <f>[1]Results!B48</f>
        <v>Fuel Stock</v>
      </c>
      <c r="B46" s="86">
        <f>[1]Results!D225</f>
        <v>2030356.9200232858</v>
      </c>
      <c r="C46" s="76">
        <f t="shared" si="0"/>
        <v>2030356.9200232858</v>
      </c>
      <c r="D46" s="126">
        <f t="shared" si="1"/>
        <v>0</v>
      </c>
      <c r="E46" s="76">
        <f>SUM(Restating!F46:AS46)</f>
        <v>2033952.2560125524</v>
      </c>
      <c r="F46" s="87">
        <f>SUM('Pro Forma'!F46:AS46)</f>
        <v>-3595.335989266634</v>
      </c>
    </row>
    <row r="47" spans="1:6">
      <c r="A47" s="96" t="str">
        <f>[1]Results!B49</f>
        <v>Material &amp; Supplies</v>
      </c>
      <c r="B47" s="86">
        <f>[1]Results!D226</f>
        <v>2014632.6485168408</v>
      </c>
      <c r="C47" s="76">
        <f t="shared" si="0"/>
        <v>2014632.6485168408</v>
      </c>
      <c r="D47" s="126">
        <f t="shared" si="1"/>
        <v>0</v>
      </c>
      <c r="E47" s="76">
        <f>SUM(Restating!F47:AS47)</f>
        <v>2018177.8990736436</v>
      </c>
      <c r="F47" s="87">
        <f>SUM('Pro Forma'!F47:AS47)</f>
        <v>-3545.2505568028428</v>
      </c>
    </row>
    <row r="48" spans="1:6">
      <c r="A48" s="96" t="str">
        <f>[1]Results!B50</f>
        <v>Working Capital</v>
      </c>
      <c r="B48" s="86">
        <f>[1]Results!D227</f>
        <v>9010602.9557120074</v>
      </c>
      <c r="C48" s="76">
        <f t="shared" si="0"/>
        <v>9010602.9557120055</v>
      </c>
      <c r="D48" s="126">
        <f t="shared" si="1"/>
        <v>0</v>
      </c>
      <c r="E48" s="76">
        <f>SUM(Restating!F48:AS48)</f>
        <v>8646327.052016275</v>
      </c>
      <c r="F48" s="87">
        <f>SUM('Pro Forma'!F48:AS48)</f>
        <v>364275.90369573049</v>
      </c>
    </row>
    <row r="49" spans="1:6">
      <c r="A49" s="96" t="str">
        <f>[1]Results!B51</f>
        <v>Weatherization</v>
      </c>
      <c r="B49" s="86">
        <f>[1]Results!D228</f>
        <v>0</v>
      </c>
      <c r="C49" s="76">
        <f t="shared" si="0"/>
        <v>0</v>
      </c>
      <c r="D49" s="126">
        <f t="shared" si="1"/>
        <v>0</v>
      </c>
      <c r="E49" s="76">
        <f>SUM(Restating!F49:AS49)</f>
        <v>0</v>
      </c>
      <c r="F49" s="87">
        <f>SUM('Pro Forma'!F49:AS49)</f>
        <v>0</v>
      </c>
    </row>
    <row r="50" spans="1:6">
      <c r="A50" s="96" t="str">
        <f>[1]Results!B52</f>
        <v xml:space="preserve">Misc Rate Base </v>
      </c>
      <c r="B50" s="86">
        <f>[1]Results!D229</f>
        <v>-268576.60836182453</v>
      </c>
      <c r="C50" s="76">
        <f t="shared" si="0"/>
        <v>-268576.60836182453</v>
      </c>
      <c r="D50" s="126">
        <f t="shared" si="1"/>
        <v>0</v>
      </c>
      <c r="E50" s="76">
        <f>SUM(Restating!F50:AS50)</f>
        <v>-268576.60836182453</v>
      </c>
      <c r="F50" s="87">
        <f>SUM('Pro Forma'!F50:AS50)</f>
        <v>0</v>
      </c>
    </row>
    <row r="51" spans="1:6" ht="13.5" thickBot="1">
      <c r="A51" s="96" t="str">
        <f>[1]Results!B53</f>
        <v xml:space="preserve">   Total Electric Plant:</v>
      </c>
      <c r="B51" s="186">
        <f>[1]Results!D230</f>
        <v>48812354.207142375</v>
      </c>
      <c r="C51" s="95">
        <f t="shared" si="0"/>
        <v>48812354.207142383</v>
      </c>
      <c r="D51" s="127">
        <f t="shared" si="1"/>
        <v>0</v>
      </c>
      <c r="E51" s="95">
        <f>SUM(Restating!F51:AS51)</f>
        <v>34429063.682655126</v>
      </c>
      <c r="F51" s="187">
        <f>SUM('Pro Forma'!F51:AS51)</f>
        <v>14383290.524487253</v>
      </c>
    </row>
    <row r="52" spans="1:6" ht="13.5" thickTop="1">
      <c r="A52" s="96"/>
      <c r="B52" s="86"/>
      <c r="C52" s="76"/>
      <c r="D52" s="126"/>
      <c r="E52" s="76"/>
      <c r="F52" s="87"/>
    </row>
    <row r="53" spans="1:6">
      <c r="A53" s="96" t="str">
        <f>[1]Results!B55</f>
        <v>Rate Base Deductions:</v>
      </c>
      <c r="B53" s="86"/>
      <c r="C53" s="76"/>
      <c r="D53" s="126"/>
      <c r="E53" s="76"/>
      <c r="F53" s="87">
        <f>SUM('Pro Forma'!F53:AS53)</f>
        <v>0</v>
      </c>
    </row>
    <row r="54" spans="1:6">
      <c r="A54" s="96" t="str">
        <f>[1]Results!B56</f>
        <v>Accum Prov For Deprec</v>
      </c>
      <c r="B54" s="86">
        <f>[1]Results!D233</f>
        <v>-7323675.9982781149</v>
      </c>
      <c r="C54" s="76">
        <f t="shared" si="0"/>
        <v>-7323675.9982781149</v>
      </c>
      <c r="D54" s="126">
        <f t="shared" si="1"/>
        <v>0</v>
      </c>
      <c r="E54" s="76">
        <f>SUM(Restating!F54:AS54)</f>
        <v>-7446965.4092337936</v>
      </c>
      <c r="F54" s="87">
        <f>SUM('Pro Forma'!F54:AS54)</f>
        <v>123289.41095567844</v>
      </c>
    </row>
    <row r="55" spans="1:6">
      <c r="A55" s="96" t="str">
        <f>[1]Results!B57</f>
        <v>Accum Prov For Amort</v>
      </c>
      <c r="B55" s="86">
        <f>[1]Results!D234</f>
        <v>0</v>
      </c>
      <c r="C55" s="76">
        <f t="shared" si="0"/>
        <v>0</v>
      </c>
      <c r="D55" s="126">
        <f t="shared" si="1"/>
        <v>0</v>
      </c>
      <c r="E55" s="76">
        <f>SUM(Restating!F55:AS55)</f>
        <v>0</v>
      </c>
      <c r="F55" s="87">
        <f>SUM('Pro Forma'!F55:AS55)</f>
        <v>0</v>
      </c>
    </row>
    <row r="56" spans="1:6">
      <c r="A56" s="96" t="str">
        <f>[1]Results!B58</f>
        <v>Accum Def Income Tax</v>
      </c>
      <c r="B56" s="86">
        <f>[1]Results!D235</f>
        <v>-12192843.282965858</v>
      </c>
      <c r="C56" s="76">
        <f t="shared" si="0"/>
        <v>-12192843.282965858</v>
      </c>
      <c r="D56" s="126">
        <f t="shared" si="1"/>
        <v>0</v>
      </c>
      <c r="E56" s="76">
        <f>SUM(Restating!F56:AS56)</f>
        <v>-6648465.3074480407</v>
      </c>
      <c r="F56" s="87">
        <f>SUM('Pro Forma'!F56:AS56)</f>
        <v>-5544377.9755178178</v>
      </c>
    </row>
    <row r="57" spans="1:6">
      <c r="A57" s="96" t="str">
        <f>[1]Results!B59</f>
        <v>Unamortized ITC</v>
      </c>
      <c r="B57" s="86">
        <f>[1]Results!D236</f>
        <v>144385.82344165733</v>
      </c>
      <c r="C57" s="76">
        <f t="shared" si="0"/>
        <v>144385.82344165733</v>
      </c>
      <c r="D57" s="126">
        <f t="shared" si="1"/>
        <v>0</v>
      </c>
      <c r="E57" s="76">
        <f>SUM(Restating!F57:AS57)</f>
        <v>144385.82344165733</v>
      </c>
      <c r="F57" s="87">
        <f>SUM('Pro Forma'!F57:AS57)</f>
        <v>0</v>
      </c>
    </row>
    <row r="58" spans="1:6">
      <c r="A58" s="96" t="str">
        <f>[1]Results!B60</f>
        <v>Customer Adv For Const</v>
      </c>
      <c r="B58" s="86">
        <f>[1]Results!D237</f>
        <v>23142.536575635779</v>
      </c>
      <c r="C58" s="76">
        <f t="shared" si="0"/>
        <v>23142.536575635779</v>
      </c>
      <c r="D58" s="126">
        <f t="shared" si="1"/>
        <v>0</v>
      </c>
      <c r="E58" s="76">
        <f>SUM(Restating!F58:AS58)</f>
        <v>23142.536575635779</v>
      </c>
      <c r="F58" s="87">
        <f>SUM('Pro Forma'!F58:AS58)</f>
        <v>0</v>
      </c>
    </row>
    <row r="59" spans="1:6">
      <c r="A59" s="96" t="str">
        <f>[1]Results!B61</f>
        <v>Customer Service Deposits</v>
      </c>
      <c r="B59" s="86">
        <f>[1]Results!D238</f>
        <v>-2980495.6783333328</v>
      </c>
      <c r="C59" s="76">
        <f t="shared" si="0"/>
        <v>-2980495.6783333328</v>
      </c>
      <c r="D59" s="126">
        <f t="shared" si="1"/>
        <v>0</v>
      </c>
      <c r="E59" s="76">
        <f>SUM(Restating!F59:AS59)</f>
        <v>-2980495.6783333328</v>
      </c>
      <c r="F59" s="87">
        <f>SUM('Pro Forma'!F59:AS59)</f>
        <v>0</v>
      </c>
    </row>
    <row r="60" spans="1:6">
      <c r="A60" s="96" t="str">
        <f>[1]Results!B62</f>
        <v>Misc Rate Base Deductions</v>
      </c>
      <c r="B60" s="86">
        <f>[1]Results!D239</f>
        <v>-2782869.795618529</v>
      </c>
      <c r="C60" s="76">
        <f t="shared" si="0"/>
        <v>-2782869.795618529</v>
      </c>
      <c r="D60" s="126">
        <f t="shared" si="1"/>
        <v>0</v>
      </c>
      <c r="E60" s="76">
        <f>SUM(Restating!F60:AS60)</f>
        <v>-2789519.813278635</v>
      </c>
      <c r="F60" s="87">
        <f>SUM('Pro Forma'!F60:AS60)</f>
        <v>6650.0176601060666</v>
      </c>
    </row>
    <row r="61" spans="1:6">
      <c r="A61" s="96"/>
      <c r="B61" s="86"/>
      <c r="C61" s="76"/>
      <c r="D61" s="126"/>
      <c r="E61" s="76">
        <f>SUM(Restating!F61:AS61)</f>
        <v>0</v>
      </c>
      <c r="F61" s="87"/>
    </row>
    <row r="62" spans="1:6" ht="13.5" thickBot="1">
      <c r="A62" s="96" t="str">
        <f>[1]Results!B64</f>
        <v xml:space="preserve">     Total Rate Base Deductions</v>
      </c>
      <c r="B62" s="186">
        <f>[1]Results!D241</f>
        <v>-25112356.395178545</v>
      </c>
      <c r="C62" s="95">
        <f t="shared" si="0"/>
        <v>-25112356.395178542</v>
      </c>
      <c r="D62" s="127">
        <f t="shared" si="1"/>
        <v>0</v>
      </c>
      <c r="E62" s="95">
        <f>SUM(Restating!F62:AS62)</f>
        <v>-19697917.848276511</v>
      </c>
      <c r="F62" s="187">
        <f>SUM('Pro Forma'!F62:AS62)</f>
        <v>-5414438.5469020326</v>
      </c>
    </row>
    <row r="63" spans="1:6" ht="13.5" thickTop="1">
      <c r="A63" s="96"/>
      <c r="B63" s="86"/>
      <c r="C63" s="76"/>
      <c r="D63" s="126"/>
      <c r="E63" s="76"/>
      <c r="F63" s="87"/>
    </row>
    <row r="64" spans="1:6" ht="13.5" thickBot="1">
      <c r="A64" s="96" t="str">
        <f>[1]Results!B66</f>
        <v xml:space="preserve">   Total Rate Base:</v>
      </c>
      <c r="B64" s="186">
        <f>[1]Results!D243</f>
        <v>23699997.81196383</v>
      </c>
      <c r="C64" s="95">
        <f t="shared" si="0"/>
        <v>23699997.811963841</v>
      </c>
      <c r="D64" s="127">
        <f t="shared" si="1"/>
        <v>0</v>
      </c>
      <c r="E64" s="95">
        <f>SUM(Restating!F64:AS64)</f>
        <v>14731145.834378622</v>
      </c>
      <c r="F64" s="187">
        <f>SUM('Pro Forma'!F64:AS64)</f>
        <v>8968851.9775852188</v>
      </c>
    </row>
    <row r="65" spans="1:7" ht="13.5" thickTop="1">
      <c r="A65" s="96"/>
      <c r="B65" s="86"/>
      <c r="C65" s="76"/>
      <c r="D65" s="126"/>
      <c r="E65" s="76"/>
      <c r="F65" s="87"/>
    </row>
    <row r="66" spans="1:7">
      <c r="A66" s="96"/>
      <c r="B66" s="86"/>
      <c r="C66" s="76"/>
      <c r="D66" s="126"/>
      <c r="E66" s="76"/>
      <c r="F66" s="87"/>
    </row>
    <row r="67" spans="1:7">
      <c r="A67" s="96" t="str">
        <f>[1]Results!B69</f>
        <v>Return on Equity</v>
      </c>
      <c r="B67" s="179">
        <f>[1]Results!D246</f>
        <v>-3.2467692996352139E-2</v>
      </c>
      <c r="C67" s="171">
        <f t="shared" si="0"/>
        <v>-3.2467692996352139E-2</v>
      </c>
      <c r="D67" s="172">
        <f t="shared" si="1"/>
        <v>0</v>
      </c>
      <c r="E67" s="173">
        <f>Restating!B67</f>
        <v>-1.7423751248643829E-2</v>
      </c>
      <c r="F67" s="176">
        <f>'Pro Forma'!B67</f>
        <v>-1.504394174770831E-2</v>
      </c>
    </row>
    <row r="68" spans="1:7">
      <c r="A68" s="96" t="s">
        <v>74</v>
      </c>
      <c r="B68" s="90">
        <f>[1]Results!$D$261</f>
        <v>21987613.739146344</v>
      </c>
      <c r="C68" s="88">
        <f t="shared" si="0"/>
        <v>21987613.739146352</v>
      </c>
      <c r="D68" s="126">
        <f t="shared" si="1"/>
        <v>0</v>
      </c>
      <c r="E68" s="88">
        <f>SUM(Restating!F68:AS68)</f>
        <v>11739294.566401748</v>
      </c>
      <c r="F68" s="91">
        <f>-(F37-(F64*'Capital Structure'!$G$10))*('Capital Structure'!$D$13)</f>
        <v>10248319.172744602</v>
      </c>
    </row>
    <row r="69" spans="1:7">
      <c r="A69" s="96"/>
      <c r="B69" s="152"/>
      <c r="C69" s="153"/>
      <c r="D69" s="163"/>
      <c r="E69" s="153"/>
      <c r="F69" s="154"/>
    </row>
    <row r="70" spans="1:7">
      <c r="A70" s="96"/>
      <c r="B70" s="86"/>
      <c r="C70" s="76"/>
      <c r="D70" s="126"/>
      <c r="E70" s="76"/>
      <c r="F70" s="87"/>
    </row>
    <row r="71" spans="1:7">
      <c r="A71" s="96" t="str">
        <f>[1]Results!B71</f>
        <v>TAX CALCULATION:</v>
      </c>
      <c r="B71" s="86"/>
      <c r="C71" s="76"/>
      <c r="D71" s="126"/>
      <c r="E71" s="76"/>
      <c r="F71" s="87"/>
    </row>
    <row r="72" spans="1:7">
      <c r="A72" s="96" t="str">
        <f>[1]Results!B72</f>
        <v>Operating Revenue</v>
      </c>
      <c r="B72" s="86">
        <f>[1]Results!$D$249</f>
        <v>-19078936.959986508</v>
      </c>
      <c r="C72" s="76">
        <f>SUM(E72:F72)</f>
        <v>-19078936.959986515</v>
      </c>
      <c r="D72" s="126">
        <f t="shared" si="1"/>
        <v>0</v>
      </c>
      <c r="E72" s="76">
        <f>SUM(Restating!F72:AS72)</f>
        <v>-1596014.9599371455</v>
      </c>
      <c r="F72" s="87">
        <f>SUM('Pro Forma'!F72:AS72)</f>
        <v>-17482922.000049371</v>
      </c>
    </row>
    <row r="73" spans="1:7">
      <c r="A73" s="96" t="str">
        <f>[1]Results!B73</f>
        <v>Other Deductions</v>
      </c>
      <c r="B73" s="86">
        <f>[1]Results!$D$250</f>
        <v>0</v>
      </c>
      <c r="C73" s="76">
        <f t="shared" ref="C73:C76" si="2">SUM(E73:F73)</f>
        <v>0</v>
      </c>
      <c r="D73" s="126">
        <f t="shared" si="1"/>
        <v>0</v>
      </c>
      <c r="E73" s="76">
        <f>SUM(Restating!F73:AS73)</f>
        <v>0</v>
      </c>
      <c r="F73" s="87">
        <f>SUM('Pro Forma'!F73:AS73)</f>
        <v>0</v>
      </c>
    </row>
    <row r="74" spans="1:7">
      <c r="A74" s="96" t="str">
        <f>[1]Results!B74</f>
        <v>Interest (AFUDC)</v>
      </c>
      <c r="B74" s="86">
        <f>[1]Results!$D$251</f>
        <v>217013.20626896209</v>
      </c>
      <c r="C74" s="76">
        <f t="shared" si="2"/>
        <v>217013.20626896209</v>
      </c>
      <c r="D74" s="126">
        <f t="shared" si="1"/>
        <v>0</v>
      </c>
      <c r="E74" s="76">
        <f>SUM(Restating!F74:AS74)</f>
        <v>217013.20626896209</v>
      </c>
      <c r="F74" s="87">
        <f>SUM('Pro Forma'!F74:AS74)</f>
        <v>0</v>
      </c>
    </row>
    <row r="75" spans="1:7">
      <c r="A75" s="96" t="str">
        <f>[1]Results!B75</f>
        <v>Interest</v>
      </c>
      <c r="B75" s="86">
        <f>[1]Results!$D$252</f>
        <v>-3505140.7870267294</v>
      </c>
      <c r="C75" s="76">
        <f t="shared" si="2"/>
        <v>-3505140.7870267294</v>
      </c>
      <c r="D75" s="126">
        <f t="shared" si="1"/>
        <v>0</v>
      </c>
      <c r="E75" s="76">
        <f>SUM(Restating!F75:AS75)</f>
        <v>-3756595.1086111031</v>
      </c>
      <c r="F75" s="87">
        <f>SUM('Pro Forma'!F75:AS75)</f>
        <v>251454.32158437371</v>
      </c>
    </row>
    <row r="76" spans="1:7">
      <c r="A76" s="96" t="str">
        <f>[1]Results!B76</f>
        <v>Schedule "M" Additions</v>
      </c>
      <c r="B76" s="86">
        <f>[1]Results!$D$76+[1]Results!$H$76</f>
        <v>-516262.97429441474</v>
      </c>
      <c r="C76" s="76">
        <f t="shared" si="2"/>
        <v>-516262.97429441498</v>
      </c>
      <c r="D76" s="126">
        <f t="shared" si="1"/>
        <v>0</v>
      </c>
      <c r="E76" s="76">
        <f>SUM(Restating!F76:AS76)</f>
        <v>-2566569.5074167242</v>
      </c>
      <c r="F76" s="87">
        <f>SUM('Pro Forma'!F76:AS76)</f>
        <v>2050306.5331223093</v>
      </c>
      <c r="G76" s="129"/>
    </row>
    <row r="77" spans="1:7">
      <c r="A77" s="96" t="str">
        <f>[1]Results!B77</f>
        <v>Schedule "M" Deductions</v>
      </c>
      <c r="B77" s="190">
        <f>[1]Results!$D$77+[1]Results!$H$77</f>
        <v>-226620.92304728425</v>
      </c>
      <c r="C77" s="71">
        <f>SUM(E77:F77)</f>
        <v>-226620.92304728425</v>
      </c>
      <c r="D77" s="182">
        <f t="shared" si="1"/>
        <v>0</v>
      </c>
      <c r="E77" s="71">
        <f>SUM(Restating!F77:AS77)</f>
        <v>-1178110.4330472155</v>
      </c>
      <c r="F77" s="191">
        <f>SUM('Pro Forma'!F77:AS77)</f>
        <v>951489.50999993121</v>
      </c>
      <c r="G77" s="129"/>
    </row>
    <row r="78" spans="1:7">
      <c r="A78" s="96" t="str">
        <f>[1]Results!B78</f>
        <v>Income Before Tax</v>
      </c>
      <c r="B78" s="86">
        <f>[1]Results!D257</f>
        <v>-16080451.430475872</v>
      </c>
      <c r="C78" s="76">
        <f>SUM(E78:F78)</f>
        <v>-16080451.430475879</v>
      </c>
      <c r="D78" s="126">
        <f t="shared" si="1"/>
        <v>0</v>
      </c>
      <c r="E78" s="76">
        <f>SUM(Restating!F78:AS78)</f>
        <v>555107.8680354869</v>
      </c>
      <c r="F78" s="87">
        <f t="shared" ref="F78" si="3">F72-F74-F75+F76-F77</f>
        <v>-16635559.298511367</v>
      </c>
      <c r="G78" s="129"/>
    </row>
    <row r="79" spans="1:7">
      <c r="A79" s="96"/>
      <c r="B79" s="86">
        <f>[1]Results!D258</f>
        <v>0</v>
      </c>
      <c r="C79" s="76"/>
      <c r="D79" s="126"/>
      <c r="E79" s="76"/>
      <c r="F79" s="87"/>
      <c r="G79" s="129"/>
    </row>
    <row r="80" spans="1:7">
      <c r="A80" s="96" t="str">
        <f>[1]Results!B80</f>
        <v>State Income Taxes</v>
      </c>
      <c r="B80" s="86">
        <f>[1]Results!$D$256</f>
        <v>0</v>
      </c>
      <c r="C80" s="76">
        <f>SUM(E80:F80)</f>
        <v>0</v>
      </c>
      <c r="D80" s="126">
        <f t="shared" si="1"/>
        <v>0</v>
      </c>
      <c r="E80" s="76">
        <f>SUM(Restating!F80:AS80)</f>
        <v>0</v>
      </c>
      <c r="F80" s="87">
        <f>SUM('Pro Forma'!F80:AS80)</f>
        <v>0</v>
      </c>
      <c r="G80" s="129"/>
    </row>
    <row r="81" spans="1:7">
      <c r="A81" s="96" t="str">
        <f>[1]Results!B81</f>
        <v>Taxable Income</v>
      </c>
      <c r="B81" s="86">
        <f>[1]Results!$D$257</f>
        <v>-16080451.430475872</v>
      </c>
      <c r="C81" s="76">
        <f>SUM(E81:F81)</f>
        <v>-16080451.430475879</v>
      </c>
      <c r="D81" s="126">
        <f t="shared" ref="D81:D83" si="4">B81-C81</f>
        <v>0</v>
      </c>
      <c r="E81" s="76">
        <f>SUM(Restating!F81:AS81)</f>
        <v>555107.8680354869</v>
      </c>
      <c r="F81" s="87">
        <f>F78-F80</f>
        <v>-16635559.298511367</v>
      </c>
      <c r="G81" s="129"/>
    </row>
    <row r="82" spans="1:7">
      <c r="A82" s="96"/>
      <c r="B82" s="86"/>
      <c r="C82" s="76">
        <f>SUM(E82:F82)</f>
        <v>0</v>
      </c>
      <c r="D82" s="126">
        <f t="shared" si="4"/>
        <v>0</v>
      </c>
      <c r="E82" s="76"/>
      <c r="F82" s="87"/>
      <c r="G82" s="129"/>
    </row>
    <row r="83" spans="1:7" ht="13.5" thickBot="1">
      <c r="A83" s="96" t="str">
        <f>[1]Results!B83</f>
        <v>Federal Income Taxes + Other</v>
      </c>
      <c r="B83" s="192">
        <f>[1]Results!$D$259</f>
        <v>-11266894.267266346</v>
      </c>
      <c r="C83" s="193">
        <f>SUM(E83:F83)</f>
        <v>-11266894.267266344</v>
      </c>
      <c r="D83" s="194">
        <f t="shared" si="4"/>
        <v>0</v>
      </c>
      <c r="E83" s="193">
        <f>SUM(Restating!F83:AS83)</f>
        <v>194287.75381242135</v>
      </c>
      <c r="F83" s="195">
        <f>SUM('Pro Forma'!F83:AS83)</f>
        <v>-11461182.021078765</v>
      </c>
      <c r="G83" s="129"/>
    </row>
    <row r="84" spans="1:7">
      <c r="A84" s="96"/>
      <c r="B84" s="76"/>
      <c r="C84" s="76"/>
      <c r="D84" s="76"/>
      <c r="E84" s="76"/>
      <c r="F84" s="76"/>
    </row>
    <row r="85" spans="1:7">
      <c r="A85" s="96"/>
      <c r="B85" s="76"/>
      <c r="C85" s="76"/>
      <c r="D85" s="76"/>
      <c r="E85" s="76"/>
      <c r="F85" s="76"/>
      <c r="G85" s="129"/>
    </row>
    <row r="86" spans="1:7">
      <c r="A86" s="96"/>
      <c r="B86" s="76"/>
      <c r="C86" s="76"/>
      <c r="D86" s="76"/>
      <c r="E86" s="76"/>
      <c r="F86" s="76"/>
      <c r="G86" s="129"/>
    </row>
    <row r="87" spans="1:7">
      <c r="A87" s="96"/>
      <c r="B87" s="76"/>
      <c r="C87" s="76"/>
      <c r="D87" s="76"/>
      <c r="E87" s="76"/>
      <c r="F87" s="76"/>
      <c r="G87" s="129"/>
    </row>
    <row r="88" spans="1:7">
      <c r="A88" s="96"/>
      <c r="B88" s="76"/>
      <c r="C88" s="76"/>
      <c r="D88" s="76"/>
      <c r="E88" s="76"/>
      <c r="F88" s="76"/>
      <c r="G88" s="129"/>
    </row>
    <row r="89" spans="1:7">
      <c r="A89" s="162"/>
      <c r="B89" s="76"/>
      <c r="C89" s="76"/>
      <c r="D89" s="76"/>
      <c r="E89" s="76"/>
      <c r="F89" s="76"/>
      <c r="G89" s="129"/>
    </row>
    <row r="90" spans="1:7">
      <c r="A90" s="129"/>
      <c r="B90" s="58"/>
      <c r="C90" s="58"/>
      <c r="D90" s="58"/>
      <c r="E90" s="58"/>
      <c r="F90" s="58"/>
    </row>
    <row r="91" spans="1:7">
      <c r="A91" s="129"/>
    </row>
    <row r="92" spans="1:7">
      <c r="A92" s="129"/>
    </row>
    <row r="93" spans="1:7">
      <c r="A93" s="129"/>
    </row>
    <row r="94" spans="1:7">
      <c r="A94" s="129"/>
    </row>
    <row r="95" spans="1:7">
      <c r="A95" s="129"/>
    </row>
    <row r="96" spans="1:7">
      <c r="A96" s="129"/>
    </row>
    <row r="97" spans="1:1">
      <c r="A97" s="129"/>
    </row>
    <row r="98" spans="1:1">
      <c r="A98" s="129"/>
    </row>
    <row r="99" spans="1:1">
      <c r="A99" s="129"/>
    </row>
    <row r="100" spans="1:1">
      <c r="A100" s="129"/>
    </row>
    <row r="101" spans="1:1">
      <c r="A101" s="129"/>
    </row>
    <row r="102" spans="1:1">
      <c r="A102" s="129"/>
    </row>
    <row r="103" spans="1:1">
      <c r="A103" s="129"/>
    </row>
    <row r="104" spans="1:1">
      <c r="A104" s="129"/>
    </row>
    <row r="105" spans="1:1">
      <c r="A105" s="129"/>
    </row>
    <row r="106" spans="1:1">
      <c r="A106" s="129"/>
    </row>
    <row r="107" spans="1:1">
      <c r="A107" s="129"/>
    </row>
    <row r="108" spans="1:1">
      <c r="A108" s="129"/>
    </row>
    <row r="109" spans="1:1">
      <c r="A109" s="129"/>
    </row>
    <row r="110" spans="1:1">
      <c r="A110" s="129"/>
    </row>
    <row r="111" spans="1:1">
      <c r="A111" s="129"/>
    </row>
    <row r="112" spans="1:1">
      <c r="A112" s="129"/>
    </row>
    <row r="113" spans="1:1">
      <c r="A113" s="129"/>
    </row>
    <row r="114" spans="1:1">
      <c r="A114" s="129"/>
    </row>
    <row r="115" spans="1:1">
      <c r="A115" s="129"/>
    </row>
    <row r="116" spans="1:1">
      <c r="A116" s="129"/>
    </row>
    <row r="117" spans="1:1">
      <c r="A117" s="129"/>
    </row>
    <row r="118" spans="1:1">
      <c r="A118" s="129"/>
    </row>
    <row r="119" spans="1:1">
      <c r="A119" s="129"/>
    </row>
    <row r="120" spans="1:1">
      <c r="A120" s="129"/>
    </row>
    <row r="121" spans="1:1">
      <c r="A121" s="129"/>
    </row>
    <row r="122" spans="1:1">
      <c r="A122" s="129"/>
    </row>
    <row r="123" spans="1:1">
      <c r="A123" s="129"/>
    </row>
    <row r="124" spans="1:1">
      <c r="A124" s="129"/>
    </row>
    <row r="125" spans="1:1">
      <c r="A125" s="129"/>
    </row>
    <row r="126" spans="1:1">
      <c r="A126" s="129"/>
    </row>
    <row r="127" spans="1:1">
      <c r="A127" s="129"/>
    </row>
    <row r="128" spans="1:1">
      <c r="A128" s="129"/>
    </row>
    <row r="129" spans="1:1">
      <c r="A129" s="129"/>
    </row>
    <row r="130" spans="1:1">
      <c r="A130" s="129"/>
    </row>
    <row r="131" spans="1:1">
      <c r="A131" s="129"/>
    </row>
    <row r="132" spans="1:1">
      <c r="A132" s="129"/>
    </row>
    <row r="133" spans="1:1">
      <c r="A133" s="129"/>
    </row>
    <row r="134" spans="1:1">
      <c r="A134" s="129"/>
    </row>
    <row r="135" spans="1:1">
      <c r="A135" s="129"/>
    </row>
    <row r="136" spans="1:1">
      <c r="A136" s="129"/>
    </row>
    <row r="137" spans="1:1">
      <c r="A137" s="129"/>
    </row>
    <row r="138" spans="1:1">
      <c r="A138" s="129"/>
    </row>
    <row r="139" spans="1:1">
      <c r="A139" s="129"/>
    </row>
    <row r="140" spans="1:1">
      <c r="A140" s="129"/>
    </row>
    <row r="141" spans="1:1">
      <c r="A141" s="129"/>
    </row>
    <row r="142" spans="1:1">
      <c r="A142" s="129"/>
    </row>
    <row r="143" spans="1:1">
      <c r="A143" s="129"/>
    </row>
    <row r="144" spans="1:1">
      <c r="A144" s="129"/>
    </row>
    <row r="145" spans="1:1">
      <c r="A145" s="129"/>
    </row>
    <row r="146" spans="1:1">
      <c r="A146" s="129"/>
    </row>
  </sheetData>
  <phoneticPr fontId="2" type="noConversion"/>
  <pageMargins left="1.03" right="0.5" top="0.5" bottom="0.5" header="0.5" footer="0.5"/>
  <pageSetup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89"/>
  <sheetViews>
    <sheetView zoomScale="75" zoomScaleNormal="75" zoomScaleSheetLayoutView="85" workbookViewId="0">
      <pane xSplit="4" ySplit="5" topLeftCell="E6" activePane="bottomRight" state="frozen"/>
      <selection activeCell="E11" sqref="E11"/>
      <selection pane="topRight" activeCell="E11" sqref="E11"/>
      <selection pane="bottomLeft" activeCell="E11" sqref="E11"/>
      <selection pane="bottomRight" activeCell="A7" sqref="A7"/>
    </sheetView>
  </sheetViews>
  <sheetFormatPr defaultRowHeight="12.75"/>
  <cols>
    <col min="1" max="1" width="40.42578125" style="92" customWidth="1"/>
    <col min="2" max="2" width="12.7109375" style="32" customWidth="1"/>
    <col min="3" max="3" width="5.5703125" style="32" customWidth="1"/>
    <col min="4" max="4" width="14.42578125" style="32" hidden="1" customWidth="1"/>
    <col min="5" max="5" width="12.5703125" style="32" hidden="1" customWidth="1"/>
    <col min="6" max="6" width="13.7109375" style="32" customWidth="1"/>
    <col min="7" max="7" width="13.85546875" style="32" customWidth="1"/>
    <col min="8" max="8" width="12.7109375" style="102" customWidth="1"/>
    <col min="9" max="10" width="12.7109375" style="32" customWidth="1"/>
    <col min="11" max="11" width="14.7109375" style="32" customWidth="1"/>
    <col min="12" max="12" width="12.7109375" style="32" customWidth="1"/>
    <col min="13" max="13" width="13.85546875" style="32" customWidth="1"/>
    <col min="14" max="14" width="12.7109375" style="32" customWidth="1"/>
    <col min="15" max="15" width="13.28515625" style="32" customWidth="1"/>
    <col min="16" max="16" width="14.7109375" style="32" customWidth="1"/>
    <col min="17" max="18" width="12.7109375" style="32" customWidth="1"/>
    <col min="19" max="19" width="13.28515625" style="32" customWidth="1"/>
    <col min="20" max="20" width="18.42578125" style="32" customWidth="1"/>
    <col min="21" max="26" width="12.7109375" style="32" customWidth="1"/>
    <col min="27" max="27" width="13.5703125" style="32" customWidth="1"/>
    <col min="28" max="31" width="12.7109375" style="32" customWidth="1"/>
    <col min="32" max="32" width="14.7109375" style="32" customWidth="1"/>
    <col min="33" max="33" width="13.7109375" style="32" customWidth="1"/>
    <col min="34" max="34" width="14.7109375" style="32" customWidth="1"/>
    <col min="35" max="35" width="14.42578125" style="32" customWidth="1"/>
    <col min="36" max="38" width="12.7109375" style="32" customWidth="1"/>
    <col min="39" max="39" width="14.7109375" style="32" customWidth="1"/>
    <col min="40" max="41" width="12.7109375" style="32" customWidth="1"/>
    <col min="42" max="44" width="13.28515625" style="32" customWidth="1"/>
    <col min="45" max="45" width="12.7109375" style="32" customWidth="1"/>
    <col min="46" max="16384" width="9.140625" style="32"/>
  </cols>
  <sheetData>
    <row r="1" spans="1:46">
      <c r="A1" s="157" t="s">
        <v>71</v>
      </c>
    </row>
    <row r="2" spans="1:46" s="31" customFormat="1">
      <c r="A2" s="165" t="s">
        <v>72</v>
      </c>
      <c r="C2" s="32"/>
      <c r="E2" s="32"/>
    </row>
    <row r="3" spans="1:46" s="33" customFormat="1" ht="39" thickBot="1">
      <c r="A3" s="261" t="s">
        <v>123</v>
      </c>
      <c r="C3" s="34"/>
      <c r="E3" s="34"/>
      <c r="H3" s="218" t="s">
        <v>98</v>
      </c>
      <c r="I3" s="218" t="s">
        <v>99</v>
      </c>
      <c r="M3" s="218" t="s">
        <v>100</v>
      </c>
      <c r="U3" s="218" t="s">
        <v>101</v>
      </c>
      <c r="AD3" s="218" t="s">
        <v>102</v>
      </c>
      <c r="AM3" s="218" t="s">
        <v>103</v>
      </c>
      <c r="AN3" s="218"/>
      <c r="AO3" s="218" t="s">
        <v>104</v>
      </c>
      <c r="AP3" s="240"/>
      <c r="AQ3" s="218" t="s">
        <v>105</v>
      </c>
      <c r="AR3" s="218" t="s">
        <v>106</v>
      </c>
      <c r="AS3" s="218" t="s">
        <v>107</v>
      </c>
      <c r="AT3" s="218"/>
    </row>
    <row r="4" spans="1:46" s="34" customFormat="1" ht="13.5" thickBot="1">
      <c r="A4" s="157"/>
      <c r="B4" s="35"/>
      <c r="C4" s="157"/>
      <c r="D4" s="35"/>
      <c r="E4" s="36"/>
      <c r="F4" s="37" t="s">
        <v>51</v>
      </c>
      <c r="G4" s="38"/>
      <c r="H4" s="39"/>
      <c r="I4" s="38"/>
      <c r="J4" s="40"/>
      <c r="K4" s="37" t="s">
        <v>52</v>
      </c>
      <c r="L4" s="38"/>
      <c r="M4" s="38"/>
      <c r="N4" s="38"/>
      <c r="O4" s="40"/>
      <c r="P4" s="37" t="s">
        <v>53</v>
      </c>
      <c r="Q4" s="38"/>
      <c r="R4" s="38"/>
      <c r="S4" s="40"/>
      <c r="T4" s="39" t="s">
        <v>68</v>
      </c>
      <c r="U4" s="37" t="s">
        <v>54</v>
      </c>
      <c r="V4" s="38"/>
      <c r="W4" s="38"/>
      <c r="X4" s="38"/>
      <c r="Y4" s="38"/>
      <c r="Z4" s="38"/>
      <c r="AA4" s="38"/>
      <c r="AB4" s="38"/>
      <c r="AC4" s="40"/>
      <c r="AD4" s="262" t="s">
        <v>55</v>
      </c>
      <c r="AE4" s="263"/>
      <c r="AF4" s="263"/>
      <c r="AG4" s="263"/>
      <c r="AH4" s="263"/>
      <c r="AI4" s="263"/>
      <c r="AJ4" s="263"/>
      <c r="AK4" s="264"/>
      <c r="AL4" s="265"/>
      <c r="AM4" s="37" t="s">
        <v>78</v>
      </c>
      <c r="AN4" s="38"/>
      <c r="AO4" s="38"/>
      <c r="AP4" s="38"/>
      <c r="AQ4" s="38"/>
      <c r="AR4" s="38"/>
      <c r="AS4" s="199"/>
    </row>
    <row r="5" spans="1:46">
      <c r="B5" s="41"/>
      <c r="C5" s="42"/>
      <c r="D5" s="41"/>
      <c r="E5" s="42"/>
      <c r="F5" s="43" t="s">
        <v>0</v>
      </c>
      <c r="G5" s="41" t="s">
        <v>2</v>
      </c>
      <c r="H5" s="200" t="s">
        <v>4</v>
      </c>
      <c r="I5" s="200" t="s">
        <v>7</v>
      </c>
      <c r="J5" s="44" t="s">
        <v>8</v>
      </c>
      <c r="K5" s="196" t="s">
        <v>1</v>
      </c>
      <c r="L5" s="197" t="s">
        <v>9</v>
      </c>
      <c r="M5" s="219" t="s">
        <v>12</v>
      </c>
      <c r="N5" s="197" t="s">
        <v>13</v>
      </c>
      <c r="O5" s="198" t="s">
        <v>14</v>
      </c>
      <c r="P5" s="196" t="s">
        <v>15</v>
      </c>
      <c r="Q5" s="197" t="s">
        <v>64</v>
      </c>
      <c r="R5" s="197" t="s">
        <v>60</v>
      </c>
      <c r="S5" s="198" t="s">
        <v>63</v>
      </c>
      <c r="T5" s="111" t="s">
        <v>16</v>
      </c>
      <c r="U5" s="220" t="s">
        <v>17</v>
      </c>
      <c r="V5" s="41" t="s">
        <v>18</v>
      </c>
      <c r="W5" s="41" t="s">
        <v>20</v>
      </c>
      <c r="X5" s="41" t="s">
        <v>65</v>
      </c>
      <c r="Y5" s="41" t="s">
        <v>66</v>
      </c>
      <c r="Z5" s="41" t="s">
        <v>22</v>
      </c>
      <c r="AA5" s="41" t="s">
        <v>23</v>
      </c>
      <c r="AB5" s="41" t="s">
        <v>24</v>
      </c>
      <c r="AC5" s="44" t="s">
        <v>25</v>
      </c>
      <c r="AD5" s="238" t="s">
        <v>27</v>
      </c>
      <c r="AE5" s="197" t="s">
        <v>28</v>
      </c>
      <c r="AF5" s="197" t="s">
        <v>29</v>
      </c>
      <c r="AG5" s="197" t="s">
        <v>30</v>
      </c>
      <c r="AH5" s="197" t="s">
        <v>31</v>
      </c>
      <c r="AI5" s="197" t="s">
        <v>67</v>
      </c>
      <c r="AJ5" s="197" t="s">
        <v>32</v>
      </c>
      <c r="AK5" s="197" t="s">
        <v>34</v>
      </c>
      <c r="AL5" s="198" t="s">
        <v>35</v>
      </c>
      <c r="AM5" s="43" t="s">
        <v>84</v>
      </c>
      <c r="AN5" s="41" t="s">
        <v>88</v>
      </c>
      <c r="AO5" s="41" t="s">
        <v>85</v>
      </c>
      <c r="AP5" s="41" t="s">
        <v>86</v>
      </c>
      <c r="AQ5" s="41" t="s">
        <v>87</v>
      </c>
      <c r="AR5" s="41" t="s">
        <v>96</v>
      </c>
      <c r="AS5" s="198" t="s">
        <v>108</v>
      </c>
    </row>
    <row r="6" spans="1:46" s="34" customFormat="1" ht="63" customHeight="1">
      <c r="A6" s="157"/>
      <c r="B6" s="45" t="s">
        <v>50</v>
      </c>
      <c r="C6" s="46"/>
      <c r="D6" s="45" t="s">
        <v>5</v>
      </c>
      <c r="E6" s="46" t="s">
        <v>6</v>
      </c>
      <c r="F6" s="47" t="str">
        <f>[1]Variables!$A$17</f>
        <v>Temperature Normalization</v>
      </c>
      <c r="G6" s="45" t="str">
        <f>[1]Variables!$A$18</f>
        <v>Revenue Normalization</v>
      </c>
      <c r="H6" s="201" t="s">
        <v>114</v>
      </c>
      <c r="I6" s="201" t="s">
        <v>94</v>
      </c>
      <c r="J6" s="48" t="str">
        <f>[1]Variables!$A$22</f>
        <v>Wheeling Revenue Adjustment</v>
      </c>
      <c r="K6" s="47" t="str">
        <f>[1]Variables!$L$17</f>
        <v>Miscellaneous General Expense Adjustment</v>
      </c>
      <c r="L6" s="45" t="str">
        <f>[1]Variables!$L$18</f>
        <v>General Wage Increase  - Annualization</v>
      </c>
      <c r="M6" s="201" t="s">
        <v>83</v>
      </c>
      <c r="N6" s="103" t="str">
        <f>[1]Variables!$L$22</f>
        <v>DSM Removal Adjustment</v>
      </c>
      <c r="O6" s="48" t="str">
        <f>[1]Variables!$L$23</f>
        <v>Remove Non-Recurring Entries</v>
      </c>
      <c r="P6" s="47" t="str">
        <f>[1]Variables!$A$49</f>
        <v>Net Power Costs - Restating</v>
      </c>
      <c r="Q6" s="103" t="str">
        <f>[1]Variables!$A$51</f>
        <v>Electric Lake Settlement</v>
      </c>
      <c r="R6" s="103" t="str">
        <f>[1]Variables!$A$52</f>
        <v>BPA Residential Exchange</v>
      </c>
      <c r="S6" s="48" t="str">
        <f>[1]Variables!$A$54</f>
        <v>Removal of Colstrip #3</v>
      </c>
      <c r="T6" s="112" t="str">
        <f>[1]Variables!$L$49</f>
        <v>Hydro Decommissioning</v>
      </c>
      <c r="U6" s="221" t="s">
        <v>111</v>
      </c>
      <c r="V6" s="45" t="str">
        <f>[1]Variables!$A$82</f>
        <v>Accumulated Deferred Income Tax Factor Correction</v>
      </c>
      <c r="W6" s="45" t="str">
        <f>[1]Variables!$A$74</f>
        <v>Malin Midpoint Adjustment</v>
      </c>
      <c r="X6" s="45" t="str">
        <f>[1]Variables!$A$75</f>
        <v>WA - FAS 109 Flow-Through</v>
      </c>
      <c r="Y6" s="45" t="str">
        <f>[1]Variables!$A$76</f>
        <v>AFUDC - Equity</v>
      </c>
      <c r="Z6" s="45" t="str">
        <f>[1]Variables!$A$78</f>
        <v>Remove Deferred State Tax Expense</v>
      </c>
      <c r="AA6" s="45" t="str">
        <f>[1]Variables!$A$79</f>
        <v>Current Year Def Inc Tax Normalization</v>
      </c>
      <c r="AB6" s="45" t="str">
        <f>[1]Variables!$A$80</f>
        <v>Medicare Deferred Tax Expense</v>
      </c>
      <c r="AC6" s="48" t="str">
        <f>[1]Variables!$A$81</f>
        <v>Avg Balance for Accum Def Inc Tax - Property</v>
      </c>
      <c r="AD6" s="239" t="s">
        <v>110</v>
      </c>
      <c r="AE6" s="49" t="str">
        <f>[1]Variables!$L$72</f>
        <v>Jim Bridger Mine Rate Base Adjustment</v>
      </c>
      <c r="AF6" s="49" t="str">
        <f>[1]Variables!$L$73</f>
        <v xml:space="preserve">Environmental Remediation </v>
      </c>
      <c r="AG6" s="45" t="str">
        <f>[1]Variables!$L$74</f>
        <v>Customer Advances for Construction</v>
      </c>
      <c r="AH6" s="49" t="str">
        <f>[1]Variables!$L$82</f>
        <v>Miscellaneous Rate Base</v>
      </c>
      <c r="AI6" s="45" t="str">
        <f>[1]Variables!$L$83</f>
        <v xml:space="preserve">(Cont) Miscellaneous Rate Base </v>
      </c>
      <c r="AJ6" s="49" t="str">
        <f>[1]Variables!$L$76</f>
        <v>Removal of Colstrip #4 AFUDC</v>
      </c>
      <c r="AK6" s="45" t="str">
        <f>[1]Variables!$L$78</f>
        <v>Trojan Unrecovered Plant Adjustment</v>
      </c>
      <c r="AL6" s="48" t="str">
        <f>[1]Variables!$L$79</f>
        <v>Customer Service Deposits</v>
      </c>
      <c r="AM6" s="47" t="s">
        <v>82</v>
      </c>
      <c r="AN6" s="103" t="s">
        <v>79</v>
      </c>
      <c r="AO6" s="103" t="s">
        <v>83</v>
      </c>
      <c r="AP6" s="45" t="s">
        <v>80</v>
      </c>
      <c r="AQ6" s="45" t="s">
        <v>97</v>
      </c>
      <c r="AR6" s="45" t="s">
        <v>92</v>
      </c>
      <c r="AS6" s="48" t="s">
        <v>91</v>
      </c>
    </row>
    <row r="7" spans="1:46">
      <c r="B7" s="53"/>
      <c r="C7" s="51"/>
      <c r="D7" s="53"/>
      <c r="E7" s="51"/>
      <c r="F7" s="52"/>
      <c r="G7" s="50"/>
      <c r="H7" s="202"/>
      <c r="I7" s="216"/>
      <c r="J7" s="56"/>
      <c r="K7" s="54"/>
      <c r="L7" s="50"/>
      <c r="M7" s="216"/>
      <c r="N7" s="50"/>
      <c r="O7" s="57"/>
      <c r="P7" s="54"/>
      <c r="Q7" s="50"/>
      <c r="R7" s="50"/>
      <c r="S7" s="57"/>
      <c r="T7" s="113"/>
      <c r="U7" s="222"/>
      <c r="V7" s="53"/>
      <c r="W7" s="53"/>
      <c r="X7" s="50"/>
      <c r="Y7" s="53"/>
      <c r="Z7" s="50"/>
      <c r="AA7" s="50"/>
      <c r="AB7" s="50"/>
      <c r="AC7" s="57"/>
      <c r="AD7" s="223"/>
      <c r="AE7" s="53"/>
      <c r="AF7" s="53"/>
      <c r="AG7" s="50"/>
      <c r="AH7" s="53"/>
      <c r="AI7" s="50"/>
      <c r="AJ7" s="53"/>
      <c r="AK7" s="53"/>
      <c r="AL7" s="56"/>
      <c r="AM7" s="54"/>
      <c r="AN7" s="50"/>
      <c r="AO7" s="50"/>
      <c r="AP7" s="53"/>
      <c r="AQ7" s="53"/>
      <c r="AR7" s="53"/>
      <c r="AS7" s="56"/>
    </row>
    <row r="8" spans="1:46">
      <c r="A8" s="96" t="str">
        <f>[1]Results!B10</f>
        <v xml:space="preserve">   Operating Revenues:</v>
      </c>
      <c r="B8" s="50"/>
      <c r="C8" s="58"/>
      <c r="D8" s="50"/>
      <c r="E8" s="58"/>
      <c r="F8" s="54"/>
      <c r="G8" s="50"/>
      <c r="H8" s="202"/>
      <c r="I8" s="202"/>
      <c r="J8" s="56"/>
      <c r="K8" s="54"/>
      <c r="L8" s="50"/>
      <c r="M8" s="202"/>
      <c r="N8" s="50"/>
      <c r="O8" s="56"/>
      <c r="P8" s="54"/>
      <c r="Q8" s="50"/>
      <c r="R8" s="50"/>
      <c r="S8" s="56"/>
      <c r="T8" s="113"/>
      <c r="U8" s="223"/>
      <c r="V8" s="50"/>
      <c r="W8" s="50"/>
      <c r="X8" s="50"/>
      <c r="Y8" s="50"/>
      <c r="Z8" s="50"/>
      <c r="AA8" s="50"/>
      <c r="AB8" s="50"/>
      <c r="AC8" s="56"/>
      <c r="AD8" s="223"/>
      <c r="AE8" s="50"/>
      <c r="AF8" s="50"/>
      <c r="AG8" s="50"/>
      <c r="AH8" s="50"/>
      <c r="AI8" s="50"/>
      <c r="AJ8" s="50"/>
      <c r="AK8" s="50"/>
      <c r="AL8" s="56"/>
      <c r="AM8" s="54"/>
      <c r="AN8" s="50"/>
      <c r="AO8" s="50"/>
      <c r="AP8" s="50"/>
      <c r="AQ8" s="50"/>
      <c r="AR8" s="50"/>
      <c r="AS8" s="56"/>
    </row>
    <row r="9" spans="1:46">
      <c r="A9" s="96" t="str">
        <f>[1]Results!B11</f>
        <v>General Business Revenues</v>
      </c>
      <c r="B9" s="59">
        <f>[1]Results!D11</f>
        <v>-6737565.5899999887</v>
      </c>
      <c r="C9" s="60"/>
      <c r="D9" s="59">
        <f>SUM(F9:AS9)</f>
        <v>-6737565.5899999887</v>
      </c>
      <c r="E9" s="60">
        <f>B9-D9</f>
        <v>0</v>
      </c>
      <c r="F9" s="61">
        <f>[1]REV!$I$14</f>
        <v>-6704444.6599999983</v>
      </c>
      <c r="G9" s="59">
        <f>[1]REV!$I$78</f>
        <v>-33120.929999989981</v>
      </c>
      <c r="H9" s="203">
        <v>0</v>
      </c>
      <c r="I9" s="203">
        <v>0</v>
      </c>
      <c r="J9" s="65">
        <v>0</v>
      </c>
      <c r="K9" s="62">
        <v>0</v>
      </c>
      <c r="L9" s="59">
        <v>0</v>
      </c>
      <c r="M9" s="204">
        <v>0</v>
      </c>
      <c r="N9" s="59">
        <v>0</v>
      </c>
      <c r="O9" s="65">
        <v>0</v>
      </c>
      <c r="P9" s="62">
        <v>0</v>
      </c>
      <c r="Q9" s="59">
        <v>0</v>
      </c>
      <c r="R9" s="59">
        <v>0</v>
      </c>
      <c r="S9" s="65">
        <v>0</v>
      </c>
      <c r="T9" s="114">
        <v>0</v>
      </c>
      <c r="U9" s="224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4">
        <v>0</v>
      </c>
      <c r="AD9" s="226">
        <v>0</v>
      </c>
      <c r="AE9" s="59">
        <v>0</v>
      </c>
      <c r="AF9" s="59">
        <v>0</v>
      </c>
      <c r="AG9" s="59">
        <v>0</v>
      </c>
      <c r="AH9" s="59">
        <v>0</v>
      </c>
      <c r="AI9" s="50">
        <v>0</v>
      </c>
      <c r="AJ9" s="59">
        <v>0</v>
      </c>
      <c r="AK9" s="63">
        <v>0</v>
      </c>
      <c r="AL9" s="65">
        <v>0</v>
      </c>
      <c r="AM9" s="62"/>
      <c r="AN9" s="59"/>
      <c r="AO9" s="59"/>
      <c r="AP9" s="59"/>
      <c r="AQ9" s="59"/>
      <c r="AR9" s="59"/>
      <c r="AS9" s="65"/>
    </row>
    <row r="10" spans="1:46">
      <c r="A10" s="96" t="str">
        <f>[1]Results!B12</f>
        <v>Interdepartmental</v>
      </c>
      <c r="B10" s="59">
        <f>[1]Results!D12</f>
        <v>0</v>
      </c>
      <c r="C10" s="60"/>
      <c r="D10" s="59">
        <f t="shared" ref="D10:D73" si="0">SUM(F10:AS10)</f>
        <v>0</v>
      </c>
      <c r="E10" s="60">
        <f t="shared" ref="E10:E75" si="1">B10-D10</f>
        <v>0</v>
      </c>
      <c r="F10" s="61">
        <v>0</v>
      </c>
      <c r="G10" s="63">
        <v>0</v>
      </c>
      <c r="H10" s="204">
        <v>0</v>
      </c>
      <c r="I10" s="203">
        <v>0</v>
      </c>
      <c r="J10" s="64">
        <v>0</v>
      </c>
      <c r="K10" s="61">
        <v>0</v>
      </c>
      <c r="L10" s="63">
        <v>0</v>
      </c>
      <c r="M10" s="204">
        <v>0</v>
      </c>
      <c r="N10" s="63">
        <v>0</v>
      </c>
      <c r="O10" s="65">
        <v>0</v>
      </c>
      <c r="P10" s="61">
        <v>0</v>
      </c>
      <c r="Q10" s="63">
        <v>0</v>
      </c>
      <c r="R10" s="63">
        <v>0</v>
      </c>
      <c r="S10" s="65">
        <v>0</v>
      </c>
      <c r="T10" s="114">
        <v>0</v>
      </c>
      <c r="U10" s="224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4">
        <v>0</v>
      </c>
      <c r="AD10" s="224">
        <v>0</v>
      </c>
      <c r="AE10" s="59">
        <v>0</v>
      </c>
      <c r="AF10" s="59">
        <v>0</v>
      </c>
      <c r="AG10" s="63">
        <v>0</v>
      </c>
      <c r="AH10" s="59">
        <v>0</v>
      </c>
      <c r="AI10" s="50">
        <v>0</v>
      </c>
      <c r="AJ10" s="59">
        <v>0</v>
      </c>
      <c r="AK10" s="63">
        <v>0</v>
      </c>
      <c r="AL10" s="64">
        <v>0</v>
      </c>
      <c r="AM10" s="61"/>
      <c r="AN10" s="63"/>
      <c r="AO10" s="63"/>
      <c r="AP10" s="59"/>
      <c r="AQ10" s="59"/>
      <c r="AR10" s="59"/>
      <c r="AS10" s="64"/>
    </row>
    <row r="11" spans="1:46">
      <c r="A11" s="96" t="str">
        <f>[1]Results!B13</f>
        <v>Special Sales</v>
      </c>
      <c r="B11" s="59">
        <f>[1]Results!D13</f>
        <v>3803644.2032988709</v>
      </c>
      <c r="C11" s="60"/>
      <c r="D11" s="59">
        <f t="shared" si="0"/>
        <v>3803644.2032988709</v>
      </c>
      <c r="E11" s="60">
        <f t="shared" si="1"/>
        <v>0</v>
      </c>
      <c r="F11" s="61">
        <v>0</v>
      </c>
      <c r="G11" s="63">
        <v>0</v>
      </c>
      <c r="H11" s="204">
        <v>0</v>
      </c>
      <c r="I11" s="203">
        <v>0</v>
      </c>
      <c r="J11" s="64">
        <v>0</v>
      </c>
      <c r="K11" s="61">
        <v>0</v>
      </c>
      <c r="L11" s="63">
        <v>0</v>
      </c>
      <c r="M11" s="204">
        <v>0</v>
      </c>
      <c r="N11" s="63">
        <v>0</v>
      </c>
      <c r="O11" s="65">
        <v>0</v>
      </c>
      <c r="P11" s="61">
        <f>[1]NPC!$I$138</f>
        <v>3803644.2032988709</v>
      </c>
      <c r="Q11" s="63">
        <v>0</v>
      </c>
      <c r="R11" s="63">
        <v>0</v>
      </c>
      <c r="S11" s="65">
        <v>0</v>
      </c>
      <c r="T11" s="114">
        <v>0</v>
      </c>
      <c r="U11" s="224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4">
        <v>0</v>
      </c>
      <c r="AD11" s="224">
        <v>0</v>
      </c>
      <c r="AE11" s="59">
        <v>0</v>
      </c>
      <c r="AF11" s="59">
        <v>0</v>
      </c>
      <c r="AG11" s="63">
        <v>0</v>
      </c>
      <c r="AH11" s="59">
        <v>0</v>
      </c>
      <c r="AI11" s="50">
        <v>0</v>
      </c>
      <c r="AJ11" s="59">
        <v>0</v>
      </c>
      <c r="AK11" s="63">
        <v>0</v>
      </c>
      <c r="AL11" s="64">
        <v>0</v>
      </c>
      <c r="AM11" s="61"/>
      <c r="AN11" s="63"/>
      <c r="AO11" s="63"/>
      <c r="AP11" s="59"/>
      <c r="AQ11" s="59"/>
      <c r="AR11" s="59"/>
      <c r="AS11" s="64"/>
    </row>
    <row r="12" spans="1:46">
      <c r="A12" s="96" t="str">
        <f>[1]Results!B14</f>
        <v>Other Operating Revenues</v>
      </c>
      <c r="B12" s="59">
        <f>[1]Results!D14</f>
        <v>-4108989.02950744</v>
      </c>
      <c r="C12" s="60"/>
      <c r="D12" s="59">
        <f t="shared" si="0"/>
        <v>-4108989.02950744</v>
      </c>
      <c r="E12" s="60">
        <f t="shared" si="1"/>
        <v>0</v>
      </c>
      <c r="F12" s="61">
        <v>0</v>
      </c>
      <c r="G12" s="63">
        <v>0</v>
      </c>
      <c r="H12" s="204">
        <v>0</v>
      </c>
      <c r="I12" s="203">
        <v>0</v>
      </c>
      <c r="J12" s="64">
        <f>[1]REV!$I$321+[1]REV!$I$322</f>
        <v>102649.47138948992</v>
      </c>
      <c r="K12" s="61">
        <v>0</v>
      </c>
      <c r="L12" s="63">
        <v>0</v>
      </c>
      <c r="M12" s="204">
        <v>0</v>
      </c>
      <c r="N12" s="63">
        <v>0</v>
      </c>
      <c r="O12" s="65">
        <v>0</v>
      </c>
      <c r="P12" s="61">
        <v>0</v>
      </c>
      <c r="Q12" s="63">
        <v>0</v>
      </c>
      <c r="R12" s="63">
        <v>0</v>
      </c>
      <c r="S12" s="65">
        <v>0</v>
      </c>
      <c r="T12" s="114">
        <v>0</v>
      </c>
      <c r="U12" s="224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4">
        <v>0</v>
      </c>
      <c r="AD12" s="224">
        <v>0</v>
      </c>
      <c r="AE12" s="59">
        <v>0</v>
      </c>
      <c r="AF12" s="59">
        <v>0</v>
      </c>
      <c r="AG12" s="63">
        <v>0</v>
      </c>
      <c r="AH12" s="59">
        <v>0</v>
      </c>
      <c r="AI12" s="50">
        <v>0</v>
      </c>
      <c r="AJ12" s="59">
        <v>0</v>
      </c>
      <c r="AK12" s="63">
        <v>0</v>
      </c>
      <c r="AL12" s="64">
        <v>0</v>
      </c>
      <c r="AM12" s="61"/>
      <c r="AN12" s="63"/>
      <c r="AO12" s="63"/>
      <c r="AP12" s="59"/>
      <c r="AQ12" s="59">
        <f>[1]REV!$I$259</f>
        <v>-4211638.5008969298</v>
      </c>
      <c r="AR12" s="59"/>
      <c r="AS12" s="64"/>
    </row>
    <row r="13" spans="1:46">
      <c r="A13" s="96" t="str">
        <f>[1]Results!B15</f>
        <v xml:space="preserve">   Total Operating Revenues</v>
      </c>
      <c r="B13" s="66">
        <f>[1]Results!D15</f>
        <v>-7042910.4162085578</v>
      </c>
      <c r="C13" s="67"/>
      <c r="D13" s="66">
        <f t="shared" si="0"/>
        <v>-7042910.4162085578</v>
      </c>
      <c r="E13" s="67">
        <f t="shared" si="1"/>
        <v>0</v>
      </c>
      <c r="F13" s="68">
        <f>SUM(F9:F12)</f>
        <v>-6704444.6599999983</v>
      </c>
      <c r="G13" s="66">
        <f t="shared" ref="G13:AS13" si="2">SUM(G9:G12)</f>
        <v>-33120.929999989981</v>
      </c>
      <c r="H13" s="205">
        <f t="shared" si="2"/>
        <v>0</v>
      </c>
      <c r="I13" s="205">
        <f t="shared" si="2"/>
        <v>0</v>
      </c>
      <c r="J13" s="69">
        <f t="shared" si="2"/>
        <v>102649.47138948992</v>
      </c>
      <c r="K13" s="68">
        <f t="shared" si="2"/>
        <v>0</v>
      </c>
      <c r="L13" s="66">
        <f t="shared" si="2"/>
        <v>0</v>
      </c>
      <c r="M13" s="205">
        <f t="shared" si="2"/>
        <v>0</v>
      </c>
      <c r="N13" s="66">
        <f t="shared" si="2"/>
        <v>0</v>
      </c>
      <c r="O13" s="69">
        <f t="shared" ref="O13" si="3">SUM(O9:O12)</f>
        <v>0</v>
      </c>
      <c r="P13" s="68">
        <f t="shared" ref="P13" si="4">SUM(P9:P12)</f>
        <v>3803644.2032988709</v>
      </c>
      <c r="Q13" s="66">
        <f t="shared" ref="Q13:R13" si="5">SUM(Q9:Q12)</f>
        <v>0</v>
      </c>
      <c r="R13" s="66">
        <f t="shared" si="5"/>
        <v>0</v>
      </c>
      <c r="S13" s="69">
        <f t="shared" si="2"/>
        <v>0</v>
      </c>
      <c r="T13" s="115">
        <f t="shared" si="2"/>
        <v>0</v>
      </c>
      <c r="U13" s="225">
        <f t="shared" si="2"/>
        <v>0</v>
      </c>
      <c r="V13" s="66">
        <f t="shared" ref="V13" si="6">SUM(V9:V12)</f>
        <v>0</v>
      </c>
      <c r="W13" s="66">
        <f t="shared" si="2"/>
        <v>0</v>
      </c>
      <c r="X13" s="66">
        <f t="shared" si="2"/>
        <v>0</v>
      </c>
      <c r="Y13" s="66">
        <f t="shared" si="2"/>
        <v>0</v>
      </c>
      <c r="Z13" s="66">
        <f t="shared" si="2"/>
        <v>0</v>
      </c>
      <c r="AA13" s="66">
        <f t="shared" ref="AA13:AB13" si="7">SUM(AA9:AA12)</f>
        <v>0</v>
      </c>
      <c r="AB13" s="66">
        <f t="shared" si="7"/>
        <v>0</v>
      </c>
      <c r="AC13" s="69">
        <f t="shared" si="2"/>
        <v>0</v>
      </c>
      <c r="AD13" s="225">
        <f t="shared" si="2"/>
        <v>0</v>
      </c>
      <c r="AE13" s="66">
        <f t="shared" si="2"/>
        <v>0</v>
      </c>
      <c r="AF13" s="66">
        <f t="shared" si="2"/>
        <v>0</v>
      </c>
      <c r="AG13" s="66">
        <f t="shared" si="2"/>
        <v>0</v>
      </c>
      <c r="AH13" s="66">
        <f t="shared" ref="AH13" si="8">SUM(AH9:AH12)</f>
        <v>0</v>
      </c>
      <c r="AI13" s="66">
        <f t="shared" si="2"/>
        <v>0</v>
      </c>
      <c r="AJ13" s="66">
        <f t="shared" si="2"/>
        <v>0</v>
      </c>
      <c r="AK13" s="66">
        <f t="shared" si="2"/>
        <v>0</v>
      </c>
      <c r="AL13" s="69">
        <f t="shared" si="2"/>
        <v>0</v>
      </c>
      <c r="AM13" s="68">
        <f t="shared" si="2"/>
        <v>0</v>
      </c>
      <c r="AN13" s="66">
        <f t="shared" si="2"/>
        <v>0</v>
      </c>
      <c r="AO13" s="66">
        <f t="shared" si="2"/>
        <v>0</v>
      </c>
      <c r="AP13" s="66">
        <f t="shared" si="2"/>
        <v>0</v>
      </c>
      <c r="AQ13" s="66">
        <f t="shared" si="2"/>
        <v>-4211638.5008969298</v>
      </c>
      <c r="AR13" s="66">
        <f t="shared" si="2"/>
        <v>0</v>
      </c>
      <c r="AS13" s="69">
        <f t="shared" si="2"/>
        <v>0</v>
      </c>
    </row>
    <row r="14" spans="1:46">
      <c r="A14" s="96"/>
      <c r="B14" s="50">
        <f>[1]Results!D16</f>
        <v>0</v>
      </c>
      <c r="C14" s="60"/>
      <c r="D14" s="50">
        <f t="shared" si="0"/>
        <v>0</v>
      </c>
      <c r="E14" s="60"/>
      <c r="F14" s="54"/>
      <c r="G14" s="50"/>
      <c r="H14" s="202"/>
      <c r="I14" s="202"/>
      <c r="J14" s="56"/>
      <c r="K14" s="54"/>
      <c r="L14" s="50"/>
      <c r="M14" s="202"/>
      <c r="N14" s="50"/>
      <c r="O14" s="56"/>
      <c r="P14" s="54"/>
      <c r="Q14" s="50"/>
      <c r="R14" s="50"/>
      <c r="S14" s="56"/>
      <c r="T14" s="113"/>
      <c r="U14" s="223"/>
      <c r="V14" s="50"/>
      <c r="W14" s="50"/>
      <c r="X14" s="50"/>
      <c r="Y14" s="50"/>
      <c r="Z14" s="50"/>
      <c r="AA14" s="50"/>
      <c r="AB14" s="50"/>
      <c r="AC14" s="56"/>
      <c r="AD14" s="223"/>
      <c r="AE14" s="50"/>
      <c r="AF14" s="50"/>
      <c r="AG14" s="50"/>
      <c r="AH14" s="50"/>
      <c r="AI14" s="50"/>
      <c r="AJ14" s="50"/>
      <c r="AK14" s="50"/>
      <c r="AL14" s="56"/>
      <c r="AM14" s="54"/>
      <c r="AN14" s="50"/>
      <c r="AO14" s="50"/>
      <c r="AP14" s="50"/>
      <c r="AQ14" s="50"/>
      <c r="AR14" s="50"/>
      <c r="AS14" s="56"/>
    </row>
    <row r="15" spans="1:46">
      <c r="A15" s="96" t="str">
        <f>[1]Results!B17</f>
        <v xml:space="preserve">   Operating Expenses:</v>
      </c>
      <c r="B15" s="50">
        <f>[1]Results!D17</f>
        <v>0</v>
      </c>
      <c r="C15" s="60"/>
      <c r="D15" s="50">
        <f t="shared" si="0"/>
        <v>0</v>
      </c>
      <c r="E15" s="60"/>
      <c r="F15" s="54"/>
      <c r="G15" s="50"/>
      <c r="H15" s="202"/>
      <c r="I15" s="202"/>
      <c r="J15" s="56"/>
      <c r="K15" s="54"/>
      <c r="L15" s="50"/>
      <c r="M15" s="202"/>
      <c r="N15" s="50"/>
      <c r="O15" s="56"/>
      <c r="P15" s="54"/>
      <c r="Q15" s="50"/>
      <c r="R15" s="50"/>
      <c r="S15" s="56"/>
      <c r="T15" s="113"/>
      <c r="U15" s="226"/>
      <c r="V15" s="50"/>
      <c r="W15" s="50"/>
      <c r="X15" s="50"/>
      <c r="Y15" s="50"/>
      <c r="Z15" s="50"/>
      <c r="AA15" s="50"/>
      <c r="AB15" s="50"/>
      <c r="AC15" s="56"/>
      <c r="AD15" s="223"/>
      <c r="AE15" s="50"/>
      <c r="AF15" s="50"/>
      <c r="AG15" s="50"/>
      <c r="AH15" s="50"/>
      <c r="AI15" s="50"/>
      <c r="AJ15" s="50"/>
      <c r="AK15" s="50"/>
      <c r="AL15" s="56"/>
      <c r="AM15" s="54"/>
      <c r="AN15" s="50"/>
      <c r="AO15" s="50"/>
      <c r="AP15" s="50"/>
      <c r="AQ15" s="50"/>
      <c r="AR15" s="50"/>
      <c r="AS15" s="56"/>
    </row>
    <row r="16" spans="1:46">
      <c r="A16" s="96" t="str">
        <f>[1]Results!B18</f>
        <v>Steam Production</v>
      </c>
      <c r="B16" s="59">
        <f>[1]Results!D18</f>
        <v>-1302039.490000973</v>
      </c>
      <c r="C16" s="60"/>
      <c r="D16" s="59">
        <f t="shared" si="0"/>
        <v>-1302039.490000973</v>
      </c>
      <c r="E16" s="60">
        <f t="shared" si="1"/>
        <v>0</v>
      </c>
      <c r="F16" s="61">
        <v>0</v>
      </c>
      <c r="G16" s="63">
        <v>0</v>
      </c>
      <c r="H16" s="204">
        <v>0</v>
      </c>
      <c r="I16" s="203">
        <v>0</v>
      </c>
      <c r="J16" s="64">
        <v>0</v>
      </c>
      <c r="K16" s="61">
        <v>0</v>
      </c>
      <c r="L16" s="63">
        <f>SUM([1]OM!$I$73:$I$83)</f>
        <v>4568.3264503989094</v>
      </c>
      <c r="M16" s="204">
        <v>0</v>
      </c>
      <c r="N16" s="63">
        <v>0</v>
      </c>
      <c r="O16" s="65">
        <f>[1]OM!$I$390</f>
        <v>-91.506246302488393</v>
      </c>
      <c r="P16" s="61">
        <f>[1]NPC!$I$156</f>
        <v>-1306516.3102050694</v>
      </c>
      <c r="Q16" s="63">
        <v>0</v>
      </c>
      <c r="R16" s="63">
        <v>0</v>
      </c>
      <c r="S16" s="64">
        <v>0</v>
      </c>
      <c r="T16" s="114">
        <v>0</v>
      </c>
      <c r="U16" s="224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4">
        <v>0</v>
      </c>
      <c r="AD16" s="224">
        <v>0</v>
      </c>
      <c r="AE16" s="59">
        <v>0</v>
      </c>
      <c r="AF16" s="59">
        <v>0</v>
      </c>
      <c r="AG16" s="63">
        <v>0</v>
      </c>
      <c r="AH16" s="59">
        <v>0</v>
      </c>
      <c r="AI16" s="50">
        <v>0</v>
      </c>
      <c r="AJ16" s="59">
        <v>0</v>
      </c>
      <c r="AK16" s="63">
        <v>0</v>
      </c>
      <c r="AL16" s="64">
        <v>0</v>
      </c>
      <c r="AM16" s="61"/>
      <c r="AN16" s="63"/>
      <c r="AO16" s="63"/>
      <c r="AP16" s="63"/>
      <c r="AQ16" s="63"/>
      <c r="AR16" s="63"/>
      <c r="AS16" s="64"/>
    </row>
    <row r="17" spans="1:45">
      <c r="A17" s="96" t="str">
        <f>[1]Results!B19</f>
        <v>Nuclear Production</v>
      </c>
      <c r="B17" s="59">
        <f>[1]Results!D19</f>
        <v>0</v>
      </c>
      <c r="C17" s="60"/>
      <c r="D17" s="59">
        <f t="shared" si="0"/>
        <v>0</v>
      </c>
      <c r="E17" s="60">
        <f t="shared" si="1"/>
        <v>0</v>
      </c>
      <c r="F17" s="61">
        <v>0</v>
      </c>
      <c r="G17" s="63">
        <v>0</v>
      </c>
      <c r="H17" s="204">
        <v>0</v>
      </c>
      <c r="I17" s="203">
        <v>0</v>
      </c>
      <c r="J17" s="64">
        <v>0</v>
      </c>
      <c r="K17" s="61">
        <v>0</v>
      </c>
      <c r="L17" s="63">
        <v>0</v>
      </c>
      <c r="M17" s="204">
        <v>0</v>
      </c>
      <c r="N17" s="63">
        <v>0</v>
      </c>
      <c r="O17" s="65">
        <v>0</v>
      </c>
      <c r="P17" s="61">
        <v>0</v>
      </c>
      <c r="Q17" s="63">
        <v>0</v>
      </c>
      <c r="R17" s="63">
        <v>0</v>
      </c>
      <c r="S17" s="64">
        <v>0</v>
      </c>
      <c r="T17" s="114">
        <v>0</v>
      </c>
      <c r="U17" s="224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4">
        <v>0</v>
      </c>
      <c r="AD17" s="224">
        <v>0</v>
      </c>
      <c r="AE17" s="59">
        <v>0</v>
      </c>
      <c r="AF17" s="59">
        <v>0</v>
      </c>
      <c r="AG17" s="63">
        <v>0</v>
      </c>
      <c r="AH17" s="59">
        <v>0</v>
      </c>
      <c r="AI17" s="50">
        <v>0</v>
      </c>
      <c r="AJ17" s="59">
        <v>0</v>
      </c>
      <c r="AK17" s="63">
        <v>0</v>
      </c>
      <c r="AL17" s="64">
        <v>0</v>
      </c>
      <c r="AM17" s="61"/>
      <c r="AN17" s="63"/>
      <c r="AO17" s="63"/>
      <c r="AP17" s="63"/>
      <c r="AQ17" s="63"/>
      <c r="AR17" s="63"/>
      <c r="AS17" s="64"/>
    </row>
    <row r="18" spans="1:45">
      <c r="A18" s="96" t="str">
        <f>[1]Results!B20</f>
        <v>Hydro Production</v>
      </c>
      <c r="B18" s="59">
        <f>[1]Results!D20</f>
        <v>1964.8349516471831</v>
      </c>
      <c r="C18" s="60"/>
      <c r="D18" s="59">
        <f t="shared" si="0"/>
        <v>1964.8349516471831</v>
      </c>
      <c r="E18" s="60">
        <f t="shared" si="1"/>
        <v>0</v>
      </c>
      <c r="F18" s="61">
        <v>0</v>
      </c>
      <c r="G18" s="63">
        <v>0</v>
      </c>
      <c r="H18" s="204">
        <v>0</v>
      </c>
      <c r="I18" s="203">
        <v>0</v>
      </c>
      <c r="J18" s="64">
        <v>0</v>
      </c>
      <c r="K18" s="61">
        <v>0</v>
      </c>
      <c r="L18" s="63">
        <f>SUM([1]OM!$I$84:$I$87)</f>
        <v>1964.8349516471831</v>
      </c>
      <c r="M18" s="204">
        <v>0</v>
      </c>
      <c r="N18" s="63">
        <v>0</v>
      </c>
      <c r="O18" s="164"/>
      <c r="P18" s="61">
        <v>0</v>
      </c>
      <c r="Q18" s="63">
        <v>0</v>
      </c>
      <c r="R18" s="63">
        <v>0</v>
      </c>
      <c r="S18" s="64">
        <v>0</v>
      </c>
      <c r="T18" s="114">
        <v>0</v>
      </c>
      <c r="U18" s="224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4">
        <v>0</v>
      </c>
      <c r="AD18" s="224">
        <v>0</v>
      </c>
      <c r="AE18" s="59">
        <v>0</v>
      </c>
      <c r="AF18" s="59">
        <v>0</v>
      </c>
      <c r="AG18" s="63">
        <v>0</v>
      </c>
      <c r="AH18" s="59">
        <v>0</v>
      </c>
      <c r="AI18" s="50">
        <v>0</v>
      </c>
      <c r="AJ18" s="59">
        <v>0</v>
      </c>
      <c r="AK18" s="63">
        <v>0</v>
      </c>
      <c r="AL18" s="64">
        <v>0</v>
      </c>
      <c r="AM18" s="61"/>
      <c r="AN18" s="63"/>
      <c r="AO18" s="63"/>
      <c r="AP18" s="63"/>
      <c r="AQ18" s="63"/>
      <c r="AR18" s="63"/>
      <c r="AS18" s="64"/>
    </row>
    <row r="19" spans="1:45">
      <c r="A19" s="96" t="str">
        <f>[1]Results!B21</f>
        <v>Other Power Supply</v>
      </c>
      <c r="B19" s="59">
        <f>[1]Results!D21</f>
        <v>2206561.8332285578</v>
      </c>
      <c r="C19" s="60"/>
      <c r="D19" s="59">
        <f t="shared" si="0"/>
        <v>2206561.8332285574</v>
      </c>
      <c r="E19" s="60">
        <f t="shared" si="1"/>
        <v>0</v>
      </c>
      <c r="F19" s="61">
        <v>0</v>
      </c>
      <c r="G19" s="63">
        <v>0</v>
      </c>
      <c r="H19" s="204">
        <v>0</v>
      </c>
      <c r="I19" s="203">
        <v>0</v>
      </c>
      <c r="J19" s="64">
        <v>0</v>
      </c>
      <c r="K19" s="61">
        <f>[1]OM!$I$11</f>
        <v>-398.79035040746351</v>
      </c>
      <c r="L19" s="63">
        <f>SUM([1]OM!$I$88:$I$96)</f>
        <v>2394.1585700828332</v>
      </c>
      <c r="M19" s="204">
        <v>0</v>
      </c>
      <c r="N19" s="63">
        <v>0</v>
      </c>
      <c r="O19" s="65">
        <f>[1]OM!$I$387</f>
        <v>-82916.446129532909</v>
      </c>
      <c r="P19" s="61">
        <f>P26-P16</f>
        <v>-5889920.3078454062</v>
      </c>
      <c r="Q19" s="63">
        <f>[1]NPC!$I$260</f>
        <v>152282.21898382137</v>
      </c>
      <c r="R19" s="63">
        <f>[1]NPC!$I$324</f>
        <v>8025121</v>
      </c>
      <c r="S19" s="64">
        <v>0</v>
      </c>
      <c r="T19" s="114">
        <v>0</v>
      </c>
      <c r="U19" s="224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4">
        <v>0</v>
      </c>
      <c r="AD19" s="224">
        <v>0</v>
      </c>
      <c r="AE19" s="59">
        <v>0</v>
      </c>
      <c r="AF19" s="59">
        <v>0</v>
      </c>
      <c r="AG19" s="63">
        <v>0</v>
      </c>
      <c r="AH19" s="59">
        <v>0</v>
      </c>
      <c r="AI19" s="50">
        <v>0</v>
      </c>
      <c r="AJ19" s="59">
        <v>0</v>
      </c>
      <c r="AK19" s="63">
        <v>0</v>
      </c>
      <c r="AL19" s="64">
        <v>0</v>
      </c>
      <c r="AM19" s="61"/>
      <c r="AN19" s="63"/>
      <c r="AO19" s="63"/>
      <c r="AP19" s="63"/>
      <c r="AQ19" s="63"/>
      <c r="AR19" s="63"/>
      <c r="AS19" s="64"/>
    </row>
    <row r="20" spans="1:45">
      <c r="A20" s="96" t="str">
        <f>[1]Results!B22</f>
        <v>Transmission</v>
      </c>
      <c r="B20" s="59">
        <f>[1]Results!D22</f>
        <v>-119205.98724489645</v>
      </c>
      <c r="C20" s="60"/>
      <c r="D20" s="59">
        <f t="shared" si="0"/>
        <v>-119205.98724489645</v>
      </c>
      <c r="E20" s="60">
        <f t="shared" si="1"/>
        <v>0</v>
      </c>
      <c r="F20" s="61">
        <v>0</v>
      </c>
      <c r="G20" s="63">
        <v>0</v>
      </c>
      <c r="H20" s="204">
        <v>0</v>
      </c>
      <c r="I20" s="203">
        <v>0</v>
      </c>
      <c r="J20" s="64">
        <f>[1]REV!$I$328</f>
        <v>-7394.9629479036066</v>
      </c>
      <c r="K20" s="61">
        <v>0</v>
      </c>
      <c r="L20" s="63">
        <f>SUM([1]OM!$I$97:$I$104)</f>
        <v>1698.9163989500187</v>
      </c>
      <c r="M20" s="204">
        <v>0</v>
      </c>
      <c r="N20" s="63">
        <v>0</v>
      </c>
      <c r="O20" s="65">
        <f>[1]OM!$I$384</f>
        <v>-113509.94069594286</v>
      </c>
      <c r="P20" s="61">
        <v>0</v>
      </c>
      <c r="Q20" s="63">
        <v>0</v>
      </c>
      <c r="R20" s="63">
        <v>0</v>
      </c>
      <c r="S20" s="64">
        <v>0</v>
      </c>
      <c r="T20" s="114">
        <v>0</v>
      </c>
      <c r="U20" s="224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4">
        <v>0</v>
      </c>
      <c r="AD20" s="224">
        <v>0</v>
      </c>
      <c r="AE20" s="59">
        <v>0</v>
      </c>
      <c r="AF20" s="59">
        <v>0</v>
      </c>
      <c r="AG20" s="63">
        <v>0</v>
      </c>
      <c r="AH20" s="59">
        <v>0</v>
      </c>
      <c r="AI20" s="50">
        <v>0</v>
      </c>
      <c r="AJ20" s="59">
        <v>0</v>
      </c>
      <c r="AK20" s="63">
        <v>0</v>
      </c>
      <c r="AL20" s="64">
        <v>0</v>
      </c>
      <c r="AM20" s="61"/>
      <c r="AN20" s="63"/>
      <c r="AO20" s="63"/>
      <c r="AP20" s="63"/>
      <c r="AQ20" s="63"/>
      <c r="AR20" s="63"/>
      <c r="AS20" s="64"/>
    </row>
    <row r="21" spans="1:45">
      <c r="A21" s="96" t="str">
        <f>[1]Results!B23</f>
        <v>Distribution</v>
      </c>
      <c r="B21" s="59">
        <f>[1]Results!D23</f>
        <v>6969.4824389372116</v>
      </c>
      <c r="C21" s="60"/>
      <c r="D21" s="59">
        <f t="shared" si="0"/>
        <v>6969.4824389372116</v>
      </c>
      <c r="E21" s="60">
        <f t="shared" si="1"/>
        <v>0</v>
      </c>
      <c r="F21" s="61">
        <v>0</v>
      </c>
      <c r="G21" s="63">
        <v>0</v>
      </c>
      <c r="H21" s="204">
        <v>0</v>
      </c>
      <c r="I21" s="203">
        <v>0</v>
      </c>
      <c r="J21" s="64">
        <v>0</v>
      </c>
      <c r="K21" s="61">
        <v>0</v>
      </c>
      <c r="L21" s="63">
        <f>SUM([1]OM!$I$105:$I$108)</f>
        <v>7078.6366564097307</v>
      </c>
      <c r="M21" s="204">
        <v>0</v>
      </c>
      <c r="N21" s="63">
        <v>0</v>
      </c>
      <c r="O21" s="65">
        <f>[1]OM!$I$389+[1]OM!$I$391</f>
        <v>-109.15421747251918</v>
      </c>
      <c r="P21" s="61">
        <v>0</v>
      </c>
      <c r="Q21" s="63">
        <v>0</v>
      </c>
      <c r="R21" s="63">
        <v>0</v>
      </c>
      <c r="S21" s="64">
        <v>0</v>
      </c>
      <c r="T21" s="114">
        <v>0</v>
      </c>
      <c r="U21" s="224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4">
        <v>0</v>
      </c>
      <c r="AD21" s="224">
        <v>0</v>
      </c>
      <c r="AE21" s="59">
        <v>0</v>
      </c>
      <c r="AF21" s="59">
        <v>0</v>
      </c>
      <c r="AG21" s="63">
        <v>0</v>
      </c>
      <c r="AH21" s="59">
        <v>0</v>
      </c>
      <c r="AI21" s="50">
        <v>0</v>
      </c>
      <c r="AJ21" s="59">
        <v>0</v>
      </c>
      <c r="AK21" s="63">
        <v>0</v>
      </c>
      <c r="AL21" s="64">
        <v>0</v>
      </c>
      <c r="AM21" s="61"/>
      <c r="AN21" s="63"/>
      <c r="AO21" s="63"/>
      <c r="AP21" s="63"/>
      <c r="AQ21" s="63"/>
      <c r="AR21" s="63"/>
      <c r="AS21" s="64"/>
    </row>
    <row r="22" spans="1:45">
      <c r="A22" s="96" t="str">
        <f>[1]Results!B24</f>
        <v>Customer Accounting</v>
      </c>
      <c r="B22" s="59">
        <f>[1]Results!D24</f>
        <v>4466.1128616715359</v>
      </c>
      <c r="C22" s="60"/>
      <c r="D22" s="59">
        <f t="shared" si="0"/>
        <v>4466.1128616715359</v>
      </c>
      <c r="E22" s="60">
        <f t="shared" si="1"/>
        <v>0</v>
      </c>
      <c r="F22" s="61">
        <v>0</v>
      </c>
      <c r="G22" s="63">
        <v>0</v>
      </c>
      <c r="H22" s="204">
        <v>0</v>
      </c>
      <c r="I22" s="203">
        <v>0</v>
      </c>
      <c r="J22" s="64">
        <v>0</v>
      </c>
      <c r="K22" s="61">
        <v>0</v>
      </c>
      <c r="L22" s="63">
        <f>SUM([1]OM!$I$109:$I$110)</f>
        <v>4466.1128616715359</v>
      </c>
      <c r="M22" s="204">
        <v>0</v>
      </c>
      <c r="N22" s="63">
        <v>0</v>
      </c>
      <c r="O22" s="65">
        <v>0</v>
      </c>
      <c r="P22" s="61">
        <v>0</v>
      </c>
      <c r="Q22" s="63">
        <v>0</v>
      </c>
      <c r="R22" s="63">
        <v>0</v>
      </c>
      <c r="S22" s="64">
        <v>0</v>
      </c>
      <c r="T22" s="114">
        <v>0</v>
      </c>
      <c r="U22" s="224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4">
        <v>0</v>
      </c>
      <c r="AD22" s="224">
        <v>0</v>
      </c>
      <c r="AE22" s="59">
        <v>0</v>
      </c>
      <c r="AF22" s="59">
        <v>0</v>
      </c>
      <c r="AG22" s="63">
        <v>0</v>
      </c>
      <c r="AH22" s="59">
        <v>0</v>
      </c>
      <c r="AI22" s="50">
        <v>0</v>
      </c>
      <c r="AJ22" s="59">
        <v>0</v>
      </c>
      <c r="AK22" s="63">
        <v>0</v>
      </c>
      <c r="AL22" s="64">
        <v>0</v>
      </c>
      <c r="AM22" s="61"/>
      <c r="AN22" s="63"/>
      <c r="AO22" s="63"/>
      <c r="AP22" s="63"/>
      <c r="AQ22" s="63"/>
      <c r="AR22" s="63"/>
      <c r="AS22" s="64"/>
    </row>
    <row r="23" spans="1:45">
      <c r="A23" s="96" t="str">
        <f>[1]Results!B25</f>
        <v>Customer Service &amp; Info</v>
      </c>
      <c r="B23" s="59">
        <f>[1]Results!D25</f>
        <v>-4860648.457373553</v>
      </c>
      <c r="C23" s="60"/>
      <c r="D23" s="59">
        <f t="shared" si="0"/>
        <v>-4860648.457373553</v>
      </c>
      <c r="E23" s="60">
        <f t="shared" si="1"/>
        <v>0</v>
      </c>
      <c r="F23" s="61">
        <v>0</v>
      </c>
      <c r="G23" s="63">
        <v>0</v>
      </c>
      <c r="H23" s="204">
        <v>0</v>
      </c>
      <c r="I23" s="203">
        <v>0</v>
      </c>
      <c r="J23" s="64">
        <v>0</v>
      </c>
      <c r="K23" s="61">
        <f>[1]OM!$I$13</f>
        <v>-605.43309650578158</v>
      </c>
      <c r="L23" s="63">
        <f>SUM([1]OM!$I$111:$I$113)</f>
        <v>207.26347054315181</v>
      </c>
      <c r="M23" s="204">
        <v>0</v>
      </c>
      <c r="N23" s="63">
        <f>[1]OM!$I$328</f>
        <v>-4858459</v>
      </c>
      <c r="O23" s="65">
        <v>0</v>
      </c>
      <c r="P23" s="61">
        <v>0</v>
      </c>
      <c r="Q23" s="63">
        <v>0</v>
      </c>
      <c r="R23" s="63">
        <v>0</v>
      </c>
      <c r="S23" s="64">
        <v>0</v>
      </c>
      <c r="T23" s="114">
        <v>0</v>
      </c>
      <c r="U23" s="224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4">
        <v>0</v>
      </c>
      <c r="AD23" s="224">
        <v>0</v>
      </c>
      <c r="AE23" s="59">
        <v>0</v>
      </c>
      <c r="AF23" s="59">
        <v>0</v>
      </c>
      <c r="AG23" s="63">
        <v>0</v>
      </c>
      <c r="AH23" s="59">
        <v>0</v>
      </c>
      <c r="AI23" s="50">
        <v>0</v>
      </c>
      <c r="AJ23" s="59">
        <v>0</v>
      </c>
      <c r="AK23" s="63">
        <v>0</v>
      </c>
      <c r="AL23" s="64">
        <v>0</v>
      </c>
      <c r="AM23" s="61"/>
      <c r="AN23" s="63"/>
      <c r="AO23" s="63"/>
      <c r="AP23" s="63">
        <f>[1]OM!$I$569</f>
        <v>-1791.2877475899786</v>
      </c>
      <c r="AQ23" s="63"/>
      <c r="AR23" s="63"/>
      <c r="AS23" s="64"/>
    </row>
    <row r="24" spans="1:45">
      <c r="A24" s="96" t="str">
        <f>[1]Results!B26</f>
        <v>Sales</v>
      </c>
      <c r="B24" s="59">
        <f>[1]Results!D26</f>
        <v>0</v>
      </c>
      <c r="C24" s="60"/>
      <c r="D24" s="59">
        <f t="shared" si="0"/>
        <v>0</v>
      </c>
      <c r="E24" s="60">
        <f t="shared" si="1"/>
        <v>0</v>
      </c>
      <c r="F24" s="61">
        <v>0</v>
      </c>
      <c r="G24" s="63">
        <v>0</v>
      </c>
      <c r="H24" s="204">
        <v>0</v>
      </c>
      <c r="I24" s="203">
        <v>0</v>
      </c>
      <c r="J24" s="64">
        <v>0</v>
      </c>
      <c r="K24" s="61">
        <v>0</v>
      </c>
      <c r="L24" s="63">
        <v>0</v>
      </c>
      <c r="M24" s="204">
        <v>0</v>
      </c>
      <c r="N24" s="63">
        <v>0</v>
      </c>
      <c r="O24" s="65">
        <v>0</v>
      </c>
      <c r="P24" s="61">
        <v>0</v>
      </c>
      <c r="Q24" s="63">
        <v>0</v>
      </c>
      <c r="R24" s="63">
        <v>0</v>
      </c>
      <c r="S24" s="64">
        <v>0</v>
      </c>
      <c r="T24" s="114">
        <v>0</v>
      </c>
      <c r="U24" s="224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4">
        <v>0</v>
      </c>
      <c r="AD24" s="224">
        <v>0</v>
      </c>
      <c r="AE24" s="59">
        <v>0</v>
      </c>
      <c r="AF24" s="59">
        <v>0</v>
      </c>
      <c r="AG24" s="63">
        <v>0</v>
      </c>
      <c r="AH24" s="59">
        <v>0</v>
      </c>
      <c r="AI24" s="50">
        <v>0</v>
      </c>
      <c r="AJ24" s="59">
        <v>0</v>
      </c>
      <c r="AK24" s="63">
        <v>0</v>
      </c>
      <c r="AL24" s="64">
        <v>0</v>
      </c>
      <c r="AM24" s="61"/>
      <c r="AN24" s="63"/>
      <c r="AO24" s="63"/>
      <c r="AP24" s="63"/>
      <c r="AQ24" s="63"/>
      <c r="AR24" s="63"/>
      <c r="AS24" s="64"/>
    </row>
    <row r="25" spans="1:45">
      <c r="A25" s="96" t="str">
        <f>[1]Results!B27</f>
        <v>Administrative &amp; General</v>
      </c>
      <c r="B25" s="73">
        <f>[1]Results!D27</f>
        <v>-244134.45056957746</v>
      </c>
      <c r="C25" s="71"/>
      <c r="D25" s="73">
        <f t="shared" si="0"/>
        <v>-244134.45056957737</v>
      </c>
      <c r="E25" s="71">
        <f t="shared" si="1"/>
        <v>0</v>
      </c>
      <c r="F25" s="72">
        <v>0</v>
      </c>
      <c r="G25" s="70">
        <v>0</v>
      </c>
      <c r="H25" s="206">
        <v>0</v>
      </c>
      <c r="I25" s="217">
        <v>0</v>
      </c>
      <c r="J25" s="74">
        <v>0</v>
      </c>
      <c r="K25" s="72">
        <f>[1]OM!$I$12+[1]OM!$I$14+[1]OM!$I$19</f>
        <v>-43271.966433968082</v>
      </c>
      <c r="L25" s="70">
        <f>[1]OM!$I$114+[1]OM!$I$115</f>
        <v>6545.3271131295669</v>
      </c>
      <c r="M25" s="206">
        <v>0</v>
      </c>
      <c r="N25" s="70">
        <v>0</v>
      </c>
      <c r="O25" s="74">
        <v>0</v>
      </c>
      <c r="P25" s="72">
        <v>0</v>
      </c>
      <c r="Q25" s="70">
        <v>0</v>
      </c>
      <c r="R25" s="70">
        <v>0</v>
      </c>
      <c r="S25" s="74">
        <v>0</v>
      </c>
      <c r="T25" s="116">
        <v>0</v>
      </c>
      <c r="U25" s="227">
        <v>0</v>
      </c>
      <c r="V25" s="70">
        <v>0</v>
      </c>
      <c r="W25" s="70">
        <v>0</v>
      </c>
      <c r="X25" s="70">
        <v>0</v>
      </c>
      <c r="Y25" s="70">
        <v>0</v>
      </c>
      <c r="Z25" s="70">
        <v>0</v>
      </c>
      <c r="AA25" s="70">
        <v>0</v>
      </c>
      <c r="AB25" s="70">
        <v>0</v>
      </c>
      <c r="AC25" s="74">
        <v>0</v>
      </c>
      <c r="AD25" s="227">
        <v>0</v>
      </c>
      <c r="AE25" s="73">
        <v>0</v>
      </c>
      <c r="AF25" s="73">
        <f>[1]RB!$I$138</f>
        <v>54303.537524919564</v>
      </c>
      <c r="AG25" s="70">
        <v>0</v>
      </c>
      <c r="AH25" s="70">
        <v>0</v>
      </c>
      <c r="AI25" s="75">
        <v>0</v>
      </c>
      <c r="AJ25" s="73">
        <v>0</v>
      </c>
      <c r="AK25" s="70">
        <v>0</v>
      </c>
      <c r="AL25" s="74">
        <v>0</v>
      </c>
      <c r="AM25" s="72"/>
      <c r="AN25" s="70">
        <f>[1]OM!$I$507</f>
        <v>-169674.9921225</v>
      </c>
      <c r="AO25" s="70">
        <f>[1]OM!$I$259</f>
        <v>-92014.913865822877</v>
      </c>
      <c r="AP25" s="70">
        <f>[1]OM!$I$571</f>
        <v>-21.442785335560455</v>
      </c>
      <c r="AQ25" s="70"/>
      <c r="AR25" s="70"/>
      <c r="AS25" s="74"/>
    </row>
    <row r="26" spans="1:45">
      <c r="A26" s="96" t="str">
        <f>[1]Results!B28</f>
        <v xml:space="preserve">   Total O&amp;M Expenses</v>
      </c>
      <c r="B26" s="50">
        <f>[1]Results!D28</f>
        <v>-4306066.1217081863</v>
      </c>
      <c r="C26" s="76"/>
      <c r="D26" s="50">
        <f t="shared" si="0"/>
        <v>-4306066.1217081854</v>
      </c>
      <c r="E26" s="76">
        <f t="shared" si="1"/>
        <v>0</v>
      </c>
      <c r="F26" s="54">
        <f>SUM(F16:F25)</f>
        <v>0</v>
      </c>
      <c r="G26" s="50">
        <f t="shared" ref="G26:AS26" si="9">SUM(G16:G25)</f>
        <v>0</v>
      </c>
      <c r="H26" s="202">
        <f t="shared" si="9"/>
        <v>0</v>
      </c>
      <c r="I26" s="202">
        <f t="shared" si="9"/>
        <v>0</v>
      </c>
      <c r="J26" s="56">
        <f t="shared" si="9"/>
        <v>-7394.9629479036066</v>
      </c>
      <c r="K26" s="54">
        <f>SUM(K16:K25)</f>
        <v>-44276.189880881328</v>
      </c>
      <c r="L26" s="50">
        <f t="shared" si="9"/>
        <v>28923.57647283293</v>
      </c>
      <c r="M26" s="202">
        <f t="shared" si="9"/>
        <v>0</v>
      </c>
      <c r="N26" s="50">
        <f t="shared" si="9"/>
        <v>-4858459</v>
      </c>
      <c r="O26" s="56">
        <f t="shared" ref="O26" si="10">SUM(O16:O25)</f>
        <v>-196627.0472892508</v>
      </c>
      <c r="P26" s="54">
        <f>[1]NPC!$I$159+[1]NPC!$I$147</f>
        <v>-7196436.6180504756</v>
      </c>
      <c r="Q26" s="50">
        <f t="shared" ref="Q26:R26" si="11">SUM(Q16:Q25)</f>
        <v>152282.21898382137</v>
      </c>
      <c r="R26" s="50">
        <f t="shared" si="11"/>
        <v>8025121</v>
      </c>
      <c r="S26" s="56">
        <f t="shared" si="9"/>
        <v>0</v>
      </c>
      <c r="T26" s="113">
        <f t="shared" si="9"/>
        <v>0</v>
      </c>
      <c r="U26" s="223">
        <f t="shared" si="9"/>
        <v>0</v>
      </c>
      <c r="V26" s="50">
        <f t="shared" ref="V26" si="12">SUM(V16:V25)</f>
        <v>0</v>
      </c>
      <c r="W26" s="50">
        <f t="shared" si="9"/>
        <v>0</v>
      </c>
      <c r="X26" s="50">
        <f t="shared" si="9"/>
        <v>0</v>
      </c>
      <c r="Y26" s="50">
        <f t="shared" si="9"/>
        <v>0</v>
      </c>
      <c r="Z26" s="50">
        <f t="shared" si="9"/>
        <v>0</v>
      </c>
      <c r="AA26" s="50">
        <f t="shared" ref="AA26:AB26" si="13">SUM(AA16:AA25)</f>
        <v>0</v>
      </c>
      <c r="AB26" s="50">
        <f t="shared" si="13"/>
        <v>0</v>
      </c>
      <c r="AC26" s="56">
        <f t="shared" si="9"/>
        <v>0</v>
      </c>
      <c r="AD26" s="223">
        <f t="shared" si="9"/>
        <v>0</v>
      </c>
      <c r="AE26" s="50">
        <f t="shared" si="9"/>
        <v>0</v>
      </c>
      <c r="AF26" s="50">
        <f t="shared" si="9"/>
        <v>54303.537524919564</v>
      </c>
      <c r="AG26" s="50">
        <f t="shared" si="9"/>
        <v>0</v>
      </c>
      <c r="AH26" s="50">
        <f t="shared" ref="AH26" si="14">SUM(AH16:AH25)</f>
        <v>0</v>
      </c>
      <c r="AI26" s="50">
        <f t="shared" si="9"/>
        <v>0</v>
      </c>
      <c r="AJ26" s="50">
        <f t="shared" si="9"/>
        <v>0</v>
      </c>
      <c r="AK26" s="50">
        <f t="shared" si="9"/>
        <v>0</v>
      </c>
      <c r="AL26" s="56">
        <f t="shared" si="9"/>
        <v>0</v>
      </c>
      <c r="AM26" s="54">
        <f t="shared" si="9"/>
        <v>0</v>
      </c>
      <c r="AN26" s="50">
        <f t="shared" si="9"/>
        <v>-169674.9921225</v>
      </c>
      <c r="AO26" s="50">
        <f t="shared" si="9"/>
        <v>-92014.913865822877</v>
      </c>
      <c r="AP26" s="50">
        <f t="shared" si="9"/>
        <v>-1812.7305329255391</v>
      </c>
      <c r="AQ26" s="50">
        <f t="shared" si="9"/>
        <v>0</v>
      </c>
      <c r="AR26" s="50">
        <f t="shared" si="9"/>
        <v>0</v>
      </c>
      <c r="AS26" s="56">
        <f t="shared" si="9"/>
        <v>0</v>
      </c>
    </row>
    <row r="27" spans="1:45">
      <c r="A27" s="96" t="str">
        <f>[1]Results!B29</f>
        <v>Depreciation</v>
      </c>
      <c r="B27" s="59">
        <f>[1]Results!D29</f>
        <v>-415222.55433080252</v>
      </c>
      <c r="C27" s="60"/>
      <c r="D27" s="59">
        <f t="shared" si="0"/>
        <v>-415222.55433080252</v>
      </c>
      <c r="E27" s="60">
        <f t="shared" si="1"/>
        <v>0</v>
      </c>
      <c r="F27" s="61">
        <v>0</v>
      </c>
      <c r="G27" s="63">
        <v>0</v>
      </c>
      <c r="H27" s="204">
        <v>0</v>
      </c>
      <c r="I27" s="203">
        <v>0</v>
      </c>
      <c r="J27" s="64">
        <v>0</v>
      </c>
      <c r="K27" s="61">
        <v>0</v>
      </c>
      <c r="L27" s="63">
        <v>0</v>
      </c>
      <c r="M27" s="204">
        <v>0</v>
      </c>
      <c r="N27" s="63">
        <v>0</v>
      </c>
      <c r="O27" s="65">
        <v>0</v>
      </c>
      <c r="P27" s="61">
        <v>0</v>
      </c>
      <c r="Q27" s="63">
        <v>0</v>
      </c>
      <c r="R27" s="63">
        <v>0</v>
      </c>
      <c r="S27" s="65">
        <f>[1]NPC!$I$445+[1]NPC!$I$446</f>
        <v>-397232.00153080252</v>
      </c>
      <c r="T27" s="113">
        <f t="shared" ref="T27" si="15">SUM(T17:T26)</f>
        <v>0</v>
      </c>
      <c r="U27" s="224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4">
        <v>0</v>
      </c>
      <c r="AD27" s="224">
        <v>0</v>
      </c>
      <c r="AE27" s="59">
        <v>0</v>
      </c>
      <c r="AF27" s="59">
        <v>0</v>
      </c>
      <c r="AG27" s="63">
        <v>0</v>
      </c>
      <c r="AH27" s="59">
        <v>0</v>
      </c>
      <c r="AI27" s="50">
        <v>0</v>
      </c>
      <c r="AJ27" s="59">
        <f>[1]RB!$I$321</f>
        <v>-17990.552800000001</v>
      </c>
      <c r="AK27" s="63">
        <v>0</v>
      </c>
      <c r="AL27" s="64">
        <v>0</v>
      </c>
      <c r="AM27" s="61"/>
      <c r="AN27" s="63"/>
      <c r="AO27" s="63"/>
      <c r="AP27" s="59"/>
      <c r="AQ27" s="59"/>
      <c r="AR27" s="59"/>
      <c r="AS27" s="64"/>
    </row>
    <row r="28" spans="1:45">
      <c r="A28" s="96" t="str">
        <f>[1]Results!B30</f>
        <v xml:space="preserve">Amortization </v>
      </c>
      <c r="B28" s="59">
        <f>[1]Results!D30</f>
        <v>-169568.97296169098</v>
      </c>
      <c r="C28" s="60"/>
      <c r="D28" s="59">
        <f t="shared" si="0"/>
        <v>-169568.97296169098</v>
      </c>
      <c r="E28" s="60">
        <f t="shared" si="1"/>
        <v>0</v>
      </c>
      <c r="F28" s="61">
        <v>0</v>
      </c>
      <c r="G28" s="63">
        <v>0</v>
      </c>
      <c r="H28" s="204">
        <v>0</v>
      </c>
      <c r="I28" s="203">
        <v>0</v>
      </c>
      <c r="J28" s="64">
        <v>0</v>
      </c>
      <c r="K28" s="61">
        <v>0</v>
      </c>
      <c r="L28" s="63">
        <v>0</v>
      </c>
      <c r="M28" s="204">
        <v>0</v>
      </c>
      <c r="N28" s="63">
        <v>0</v>
      </c>
      <c r="O28" s="65">
        <v>0</v>
      </c>
      <c r="P28" s="61">
        <v>0</v>
      </c>
      <c r="Q28" s="63">
        <v>0</v>
      </c>
      <c r="R28" s="63">
        <v>0</v>
      </c>
      <c r="S28" s="65">
        <v>0</v>
      </c>
      <c r="T28" s="113">
        <f t="shared" ref="T28" si="16">SUM(T18:T27)</f>
        <v>0</v>
      </c>
      <c r="U28" s="224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4">
        <v>0</v>
      </c>
      <c r="AD28" s="224">
        <v>0</v>
      </c>
      <c r="AE28" s="59">
        <v>0</v>
      </c>
      <c r="AF28" s="59">
        <v>0</v>
      </c>
      <c r="AG28" s="63">
        <v>0</v>
      </c>
      <c r="AH28" s="59">
        <v>0</v>
      </c>
      <c r="AI28" s="50">
        <v>0</v>
      </c>
      <c r="AJ28" s="59">
        <v>0</v>
      </c>
      <c r="AK28" s="63">
        <f>[1]RB!$I$447</f>
        <v>-169568.97296169098</v>
      </c>
      <c r="AL28" s="64">
        <v>0</v>
      </c>
      <c r="AM28" s="61"/>
      <c r="AN28" s="63"/>
      <c r="AO28" s="63"/>
      <c r="AP28" s="59"/>
      <c r="AQ28" s="59"/>
      <c r="AR28" s="59"/>
      <c r="AS28" s="64"/>
    </row>
    <row r="29" spans="1:45">
      <c r="A29" s="96" t="str">
        <f>[1]Results!B31</f>
        <v>Taxes Other Than Income</v>
      </c>
      <c r="B29" s="59">
        <f>[1]Results!D31</f>
        <v>-42124.459304340671</v>
      </c>
      <c r="C29" s="60"/>
      <c r="D29" s="59">
        <f t="shared" si="0"/>
        <v>-42124.459304340671</v>
      </c>
      <c r="E29" s="60">
        <f t="shared" si="1"/>
        <v>0</v>
      </c>
      <c r="F29" s="61">
        <v>0</v>
      </c>
      <c r="G29" s="63">
        <v>0</v>
      </c>
      <c r="H29" s="204">
        <v>0</v>
      </c>
      <c r="I29" s="203">
        <v>0</v>
      </c>
      <c r="J29" s="64">
        <v>0</v>
      </c>
      <c r="K29" s="61">
        <v>0</v>
      </c>
      <c r="L29" s="63">
        <v>0</v>
      </c>
      <c r="M29" s="204">
        <v>0</v>
      </c>
      <c r="N29" s="63">
        <v>0</v>
      </c>
      <c r="O29" s="65">
        <v>0</v>
      </c>
      <c r="P29" s="61">
        <v>0</v>
      </c>
      <c r="Q29" s="63">
        <v>0</v>
      </c>
      <c r="R29" s="63">
        <v>0</v>
      </c>
      <c r="S29" s="65">
        <f>[1]NPC!$I$447</f>
        <v>-42124.459304340671</v>
      </c>
      <c r="T29" s="113">
        <f t="shared" ref="T29" si="17">SUM(T19:T28)</f>
        <v>0</v>
      </c>
      <c r="U29" s="224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4">
        <v>0</v>
      </c>
      <c r="AD29" s="224">
        <v>0</v>
      </c>
      <c r="AE29" s="59">
        <v>0</v>
      </c>
      <c r="AF29" s="59">
        <v>0</v>
      </c>
      <c r="AG29" s="63">
        <v>0</v>
      </c>
      <c r="AH29" s="59">
        <v>0</v>
      </c>
      <c r="AI29" s="50">
        <v>0</v>
      </c>
      <c r="AJ29" s="59">
        <v>0</v>
      </c>
      <c r="AK29" s="63">
        <v>0</v>
      </c>
      <c r="AL29" s="64">
        <v>0</v>
      </c>
      <c r="AM29" s="61"/>
      <c r="AN29" s="63"/>
      <c r="AO29" s="63"/>
      <c r="AP29" s="59"/>
      <c r="AQ29" s="59"/>
      <c r="AR29" s="59"/>
      <c r="AS29" s="64"/>
    </row>
    <row r="30" spans="1:45">
      <c r="A30" s="96" t="str">
        <f>[1]Results!B32</f>
        <v>Income Taxes - Federal</v>
      </c>
      <c r="B30" s="59">
        <f>[1]Results!D32</f>
        <v>194287.75381242129</v>
      </c>
      <c r="C30" s="60"/>
      <c r="D30" s="59">
        <f t="shared" si="0"/>
        <v>194287.75381242135</v>
      </c>
      <c r="E30" s="60">
        <f t="shared" si="1"/>
        <v>0</v>
      </c>
      <c r="F30" s="61">
        <f>F83</f>
        <v>-2346555.6309999991</v>
      </c>
      <c r="G30" s="63">
        <f t="shared" ref="G30:AL30" si="18">G83</f>
        <v>-586443.1754999964</v>
      </c>
      <c r="H30" s="204">
        <f t="shared" si="18"/>
        <v>0</v>
      </c>
      <c r="I30" s="203">
        <f t="shared" si="18"/>
        <v>0</v>
      </c>
      <c r="J30" s="64">
        <f t="shared" si="18"/>
        <v>38515.552018087728</v>
      </c>
      <c r="K30" s="61">
        <f t="shared" si="18"/>
        <v>15496.666458308464</v>
      </c>
      <c r="L30" s="63">
        <f t="shared" si="18"/>
        <v>-10123.251765491525</v>
      </c>
      <c r="M30" s="204">
        <f t="shared" si="18"/>
        <v>0</v>
      </c>
      <c r="N30" s="63">
        <f t="shared" si="18"/>
        <v>2185508.9596184753</v>
      </c>
      <c r="O30" s="65">
        <f t="shared" si="18"/>
        <v>68819.466551237769</v>
      </c>
      <c r="P30" s="61">
        <f t="shared" si="18"/>
        <v>3850028.2874722714</v>
      </c>
      <c r="Q30" s="63">
        <f t="shared" si="18"/>
        <v>-53298.776644337479</v>
      </c>
      <c r="R30" s="63">
        <f t="shared" si="18"/>
        <v>-2808792.3499999996</v>
      </c>
      <c r="S30" s="65">
        <f t="shared" si="18"/>
        <v>28116.38384746986</v>
      </c>
      <c r="T30" s="113">
        <f t="shared" si="18"/>
        <v>0</v>
      </c>
      <c r="U30" s="224">
        <f t="shared" si="18"/>
        <v>0</v>
      </c>
      <c r="V30" s="63">
        <f t="shared" si="18"/>
        <v>0</v>
      </c>
      <c r="W30" s="63">
        <f t="shared" si="18"/>
        <v>0</v>
      </c>
      <c r="X30" s="63">
        <f t="shared" si="18"/>
        <v>0</v>
      </c>
      <c r="Y30" s="63">
        <f t="shared" si="18"/>
        <v>-75954.622194136726</v>
      </c>
      <c r="Z30" s="63">
        <f t="shared" si="18"/>
        <v>0</v>
      </c>
      <c r="AA30" s="63">
        <f t="shared" si="18"/>
        <v>0</v>
      </c>
      <c r="AB30" s="63">
        <f t="shared" si="18"/>
        <v>0</v>
      </c>
      <c r="AC30" s="64">
        <f t="shared" si="18"/>
        <v>0</v>
      </c>
      <c r="AD30" s="224">
        <f t="shared" si="18"/>
        <v>0</v>
      </c>
      <c r="AE30" s="59">
        <f t="shared" si="18"/>
        <v>0</v>
      </c>
      <c r="AF30" s="59">
        <f t="shared" si="18"/>
        <v>-39787.569869268467</v>
      </c>
      <c r="AG30" s="63">
        <f t="shared" si="18"/>
        <v>0</v>
      </c>
      <c r="AH30" s="59">
        <f t="shared" si="18"/>
        <v>0</v>
      </c>
      <c r="AI30" s="50">
        <f t="shared" si="18"/>
        <v>164228.64557247536</v>
      </c>
      <c r="AJ30" s="59">
        <f t="shared" si="18"/>
        <v>0</v>
      </c>
      <c r="AK30" s="63">
        <f t="shared" si="18"/>
        <v>-62356.574575820028</v>
      </c>
      <c r="AL30" s="64">
        <f t="shared" si="18"/>
        <v>-11901.71733333333</v>
      </c>
      <c r="AM30" s="61">
        <f t="shared" ref="AM30:AP30" si="19">AM83</f>
        <v>-94173.274325919469</v>
      </c>
      <c r="AN30" s="63">
        <f t="shared" si="19"/>
        <v>59386.247242874997</v>
      </c>
      <c r="AO30" s="63">
        <f t="shared" si="19"/>
        <v>32205.219853038005</v>
      </c>
      <c r="AP30" s="59">
        <f t="shared" si="19"/>
        <v>634.45568652393865</v>
      </c>
      <c r="AQ30" s="59">
        <f t="shared" ref="AQ30" si="20">AQ83</f>
        <v>-1474073.4753139254</v>
      </c>
      <c r="AR30" s="59">
        <f t="shared" ref="AR30:AS30" si="21">AR83</f>
        <v>0</v>
      </c>
      <c r="AS30" s="64">
        <f t="shared" si="21"/>
        <v>1314808.288013886</v>
      </c>
    </row>
    <row r="31" spans="1:45">
      <c r="A31" s="96" t="str">
        <f>[1]Results!B33</f>
        <v>Income Taxes - State</v>
      </c>
      <c r="B31" s="59">
        <f>[1]Results!D33</f>
        <v>0</v>
      </c>
      <c r="C31" s="60"/>
      <c r="D31" s="59">
        <f t="shared" si="0"/>
        <v>0</v>
      </c>
      <c r="E31" s="60">
        <f t="shared" si="1"/>
        <v>0</v>
      </c>
      <c r="F31" s="62">
        <v>0</v>
      </c>
      <c r="G31" s="59">
        <v>0</v>
      </c>
      <c r="H31" s="203">
        <v>0</v>
      </c>
      <c r="I31" s="203">
        <v>0</v>
      </c>
      <c r="J31" s="65">
        <v>0</v>
      </c>
      <c r="K31" s="62">
        <v>0</v>
      </c>
      <c r="L31" s="59">
        <v>0</v>
      </c>
      <c r="M31" s="203">
        <v>0</v>
      </c>
      <c r="N31" s="59">
        <v>0</v>
      </c>
      <c r="O31" s="65">
        <v>0</v>
      </c>
      <c r="P31" s="62">
        <v>0</v>
      </c>
      <c r="Q31" s="59">
        <v>0</v>
      </c>
      <c r="R31" s="59">
        <v>0</v>
      </c>
      <c r="S31" s="65">
        <v>0</v>
      </c>
      <c r="T31" s="117">
        <v>0</v>
      </c>
      <c r="U31" s="226">
        <v>0</v>
      </c>
      <c r="V31" s="59">
        <v>0</v>
      </c>
      <c r="W31" s="59">
        <v>0</v>
      </c>
      <c r="X31" s="59">
        <v>0</v>
      </c>
      <c r="Y31" s="59">
        <v>0</v>
      </c>
      <c r="Z31" s="59">
        <v>0</v>
      </c>
      <c r="AA31" s="59">
        <v>0</v>
      </c>
      <c r="AB31" s="59">
        <v>0</v>
      </c>
      <c r="AC31" s="65">
        <v>0</v>
      </c>
      <c r="AD31" s="226">
        <v>0</v>
      </c>
      <c r="AE31" s="59">
        <v>0</v>
      </c>
      <c r="AF31" s="59">
        <v>0</v>
      </c>
      <c r="AG31" s="59">
        <v>0</v>
      </c>
      <c r="AH31" s="59">
        <v>0</v>
      </c>
      <c r="AI31" s="50">
        <v>0</v>
      </c>
      <c r="AJ31" s="59">
        <v>0</v>
      </c>
      <c r="AK31" s="59">
        <v>0</v>
      </c>
      <c r="AL31" s="65">
        <v>0</v>
      </c>
      <c r="AM31" s="62">
        <v>0</v>
      </c>
      <c r="AN31" s="59">
        <v>0</v>
      </c>
      <c r="AO31" s="59">
        <v>0</v>
      </c>
      <c r="AP31" s="59">
        <v>0</v>
      </c>
      <c r="AQ31" s="59">
        <v>0</v>
      </c>
      <c r="AR31" s="59">
        <v>0</v>
      </c>
      <c r="AS31" s="65">
        <v>0</v>
      </c>
    </row>
    <row r="32" spans="1:45">
      <c r="A32" s="96" t="str">
        <f>[1]Results!B34</f>
        <v>Income Taxes - Def Net</v>
      </c>
      <c r="B32" s="59">
        <f>[1]Results!D34</f>
        <v>4258073.6394843701</v>
      </c>
      <c r="C32" s="60"/>
      <c r="D32" s="59">
        <f t="shared" si="0"/>
        <v>4258073.6394843711</v>
      </c>
      <c r="E32" s="60">
        <f t="shared" si="1"/>
        <v>0</v>
      </c>
      <c r="F32" s="61">
        <v>0</v>
      </c>
      <c r="G32" s="63">
        <f>[1]REV!$I$83+[1]REV!$I$93+[1]REV!$I$94</f>
        <v>623320</v>
      </c>
      <c r="H32" s="204">
        <v>0</v>
      </c>
      <c r="I32" s="203">
        <v>0</v>
      </c>
      <c r="J32" s="64">
        <v>0</v>
      </c>
      <c r="K32" s="61">
        <v>0</v>
      </c>
      <c r="L32" s="63">
        <v>0</v>
      </c>
      <c r="M32" s="204">
        <v>0</v>
      </c>
      <c r="N32" s="63">
        <f>[1]OM!$I$332</f>
        <v>-525944.76265158609</v>
      </c>
      <c r="O32" s="65">
        <v>0</v>
      </c>
      <c r="P32" s="61">
        <v>0</v>
      </c>
      <c r="Q32" s="63">
        <v>0</v>
      </c>
      <c r="R32" s="63">
        <v>0</v>
      </c>
      <c r="S32" s="65">
        <f>[1]NPC!$I$451+[1]NPC!$I$463</f>
        <v>136253.30590310734</v>
      </c>
      <c r="T32" s="114">
        <v>0</v>
      </c>
      <c r="U32" s="224">
        <v>0</v>
      </c>
      <c r="V32" s="63">
        <v>0</v>
      </c>
      <c r="W32" s="63">
        <f>[1]TAX!$I$197</f>
        <v>-291666.75803272682</v>
      </c>
      <c r="X32" s="63">
        <f>[1]TAX!$I$259</f>
        <v>5532834</v>
      </c>
      <c r="Y32" s="63">
        <v>0</v>
      </c>
      <c r="Z32" s="63">
        <f>[1]TAX!$I$446</f>
        <v>-2199228</v>
      </c>
      <c r="AA32" s="63">
        <f>[1]TAX!$I$508</f>
        <v>525562</v>
      </c>
      <c r="AB32" s="63">
        <f>[1]TAX!$I$570</f>
        <v>170464.29080562192</v>
      </c>
      <c r="AC32" s="64">
        <v>0</v>
      </c>
      <c r="AD32" s="224">
        <v>0</v>
      </c>
      <c r="AE32" s="59">
        <v>0</v>
      </c>
      <c r="AF32" s="59">
        <f>[1]RB!$I$147+[1]RB!$I$151+[1]RB!$I$152+[1]RB!$I$157</f>
        <v>22533.992895240313</v>
      </c>
      <c r="AG32" s="63">
        <v>0</v>
      </c>
      <c r="AH32" s="59">
        <v>0</v>
      </c>
      <c r="AI32" s="50">
        <f>[1]RB!$I$777+[1]RB!$I$773+[1]RB!$I$769+[1]RB!$I$765+[1]RB!$I$761+[1]RB!$I$757</f>
        <v>-178075.49320044401</v>
      </c>
      <c r="AJ32" s="59">
        <v>0</v>
      </c>
      <c r="AK32" s="63">
        <f>[1]RB!$I$462+[1]RB!$I$463</f>
        <v>131967.16895276116</v>
      </c>
      <c r="AL32" s="64">
        <v>0</v>
      </c>
      <c r="AM32" s="61">
        <f>[1]REV!$I$210+[1]REV!$I$211</f>
        <v>310053.89481239684</v>
      </c>
      <c r="AN32" s="63"/>
      <c r="AO32" s="63"/>
      <c r="AP32" s="59"/>
      <c r="AQ32" s="59"/>
      <c r="AR32" s="59"/>
      <c r="AS32" s="64"/>
    </row>
    <row r="33" spans="1:45">
      <c r="A33" s="96" t="str">
        <f>[1]Results!B35</f>
        <v>Investment Tax Credit Adj.</v>
      </c>
      <c r="B33" s="59">
        <f>[1]Results!D35</f>
        <v>0</v>
      </c>
      <c r="C33" s="60"/>
      <c r="D33" s="59">
        <f t="shared" si="0"/>
        <v>0</v>
      </c>
      <c r="E33" s="60">
        <f t="shared" si="1"/>
        <v>0</v>
      </c>
      <c r="F33" s="61">
        <v>0</v>
      </c>
      <c r="G33" s="63">
        <v>0</v>
      </c>
      <c r="H33" s="204">
        <v>0</v>
      </c>
      <c r="I33" s="203">
        <v>0</v>
      </c>
      <c r="J33" s="64">
        <v>0</v>
      </c>
      <c r="K33" s="61">
        <v>0</v>
      </c>
      <c r="L33" s="63">
        <v>0</v>
      </c>
      <c r="M33" s="204">
        <v>0</v>
      </c>
      <c r="N33" s="63">
        <v>0</v>
      </c>
      <c r="O33" s="65">
        <v>0</v>
      </c>
      <c r="P33" s="61">
        <v>0</v>
      </c>
      <c r="Q33" s="63">
        <v>0</v>
      </c>
      <c r="R33" s="63">
        <v>0</v>
      </c>
      <c r="S33" s="65">
        <v>0</v>
      </c>
      <c r="T33" s="114">
        <v>0</v>
      </c>
      <c r="U33" s="224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4">
        <v>0</v>
      </c>
      <c r="AD33" s="224">
        <v>0</v>
      </c>
      <c r="AE33" s="59">
        <v>0</v>
      </c>
      <c r="AF33" s="59">
        <v>0</v>
      </c>
      <c r="AG33" s="63">
        <v>0</v>
      </c>
      <c r="AH33" s="59">
        <v>0</v>
      </c>
      <c r="AI33" s="50">
        <v>0</v>
      </c>
      <c r="AJ33" s="59">
        <v>0</v>
      </c>
      <c r="AK33" s="63">
        <v>0</v>
      </c>
      <c r="AL33" s="64">
        <v>0</v>
      </c>
      <c r="AM33" s="61"/>
      <c r="AN33" s="63"/>
      <c r="AO33" s="63"/>
      <c r="AP33" s="59"/>
      <c r="AQ33" s="59"/>
      <c r="AR33" s="59"/>
      <c r="AS33" s="64"/>
    </row>
    <row r="34" spans="1:45">
      <c r="A34" s="96" t="str">
        <f>[1]Results!B36</f>
        <v>Misc Revenue &amp; Expense</v>
      </c>
      <c r="B34" s="59">
        <f>[1]Results!D36</f>
        <v>-513913.347966392</v>
      </c>
      <c r="C34" s="60"/>
      <c r="D34" s="59">
        <f t="shared" si="0"/>
        <v>-513913.347966392</v>
      </c>
      <c r="E34" s="60">
        <f t="shared" si="1"/>
        <v>0</v>
      </c>
      <c r="F34" s="61">
        <v>0</v>
      </c>
      <c r="G34" s="63">
        <v>0</v>
      </c>
      <c r="H34" s="204">
        <v>0</v>
      </c>
      <c r="I34" s="203">
        <v>0</v>
      </c>
      <c r="J34" s="64">
        <v>0</v>
      </c>
      <c r="K34" s="61">
        <v>0</v>
      </c>
      <c r="L34" s="63">
        <v>0</v>
      </c>
      <c r="M34" s="204">
        <v>0</v>
      </c>
      <c r="N34" s="63">
        <v>0</v>
      </c>
      <c r="O34" s="64">
        <v>0</v>
      </c>
      <c r="P34" s="61">
        <v>0</v>
      </c>
      <c r="Q34" s="63">
        <v>0</v>
      </c>
      <c r="R34" s="63">
        <v>0</v>
      </c>
      <c r="S34" s="64">
        <v>0</v>
      </c>
      <c r="T34" s="114">
        <v>0</v>
      </c>
      <c r="U34" s="224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4">
        <v>0</v>
      </c>
      <c r="AD34" s="224">
        <v>0</v>
      </c>
      <c r="AE34" s="59">
        <v>0</v>
      </c>
      <c r="AF34" s="59">
        <v>0</v>
      </c>
      <c r="AG34" s="63">
        <v>0</v>
      </c>
      <c r="AH34" s="59">
        <v>0</v>
      </c>
      <c r="AI34" s="50">
        <v>0</v>
      </c>
      <c r="AJ34" s="59">
        <v>0</v>
      </c>
      <c r="AK34" s="63">
        <v>0</v>
      </c>
      <c r="AL34" s="64">
        <f>[1]RB!$I$507</f>
        <v>34004.906666666662</v>
      </c>
      <c r="AM34" s="61">
        <f>[1]REV!$I$199</f>
        <v>-547918.25463305868</v>
      </c>
      <c r="AN34" s="63"/>
      <c r="AO34" s="63"/>
      <c r="AP34" s="63"/>
      <c r="AQ34" s="63"/>
      <c r="AR34" s="63"/>
      <c r="AS34" s="64"/>
    </row>
    <row r="35" spans="1:45">
      <c r="A35" s="96" t="str">
        <f>[1]Results!B37</f>
        <v xml:space="preserve">   Total Operating Expenses:</v>
      </c>
      <c r="B35" s="66">
        <f>[1]Results!D37</f>
        <v>-994534.06297462201</v>
      </c>
      <c r="C35" s="67"/>
      <c r="D35" s="66">
        <f t="shared" si="0"/>
        <v>-994534.06297462038</v>
      </c>
      <c r="E35" s="67">
        <f t="shared" si="1"/>
        <v>-1.6298145055770874E-9</v>
      </c>
      <c r="F35" s="68">
        <f>SUM(F26:F34)</f>
        <v>-2346555.6309999991</v>
      </c>
      <c r="G35" s="66">
        <f t="shared" ref="G35:AL35" si="22">SUM(G26:G34)</f>
        <v>36876.824500003597</v>
      </c>
      <c r="H35" s="205">
        <f t="shared" si="22"/>
        <v>0</v>
      </c>
      <c r="I35" s="205">
        <f t="shared" si="22"/>
        <v>0</v>
      </c>
      <c r="J35" s="69">
        <f t="shared" si="22"/>
        <v>31120.58907018412</v>
      </c>
      <c r="K35" s="68">
        <f t="shared" si="22"/>
        <v>-28779.523422572864</v>
      </c>
      <c r="L35" s="66">
        <f t="shared" si="22"/>
        <v>18800.324707341406</v>
      </c>
      <c r="M35" s="205">
        <f t="shared" si="22"/>
        <v>0</v>
      </c>
      <c r="N35" s="66">
        <f t="shared" si="22"/>
        <v>-3198894.8030331107</v>
      </c>
      <c r="O35" s="69">
        <f t="shared" ref="O35" si="23">SUM(O26:O34)</f>
        <v>-127807.58073801303</v>
      </c>
      <c r="P35" s="68">
        <f t="shared" ref="P35" si="24">SUM(P26:P34)</f>
        <v>-3346408.3305782042</v>
      </c>
      <c r="Q35" s="66">
        <f t="shared" ref="Q35:R35" si="25">SUM(Q26:Q34)</f>
        <v>98983.442339483881</v>
      </c>
      <c r="R35" s="66">
        <f t="shared" si="25"/>
        <v>5216328.6500000004</v>
      </c>
      <c r="S35" s="69">
        <f t="shared" si="22"/>
        <v>-274986.77108456596</v>
      </c>
      <c r="T35" s="115">
        <f t="shared" si="22"/>
        <v>0</v>
      </c>
      <c r="U35" s="225">
        <f t="shared" si="22"/>
        <v>0</v>
      </c>
      <c r="V35" s="66">
        <f t="shared" ref="V35" si="26">SUM(V26:V34)</f>
        <v>0</v>
      </c>
      <c r="W35" s="66">
        <f t="shared" si="22"/>
        <v>-291666.75803272682</v>
      </c>
      <c r="X35" s="66">
        <f t="shared" si="22"/>
        <v>5532834</v>
      </c>
      <c r="Y35" s="66">
        <f t="shared" si="22"/>
        <v>-75954.622194136726</v>
      </c>
      <c r="Z35" s="66">
        <f t="shared" si="22"/>
        <v>-2199228</v>
      </c>
      <c r="AA35" s="66">
        <f t="shared" ref="AA35:AB35" si="27">SUM(AA26:AA34)</f>
        <v>525562</v>
      </c>
      <c r="AB35" s="66">
        <f t="shared" si="27"/>
        <v>170464.29080562192</v>
      </c>
      <c r="AC35" s="69">
        <f t="shared" si="22"/>
        <v>0</v>
      </c>
      <c r="AD35" s="225">
        <f t="shared" si="22"/>
        <v>0</v>
      </c>
      <c r="AE35" s="66">
        <f t="shared" si="22"/>
        <v>0</v>
      </c>
      <c r="AF35" s="66">
        <f t="shared" si="22"/>
        <v>37049.96055089141</v>
      </c>
      <c r="AG35" s="66">
        <f t="shared" si="22"/>
        <v>0</v>
      </c>
      <c r="AH35" s="66">
        <f t="shared" ref="AH35" si="28">SUM(AH26:AH34)</f>
        <v>0</v>
      </c>
      <c r="AI35" s="66">
        <f t="shared" si="22"/>
        <v>-13846.847627968644</v>
      </c>
      <c r="AJ35" s="66">
        <f t="shared" si="22"/>
        <v>-17990.552800000001</v>
      </c>
      <c r="AK35" s="66">
        <f t="shared" si="22"/>
        <v>-99958.378584749851</v>
      </c>
      <c r="AL35" s="69">
        <f t="shared" si="22"/>
        <v>22103.189333333332</v>
      </c>
      <c r="AM35" s="68">
        <f t="shared" ref="AM35:AP35" si="29">SUM(AM26:AM34)</f>
        <v>-332037.63414658129</v>
      </c>
      <c r="AN35" s="66">
        <f t="shared" si="29"/>
        <v>-110288.74487962501</v>
      </c>
      <c r="AO35" s="66">
        <f t="shared" si="29"/>
        <v>-59809.694012784872</v>
      </c>
      <c r="AP35" s="66">
        <f t="shared" si="29"/>
        <v>-1178.2748464016004</v>
      </c>
      <c r="AQ35" s="66">
        <f t="shared" ref="AQ35" si="30">SUM(AQ26:AQ34)</f>
        <v>-1474073.4753139254</v>
      </c>
      <c r="AR35" s="66">
        <f t="shared" ref="AR35:AS35" si="31">SUM(AR26:AR34)</f>
        <v>0</v>
      </c>
      <c r="AS35" s="69">
        <f t="shared" si="31"/>
        <v>1314808.288013886</v>
      </c>
    </row>
    <row r="36" spans="1:45">
      <c r="A36" s="96"/>
      <c r="B36" s="50">
        <f>[1]Results!D38</f>
        <v>0</v>
      </c>
      <c r="C36" s="60"/>
      <c r="D36" s="50">
        <f t="shared" si="0"/>
        <v>0</v>
      </c>
      <c r="E36" s="60">
        <f t="shared" si="1"/>
        <v>0</v>
      </c>
      <c r="F36" s="54"/>
      <c r="G36" s="50"/>
      <c r="H36" s="202"/>
      <c r="I36" s="202"/>
      <c r="J36" s="56"/>
      <c r="K36" s="54"/>
      <c r="L36" s="50"/>
      <c r="M36" s="202"/>
      <c r="N36" s="50"/>
      <c r="O36" s="56"/>
      <c r="P36" s="54"/>
      <c r="Q36" s="50"/>
      <c r="R36" s="50"/>
      <c r="S36" s="56"/>
      <c r="T36" s="113"/>
      <c r="U36" s="223"/>
      <c r="V36" s="50"/>
      <c r="W36" s="50"/>
      <c r="X36" s="50"/>
      <c r="Y36" s="50"/>
      <c r="Z36" s="50"/>
      <c r="AA36" s="50"/>
      <c r="AB36" s="50"/>
      <c r="AC36" s="56"/>
      <c r="AD36" s="223"/>
      <c r="AE36" s="50"/>
      <c r="AF36" s="50"/>
      <c r="AG36" s="50"/>
      <c r="AH36" s="50"/>
      <c r="AI36" s="50"/>
      <c r="AJ36" s="50"/>
      <c r="AK36" s="50"/>
      <c r="AL36" s="56"/>
      <c r="AM36" s="54"/>
      <c r="AN36" s="50"/>
      <c r="AO36" s="50"/>
      <c r="AP36" s="50"/>
      <c r="AQ36" s="50"/>
      <c r="AR36" s="50"/>
      <c r="AS36" s="56"/>
    </row>
    <row r="37" spans="1:45" ht="13.5" thickBot="1">
      <c r="A37" s="96" t="str">
        <f>[1]Results!B39</f>
        <v xml:space="preserve">   Operating Rev For Return:</v>
      </c>
      <c r="B37" s="77">
        <f>[1]Results!D39</f>
        <v>-6048376.3532339353</v>
      </c>
      <c r="C37" s="77"/>
      <c r="D37" s="77">
        <f t="shared" si="0"/>
        <v>-6048376.3532339372</v>
      </c>
      <c r="E37" s="77">
        <f t="shared" si="1"/>
        <v>0</v>
      </c>
      <c r="F37" s="78">
        <f t="shared" ref="F37:AL37" si="32">F13-F35</f>
        <v>-4357889.0289999992</v>
      </c>
      <c r="G37" s="77">
        <f t="shared" si="32"/>
        <v>-69997.754499993578</v>
      </c>
      <c r="H37" s="207">
        <f t="shared" si="32"/>
        <v>0</v>
      </c>
      <c r="I37" s="207">
        <f t="shared" si="32"/>
        <v>0</v>
      </c>
      <c r="J37" s="79">
        <f t="shared" si="32"/>
        <v>71528.882319305791</v>
      </c>
      <c r="K37" s="78">
        <f t="shared" si="32"/>
        <v>28779.523422572864</v>
      </c>
      <c r="L37" s="77">
        <f t="shared" si="32"/>
        <v>-18800.324707341406</v>
      </c>
      <c r="M37" s="207">
        <f t="shared" si="32"/>
        <v>0</v>
      </c>
      <c r="N37" s="77">
        <f t="shared" si="32"/>
        <v>3198894.8030331107</v>
      </c>
      <c r="O37" s="79">
        <f t="shared" ref="O37" si="33">O13-O35</f>
        <v>127807.58073801303</v>
      </c>
      <c r="P37" s="78">
        <f t="shared" si="32"/>
        <v>7150052.5338770747</v>
      </c>
      <c r="Q37" s="77">
        <f t="shared" ref="Q37:R37" si="34">Q13-Q35</f>
        <v>-98983.442339483881</v>
      </c>
      <c r="R37" s="77">
        <f t="shared" si="34"/>
        <v>-5216328.6500000004</v>
      </c>
      <c r="S37" s="79">
        <f t="shared" si="32"/>
        <v>274986.77108456596</v>
      </c>
      <c r="T37" s="118">
        <f t="shared" si="32"/>
        <v>0</v>
      </c>
      <c r="U37" s="228">
        <f t="shared" si="32"/>
        <v>0</v>
      </c>
      <c r="V37" s="77">
        <f t="shared" ref="V37" si="35">V13-V35</f>
        <v>0</v>
      </c>
      <c r="W37" s="77">
        <f t="shared" si="32"/>
        <v>291666.75803272682</v>
      </c>
      <c r="X37" s="77">
        <f t="shared" si="32"/>
        <v>-5532834</v>
      </c>
      <c r="Y37" s="77">
        <f t="shared" si="32"/>
        <v>75954.622194136726</v>
      </c>
      <c r="Z37" s="77">
        <f t="shared" si="32"/>
        <v>2199228</v>
      </c>
      <c r="AA37" s="77">
        <f t="shared" ref="AA37:AB37" si="36">AA13-AA35</f>
        <v>-525562</v>
      </c>
      <c r="AB37" s="77">
        <f t="shared" si="36"/>
        <v>-170464.29080562192</v>
      </c>
      <c r="AC37" s="79">
        <f t="shared" si="32"/>
        <v>0</v>
      </c>
      <c r="AD37" s="228">
        <f t="shared" si="32"/>
        <v>0</v>
      </c>
      <c r="AE37" s="77">
        <f t="shared" si="32"/>
        <v>0</v>
      </c>
      <c r="AF37" s="77">
        <f t="shared" si="32"/>
        <v>-37049.96055089141</v>
      </c>
      <c r="AG37" s="77">
        <f t="shared" si="32"/>
        <v>0</v>
      </c>
      <c r="AH37" s="77">
        <f t="shared" ref="AH37" si="37">AH13-AH35</f>
        <v>0</v>
      </c>
      <c r="AI37" s="77">
        <f t="shared" si="32"/>
        <v>13846.847627968644</v>
      </c>
      <c r="AJ37" s="77">
        <f t="shared" si="32"/>
        <v>17990.552800000001</v>
      </c>
      <c r="AK37" s="77">
        <f t="shared" si="32"/>
        <v>99958.378584749851</v>
      </c>
      <c r="AL37" s="79">
        <f t="shared" si="32"/>
        <v>-22103.189333333332</v>
      </c>
      <c r="AM37" s="78">
        <f t="shared" ref="AM37:AP37" si="38">AM13-AM35</f>
        <v>332037.63414658129</v>
      </c>
      <c r="AN37" s="77">
        <f t="shared" si="38"/>
        <v>110288.74487962501</v>
      </c>
      <c r="AO37" s="77">
        <f t="shared" si="38"/>
        <v>59809.694012784872</v>
      </c>
      <c r="AP37" s="77">
        <f t="shared" si="38"/>
        <v>1178.2748464016004</v>
      </c>
      <c r="AQ37" s="77">
        <f t="shared" ref="AQ37" si="39">AQ13-AQ35</f>
        <v>-2737565.0255830046</v>
      </c>
      <c r="AR37" s="77">
        <f t="shared" ref="AR37:AS37" si="40">AR13-AR35</f>
        <v>0</v>
      </c>
      <c r="AS37" s="79">
        <f t="shared" si="40"/>
        <v>-1314808.288013886</v>
      </c>
    </row>
    <row r="38" spans="1:45" ht="13.5" thickTop="1">
      <c r="A38" s="96"/>
      <c r="B38" s="50">
        <f>[1]Results!D40</f>
        <v>0</v>
      </c>
      <c r="C38" s="60"/>
      <c r="D38" s="50">
        <f t="shared" si="0"/>
        <v>0</v>
      </c>
      <c r="E38" s="60"/>
      <c r="F38" s="54"/>
      <c r="G38" s="50"/>
      <c r="H38" s="202"/>
      <c r="I38" s="202"/>
      <c r="J38" s="56"/>
      <c r="K38" s="54"/>
      <c r="L38" s="50"/>
      <c r="M38" s="202"/>
      <c r="N38" s="50"/>
      <c r="O38" s="56"/>
      <c r="P38" s="54"/>
      <c r="Q38" s="50"/>
      <c r="R38" s="50"/>
      <c r="S38" s="56"/>
      <c r="T38" s="113"/>
      <c r="U38" s="223"/>
      <c r="V38" s="50"/>
      <c r="W38" s="50"/>
      <c r="X38" s="50"/>
      <c r="Y38" s="50"/>
      <c r="Z38" s="50"/>
      <c r="AA38" s="50"/>
      <c r="AB38" s="50"/>
      <c r="AC38" s="56"/>
      <c r="AD38" s="223"/>
      <c r="AE38" s="50"/>
      <c r="AF38" s="50"/>
      <c r="AG38" s="50"/>
      <c r="AH38" s="50"/>
      <c r="AI38" s="50"/>
      <c r="AJ38" s="50"/>
      <c r="AK38" s="50"/>
      <c r="AL38" s="56"/>
      <c r="AM38" s="54"/>
      <c r="AN38" s="50"/>
      <c r="AO38" s="50"/>
      <c r="AP38" s="50"/>
      <c r="AQ38" s="50"/>
      <c r="AR38" s="50"/>
      <c r="AS38" s="56"/>
    </row>
    <row r="39" spans="1:45">
      <c r="A39" s="96" t="str">
        <f>[1]Results!B41</f>
        <v xml:space="preserve">   Rate Base:</v>
      </c>
      <c r="B39" s="50">
        <f>[1]Results!D41</f>
        <v>0</v>
      </c>
      <c r="C39" s="60"/>
      <c r="D39" s="50">
        <f t="shared" si="0"/>
        <v>0</v>
      </c>
      <c r="E39" s="60"/>
      <c r="F39" s="54"/>
      <c r="G39" s="50"/>
      <c r="H39" s="202"/>
      <c r="I39" s="202"/>
      <c r="J39" s="56"/>
      <c r="K39" s="54"/>
      <c r="L39" s="50"/>
      <c r="M39" s="202"/>
      <c r="N39" s="50"/>
      <c r="O39" s="56"/>
      <c r="P39" s="54"/>
      <c r="Q39" s="50"/>
      <c r="R39" s="50"/>
      <c r="S39" s="56"/>
      <c r="T39" s="113"/>
      <c r="U39" s="223"/>
      <c r="V39" s="50"/>
      <c r="W39" s="50"/>
      <c r="X39" s="50"/>
      <c r="Y39" s="50"/>
      <c r="Z39" s="50"/>
      <c r="AA39" s="50"/>
      <c r="AB39" s="50"/>
      <c r="AC39" s="56"/>
      <c r="AD39" s="223"/>
      <c r="AE39" s="50"/>
      <c r="AF39" s="50"/>
      <c r="AG39" s="50"/>
      <c r="AH39" s="50"/>
      <c r="AI39" s="50"/>
      <c r="AJ39" s="50"/>
      <c r="AK39" s="50"/>
      <c r="AL39" s="56"/>
      <c r="AM39" s="54"/>
      <c r="AN39" s="50"/>
      <c r="AO39" s="50"/>
      <c r="AP39" s="50"/>
      <c r="AQ39" s="50"/>
      <c r="AR39" s="50"/>
      <c r="AS39" s="56"/>
    </row>
    <row r="40" spans="1:45">
      <c r="A40" s="96" t="str">
        <f>[1]Results!B42</f>
        <v>Electric Plant In Service</v>
      </c>
      <c r="B40" s="59">
        <f>[1]Results!D42</f>
        <v>27046917.071776658</v>
      </c>
      <c r="C40" s="60"/>
      <c r="D40" s="59">
        <f t="shared" si="0"/>
        <v>27046917.071776655</v>
      </c>
      <c r="E40" s="60">
        <f t="shared" si="1"/>
        <v>0</v>
      </c>
      <c r="F40" s="61">
        <v>0</v>
      </c>
      <c r="G40" s="63">
        <v>0</v>
      </c>
      <c r="H40" s="204">
        <v>0</v>
      </c>
      <c r="I40" s="203">
        <v>0</v>
      </c>
      <c r="J40" s="64">
        <v>0</v>
      </c>
      <c r="K40" s="61">
        <v>0</v>
      </c>
      <c r="L40" s="63">
        <v>0</v>
      </c>
      <c r="M40" s="204">
        <v>0</v>
      </c>
      <c r="N40" s="63">
        <v>0</v>
      </c>
      <c r="O40" s="65">
        <v>0</v>
      </c>
      <c r="P40" s="61">
        <v>0</v>
      </c>
      <c r="Q40" s="63">
        <v>0</v>
      </c>
      <c r="R40" s="63">
        <v>0</v>
      </c>
      <c r="S40" s="65">
        <f>[1]NPC!$I$454+[1]NPC!$I$455</f>
        <v>-26125927.969872698</v>
      </c>
      <c r="T40" s="114">
        <v>0</v>
      </c>
      <c r="U40" s="224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4">
        <v>0</v>
      </c>
      <c r="AD40" s="224">
        <v>0</v>
      </c>
      <c r="AE40" s="59">
        <f>[1]RB!$I$73</f>
        <v>53613851.168249354</v>
      </c>
      <c r="AF40" s="59">
        <v>0</v>
      </c>
      <c r="AG40" s="63">
        <v>0</v>
      </c>
      <c r="AH40" s="59">
        <v>0</v>
      </c>
      <c r="AI40" s="50">
        <v>0</v>
      </c>
      <c r="AJ40" s="59">
        <f>[1]RB!$I$329</f>
        <v>-441006.12659999984</v>
      </c>
      <c r="AK40" s="63">
        <v>0</v>
      </c>
      <c r="AL40" s="64">
        <v>0</v>
      </c>
      <c r="AM40" s="61"/>
      <c r="AN40" s="63"/>
      <c r="AO40" s="63"/>
      <c r="AP40" s="59"/>
      <c r="AQ40" s="59"/>
      <c r="AR40" s="59"/>
      <c r="AS40" s="64"/>
    </row>
    <row r="41" spans="1:45">
      <c r="A41" s="96" t="str">
        <f>[1]Results!B43</f>
        <v>Plant Held for Future Use</v>
      </c>
      <c r="B41" s="59">
        <f>[1]Results!D43</f>
        <v>0</v>
      </c>
      <c r="C41" s="60"/>
      <c r="D41" s="59">
        <f t="shared" si="0"/>
        <v>0</v>
      </c>
      <c r="E41" s="60">
        <f t="shared" si="1"/>
        <v>0</v>
      </c>
      <c r="F41" s="61">
        <v>0</v>
      </c>
      <c r="G41" s="63">
        <v>0</v>
      </c>
      <c r="H41" s="204">
        <v>0</v>
      </c>
      <c r="I41" s="203">
        <v>0</v>
      </c>
      <c r="J41" s="64">
        <v>0</v>
      </c>
      <c r="K41" s="61">
        <v>0</v>
      </c>
      <c r="L41" s="63">
        <v>0</v>
      </c>
      <c r="M41" s="204">
        <v>0</v>
      </c>
      <c r="N41" s="63">
        <v>0</v>
      </c>
      <c r="O41" s="65">
        <v>0</v>
      </c>
      <c r="P41" s="61">
        <v>0</v>
      </c>
      <c r="Q41" s="63">
        <v>0</v>
      </c>
      <c r="R41" s="63">
        <v>0</v>
      </c>
      <c r="S41" s="65">
        <v>0</v>
      </c>
      <c r="T41" s="114">
        <v>0</v>
      </c>
      <c r="U41" s="224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4">
        <v>0</v>
      </c>
      <c r="AD41" s="224">
        <v>0</v>
      </c>
      <c r="AE41" s="59">
        <v>0</v>
      </c>
      <c r="AF41" s="59">
        <v>0</v>
      </c>
      <c r="AG41" s="63">
        <v>0</v>
      </c>
      <c r="AH41" s="59">
        <v>0</v>
      </c>
      <c r="AI41" s="50">
        <v>0</v>
      </c>
      <c r="AJ41" s="59">
        <v>0</v>
      </c>
      <c r="AK41" s="63">
        <v>0</v>
      </c>
      <c r="AL41" s="64">
        <v>0</v>
      </c>
      <c r="AM41" s="61"/>
      <c r="AN41" s="63"/>
      <c r="AO41" s="63"/>
      <c r="AP41" s="59"/>
      <c r="AQ41" s="59"/>
      <c r="AR41" s="59"/>
      <c r="AS41" s="64"/>
    </row>
    <row r="42" spans="1:45">
      <c r="A42" s="96" t="str">
        <f>[1]Results!B44</f>
        <v>Misc Deferred Debits</v>
      </c>
      <c r="B42" s="59">
        <f>[1]Results!D44</f>
        <v>-2197306.0259155687</v>
      </c>
      <c r="C42" s="60"/>
      <c r="D42" s="59">
        <f t="shared" si="0"/>
        <v>-2197306.0259155687</v>
      </c>
      <c r="E42" s="60">
        <f t="shared" si="1"/>
        <v>0</v>
      </c>
      <c r="F42" s="61">
        <v>0</v>
      </c>
      <c r="G42" s="63">
        <v>0</v>
      </c>
      <c r="H42" s="204">
        <v>0</v>
      </c>
      <c r="I42" s="203">
        <v>0</v>
      </c>
      <c r="J42" s="64">
        <v>0</v>
      </c>
      <c r="K42" s="61">
        <v>0</v>
      </c>
      <c r="L42" s="63">
        <v>0</v>
      </c>
      <c r="M42" s="204">
        <v>0</v>
      </c>
      <c r="N42" s="63">
        <v>0</v>
      </c>
      <c r="O42" s="65">
        <v>0</v>
      </c>
      <c r="P42" s="61">
        <v>0</v>
      </c>
      <c r="Q42" s="63">
        <v>0</v>
      </c>
      <c r="R42" s="63">
        <v>0</v>
      </c>
      <c r="S42" s="65">
        <v>0</v>
      </c>
      <c r="T42" s="114">
        <v>0</v>
      </c>
      <c r="U42" s="224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4">
        <v>0</v>
      </c>
      <c r="AD42" s="224">
        <v>0</v>
      </c>
      <c r="AE42" s="59">
        <f>[1]RB!$I$76</f>
        <v>514243.44230495289</v>
      </c>
      <c r="AF42" s="59">
        <f>SUM([1]RB!$I$141:$I$143)</f>
        <v>155566.24390796048</v>
      </c>
      <c r="AG42" s="63">
        <v>0</v>
      </c>
      <c r="AH42" s="59">
        <f>[1]RB!$I$726+[1]RB!$I$733</f>
        <v>-2867115.7121284818</v>
      </c>
      <c r="AI42" s="50">
        <v>0</v>
      </c>
      <c r="AJ42" s="59">
        <v>0</v>
      </c>
      <c r="AK42" s="63">
        <v>0</v>
      </c>
      <c r="AL42" s="64">
        <v>0</v>
      </c>
      <c r="AM42" s="61"/>
      <c r="AN42" s="63"/>
      <c r="AO42" s="63"/>
      <c r="AP42" s="59"/>
      <c r="AQ42" s="59"/>
      <c r="AR42" s="59"/>
      <c r="AS42" s="64"/>
    </row>
    <row r="43" spans="1:45">
      <c r="A43" s="96" t="str">
        <f>[1]Results!B45</f>
        <v>Elec Plant Acq Adj</v>
      </c>
      <c r="B43" s="59">
        <f>[1]Results!D45</f>
        <v>0</v>
      </c>
      <c r="C43" s="60"/>
      <c r="D43" s="59">
        <f t="shared" si="0"/>
        <v>0</v>
      </c>
      <c r="E43" s="60">
        <f t="shared" si="1"/>
        <v>0</v>
      </c>
      <c r="F43" s="61">
        <v>0</v>
      </c>
      <c r="G43" s="63">
        <v>0</v>
      </c>
      <c r="H43" s="204">
        <v>0</v>
      </c>
      <c r="I43" s="203">
        <v>0</v>
      </c>
      <c r="J43" s="64">
        <v>0</v>
      </c>
      <c r="K43" s="61">
        <v>0</v>
      </c>
      <c r="L43" s="63">
        <v>0</v>
      </c>
      <c r="M43" s="204">
        <v>0</v>
      </c>
      <c r="N43" s="63">
        <v>0</v>
      </c>
      <c r="O43" s="65">
        <v>0</v>
      </c>
      <c r="P43" s="61">
        <v>0</v>
      </c>
      <c r="Q43" s="63">
        <v>0</v>
      </c>
      <c r="R43" s="63">
        <v>0</v>
      </c>
      <c r="S43" s="65">
        <v>0</v>
      </c>
      <c r="T43" s="114">
        <v>0</v>
      </c>
      <c r="U43" s="224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4">
        <v>0</v>
      </c>
      <c r="AD43" s="224">
        <v>0</v>
      </c>
      <c r="AE43" s="59">
        <v>0</v>
      </c>
      <c r="AF43" s="59">
        <v>0</v>
      </c>
      <c r="AG43" s="63">
        <v>0</v>
      </c>
      <c r="AH43" s="59">
        <v>0</v>
      </c>
      <c r="AI43" s="50">
        <v>0</v>
      </c>
      <c r="AJ43" s="59">
        <v>0</v>
      </c>
      <c r="AK43" s="63">
        <v>0</v>
      </c>
      <c r="AL43" s="64">
        <v>0</v>
      </c>
      <c r="AM43" s="61"/>
      <c r="AN43" s="63"/>
      <c r="AO43" s="63"/>
      <c r="AP43" s="59"/>
      <c r="AQ43" s="59"/>
      <c r="AR43" s="59"/>
      <c r="AS43" s="64"/>
    </row>
    <row r="44" spans="1:45">
      <c r="A44" s="96" t="str">
        <f>[1]Results!B46</f>
        <v>Nuclear Fuel</v>
      </c>
      <c r="B44" s="59">
        <f>[1]Results!D46</f>
        <v>0</v>
      </c>
      <c r="C44" s="60"/>
      <c r="D44" s="59">
        <f t="shared" si="0"/>
        <v>0</v>
      </c>
      <c r="E44" s="60">
        <f t="shared" si="1"/>
        <v>0</v>
      </c>
      <c r="F44" s="61">
        <v>0</v>
      </c>
      <c r="G44" s="63">
        <v>0</v>
      </c>
      <c r="H44" s="204">
        <v>0</v>
      </c>
      <c r="I44" s="203">
        <v>0</v>
      </c>
      <c r="J44" s="64">
        <v>0</v>
      </c>
      <c r="K44" s="61">
        <v>0</v>
      </c>
      <c r="L44" s="63">
        <v>0</v>
      </c>
      <c r="M44" s="204">
        <v>0</v>
      </c>
      <c r="N44" s="63">
        <v>0</v>
      </c>
      <c r="O44" s="65">
        <v>0</v>
      </c>
      <c r="P44" s="61">
        <v>0</v>
      </c>
      <c r="Q44" s="63">
        <v>0</v>
      </c>
      <c r="R44" s="63">
        <v>0</v>
      </c>
      <c r="S44" s="65">
        <v>0</v>
      </c>
      <c r="T44" s="114">
        <v>0</v>
      </c>
      <c r="U44" s="224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4">
        <v>0</v>
      </c>
      <c r="AD44" s="224">
        <v>0</v>
      </c>
      <c r="AE44" s="59">
        <v>0</v>
      </c>
      <c r="AF44" s="59">
        <v>0</v>
      </c>
      <c r="AG44" s="63">
        <v>0</v>
      </c>
      <c r="AH44" s="59">
        <v>0</v>
      </c>
      <c r="AI44" s="50">
        <v>0</v>
      </c>
      <c r="AJ44" s="59">
        <v>0</v>
      </c>
      <c r="AK44" s="63">
        <v>0</v>
      </c>
      <c r="AL44" s="64">
        <v>0</v>
      </c>
      <c r="AM44" s="61"/>
      <c r="AN44" s="63"/>
      <c r="AO44" s="63"/>
      <c r="AP44" s="59"/>
      <c r="AQ44" s="59"/>
      <c r="AR44" s="59"/>
      <c r="AS44" s="64"/>
    </row>
    <row r="45" spans="1:45">
      <c r="A45" s="96" t="str">
        <f>[1]Results!B47</f>
        <v>Prepayments</v>
      </c>
      <c r="B45" s="59">
        <f>[1]Results!D47</f>
        <v>-2850427.9619466118</v>
      </c>
      <c r="C45" s="60"/>
      <c r="D45" s="59">
        <f t="shared" si="0"/>
        <v>-2850427.9619466118</v>
      </c>
      <c r="E45" s="60">
        <f t="shared" si="1"/>
        <v>0</v>
      </c>
      <c r="F45" s="61">
        <v>0</v>
      </c>
      <c r="G45" s="63">
        <v>0</v>
      </c>
      <c r="H45" s="204">
        <v>0</v>
      </c>
      <c r="I45" s="203">
        <v>0</v>
      </c>
      <c r="J45" s="64">
        <v>0</v>
      </c>
      <c r="K45" s="61">
        <v>0</v>
      </c>
      <c r="L45" s="63">
        <v>0</v>
      </c>
      <c r="M45" s="204">
        <v>0</v>
      </c>
      <c r="N45" s="63">
        <v>0</v>
      </c>
      <c r="O45" s="65">
        <v>0</v>
      </c>
      <c r="P45" s="61">
        <v>0</v>
      </c>
      <c r="Q45" s="63">
        <v>0</v>
      </c>
      <c r="R45" s="63">
        <v>0</v>
      </c>
      <c r="S45" s="65">
        <v>0</v>
      </c>
      <c r="T45" s="114">
        <v>0</v>
      </c>
      <c r="U45" s="224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4">
        <v>0</v>
      </c>
      <c r="AD45" s="224">
        <v>0</v>
      </c>
      <c r="AE45" s="59">
        <v>0</v>
      </c>
      <c r="AF45" s="59">
        <v>0</v>
      </c>
      <c r="AG45" s="63">
        <v>0</v>
      </c>
      <c r="AH45" s="59">
        <f>[1]RB!$I$719</f>
        <v>-2850427.9619466118</v>
      </c>
      <c r="AI45" s="50">
        <v>0</v>
      </c>
      <c r="AJ45" s="59">
        <v>0</v>
      </c>
      <c r="AK45" s="63">
        <v>0</v>
      </c>
      <c r="AL45" s="64">
        <v>0</v>
      </c>
      <c r="AM45" s="61"/>
      <c r="AN45" s="63"/>
      <c r="AO45" s="63"/>
      <c r="AP45" s="59"/>
      <c r="AQ45" s="59"/>
      <c r="AR45" s="59"/>
      <c r="AS45" s="64"/>
    </row>
    <row r="46" spans="1:45">
      <c r="A46" s="96" t="str">
        <f>[1]Results!B48</f>
        <v>Fuel Stock</v>
      </c>
      <c r="B46" s="59">
        <f>[1]Results!D48</f>
        <v>2033952.2560125524</v>
      </c>
      <c r="C46" s="60"/>
      <c r="D46" s="59">
        <f t="shared" si="0"/>
        <v>2033952.2560125524</v>
      </c>
      <c r="E46" s="60">
        <f t="shared" si="1"/>
        <v>0</v>
      </c>
      <c r="F46" s="61">
        <v>0</v>
      </c>
      <c r="G46" s="63">
        <v>0</v>
      </c>
      <c r="H46" s="204">
        <v>0</v>
      </c>
      <c r="I46" s="203">
        <v>0</v>
      </c>
      <c r="J46" s="64">
        <v>0</v>
      </c>
      <c r="K46" s="61">
        <v>0</v>
      </c>
      <c r="L46" s="63">
        <v>0</v>
      </c>
      <c r="M46" s="204">
        <v>0</v>
      </c>
      <c r="N46" s="63">
        <v>0</v>
      </c>
      <c r="O46" s="65">
        <v>0</v>
      </c>
      <c r="P46" s="61">
        <v>0</v>
      </c>
      <c r="Q46" s="63">
        <v>0</v>
      </c>
      <c r="R46" s="63">
        <v>0</v>
      </c>
      <c r="S46" s="65">
        <v>0</v>
      </c>
      <c r="T46" s="114">
        <v>0</v>
      </c>
      <c r="U46" s="224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4">
        <v>0</v>
      </c>
      <c r="AD46" s="224">
        <v>0</v>
      </c>
      <c r="AE46" s="59">
        <f>[1]RB!$I$75</f>
        <v>2033952.2560125524</v>
      </c>
      <c r="AF46" s="59">
        <v>0</v>
      </c>
      <c r="AG46" s="63">
        <v>0</v>
      </c>
      <c r="AH46" s="59">
        <v>0</v>
      </c>
      <c r="AI46" s="50">
        <v>0</v>
      </c>
      <c r="AJ46" s="59">
        <v>0</v>
      </c>
      <c r="AK46" s="63">
        <v>0</v>
      </c>
      <c r="AL46" s="64">
        <v>0</v>
      </c>
      <c r="AM46" s="61"/>
      <c r="AN46" s="63"/>
      <c r="AO46" s="63"/>
      <c r="AP46" s="59"/>
      <c r="AQ46" s="59"/>
      <c r="AR46" s="59"/>
      <c r="AS46" s="64"/>
    </row>
    <row r="47" spans="1:45">
      <c r="A47" s="96" t="str">
        <f>[1]Results!B49</f>
        <v>Material &amp; Supplies</v>
      </c>
      <c r="B47" s="59">
        <f>[1]Results!D49</f>
        <v>2018177.8990736436</v>
      </c>
      <c r="C47" s="60"/>
      <c r="D47" s="59">
        <f t="shared" si="0"/>
        <v>2018177.8990736436</v>
      </c>
      <c r="E47" s="60">
        <f t="shared" si="1"/>
        <v>0</v>
      </c>
      <c r="F47" s="61">
        <v>0</v>
      </c>
      <c r="G47" s="63">
        <v>0</v>
      </c>
      <c r="H47" s="204">
        <v>0</v>
      </c>
      <c r="I47" s="203">
        <v>0</v>
      </c>
      <c r="J47" s="64">
        <v>0</v>
      </c>
      <c r="K47" s="61">
        <v>0</v>
      </c>
      <c r="L47" s="63">
        <v>0</v>
      </c>
      <c r="M47" s="204">
        <v>0</v>
      </c>
      <c r="N47" s="63">
        <v>0</v>
      </c>
      <c r="O47" s="65">
        <v>0</v>
      </c>
      <c r="P47" s="61">
        <v>0</v>
      </c>
      <c r="Q47" s="63">
        <v>0</v>
      </c>
      <c r="R47" s="63">
        <v>0</v>
      </c>
      <c r="S47" s="65">
        <v>0</v>
      </c>
      <c r="T47" s="114">
        <v>0</v>
      </c>
      <c r="U47" s="224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4">
        <v>0</v>
      </c>
      <c r="AD47" s="224">
        <v>0</v>
      </c>
      <c r="AE47" s="59">
        <f>[1]RB!$I$74</f>
        <v>2005617.942152187</v>
      </c>
      <c r="AF47" s="59">
        <v>0</v>
      </c>
      <c r="AG47" s="63">
        <v>0</v>
      </c>
      <c r="AH47" s="59">
        <f>[1]RB!$I$735</f>
        <v>12559.956921456682</v>
      </c>
      <c r="AI47" s="50">
        <v>0</v>
      </c>
      <c r="AJ47" s="59">
        <v>0</v>
      </c>
      <c r="AK47" s="63">
        <v>0</v>
      </c>
      <c r="AL47" s="64">
        <v>0</v>
      </c>
      <c r="AM47" s="61"/>
      <c r="AN47" s="63"/>
      <c r="AO47" s="63"/>
      <c r="AP47" s="59"/>
      <c r="AQ47" s="59"/>
      <c r="AR47" s="59"/>
      <c r="AS47" s="64"/>
    </row>
    <row r="48" spans="1:45">
      <c r="A48" s="96" t="str">
        <f>[1]Results!B50</f>
        <v>Working Capital</v>
      </c>
      <c r="B48" s="59">
        <f>[1]Results!D50</f>
        <v>8646327.0520162769</v>
      </c>
      <c r="C48" s="60"/>
      <c r="D48" s="59">
        <f t="shared" si="0"/>
        <v>8646327.052016275</v>
      </c>
      <c r="E48" s="60">
        <f t="shared" si="1"/>
        <v>0</v>
      </c>
      <c r="F48" s="61">
        <v>0</v>
      </c>
      <c r="G48" s="63">
        <v>0</v>
      </c>
      <c r="H48" s="204">
        <v>0</v>
      </c>
      <c r="I48" s="203">
        <v>0</v>
      </c>
      <c r="J48" s="64">
        <v>0</v>
      </c>
      <c r="K48" s="61">
        <v>0</v>
      </c>
      <c r="L48" s="63">
        <v>0</v>
      </c>
      <c r="M48" s="204">
        <v>0</v>
      </c>
      <c r="N48" s="63">
        <v>0</v>
      </c>
      <c r="O48" s="65">
        <v>0</v>
      </c>
      <c r="P48" s="61">
        <v>0</v>
      </c>
      <c r="Q48" s="63">
        <v>0</v>
      </c>
      <c r="R48" s="63">
        <v>0</v>
      </c>
      <c r="S48" s="65">
        <v>0</v>
      </c>
      <c r="T48" s="114">
        <v>0</v>
      </c>
      <c r="U48" s="224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4">
        <v>0</v>
      </c>
      <c r="AD48" s="224">
        <v>0</v>
      </c>
      <c r="AE48" s="59">
        <v>0</v>
      </c>
      <c r="AF48" s="59">
        <v>0</v>
      </c>
      <c r="AG48" s="63">
        <v>0</v>
      </c>
      <c r="AH48" s="59">
        <f>SUM([1]RB!$I$696:$I$701)+[1]RB!$I$694+[1]RB!$I$695</f>
        <v>-2159291.1506739352</v>
      </c>
      <c r="AI48" s="50">
        <v>0</v>
      </c>
      <c r="AJ48" s="59">
        <v>0</v>
      </c>
      <c r="AK48" s="63">
        <v>0</v>
      </c>
      <c r="AL48" s="64">
        <v>0</v>
      </c>
      <c r="AM48" s="61"/>
      <c r="AN48" s="63"/>
      <c r="AO48" s="63"/>
      <c r="AP48" s="59"/>
      <c r="AQ48" s="59"/>
      <c r="AR48" s="59">
        <f>[1]RB!$I$631</f>
        <v>10805618.20269021</v>
      </c>
      <c r="AS48" s="64"/>
    </row>
    <row r="49" spans="1:45">
      <c r="A49" s="96" t="str">
        <f>[1]Results!B51</f>
        <v>Weatherization</v>
      </c>
      <c r="B49" s="59">
        <f>[1]Results!D51</f>
        <v>0</v>
      </c>
      <c r="C49" s="60"/>
      <c r="D49" s="59">
        <f t="shared" si="0"/>
        <v>0</v>
      </c>
      <c r="E49" s="60">
        <f t="shared" si="1"/>
        <v>0</v>
      </c>
      <c r="F49" s="61">
        <v>0</v>
      </c>
      <c r="G49" s="63">
        <v>0</v>
      </c>
      <c r="H49" s="204">
        <v>0</v>
      </c>
      <c r="I49" s="203">
        <v>0</v>
      </c>
      <c r="J49" s="64">
        <v>0</v>
      </c>
      <c r="K49" s="61">
        <v>0</v>
      </c>
      <c r="L49" s="63">
        <v>0</v>
      </c>
      <c r="M49" s="204">
        <v>0</v>
      </c>
      <c r="N49" s="63">
        <v>0</v>
      </c>
      <c r="O49" s="65">
        <v>0</v>
      </c>
      <c r="P49" s="61">
        <v>0</v>
      </c>
      <c r="Q49" s="63">
        <v>0</v>
      </c>
      <c r="R49" s="63">
        <v>0</v>
      </c>
      <c r="S49" s="65">
        <v>0</v>
      </c>
      <c r="T49" s="114">
        <v>0</v>
      </c>
      <c r="U49" s="224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4">
        <v>0</v>
      </c>
      <c r="AD49" s="224">
        <v>0</v>
      </c>
      <c r="AE49" s="59">
        <v>0</v>
      </c>
      <c r="AF49" s="59">
        <v>0</v>
      </c>
      <c r="AG49" s="63">
        <v>0</v>
      </c>
      <c r="AH49" s="59">
        <v>0</v>
      </c>
      <c r="AI49" s="50">
        <v>0</v>
      </c>
      <c r="AJ49" s="59">
        <v>0</v>
      </c>
      <c r="AK49" s="63">
        <v>0</v>
      </c>
      <c r="AL49" s="64">
        <v>0</v>
      </c>
      <c r="AM49" s="61"/>
      <c r="AN49" s="63"/>
      <c r="AO49" s="63"/>
      <c r="AP49" s="59"/>
      <c r="AQ49" s="59"/>
      <c r="AR49" s="59"/>
      <c r="AS49" s="64"/>
    </row>
    <row r="50" spans="1:45">
      <c r="A50" s="96" t="str">
        <f>[1]Results!B52</f>
        <v xml:space="preserve">Misc Rate Base </v>
      </c>
      <c r="B50" s="59">
        <f>[1]Results!D52</f>
        <v>-268576.60836182453</v>
      </c>
      <c r="C50" s="60"/>
      <c r="D50" s="59">
        <f t="shared" si="0"/>
        <v>-268576.60836182453</v>
      </c>
      <c r="E50" s="60">
        <f t="shared" si="1"/>
        <v>0</v>
      </c>
      <c r="F50" s="61">
        <v>0</v>
      </c>
      <c r="G50" s="63">
        <v>0</v>
      </c>
      <c r="H50" s="204">
        <v>0</v>
      </c>
      <c r="I50" s="203">
        <v>0</v>
      </c>
      <c r="J50" s="64">
        <v>0</v>
      </c>
      <c r="K50" s="61">
        <v>0</v>
      </c>
      <c r="L50" s="63">
        <v>0</v>
      </c>
      <c r="M50" s="204">
        <v>0</v>
      </c>
      <c r="N50" s="63">
        <v>0</v>
      </c>
      <c r="O50" s="65">
        <v>0</v>
      </c>
      <c r="P50" s="61">
        <v>0</v>
      </c>
      <c r="Q50" s="63">
        <v>0</v>
      </c>
      <c r="R50" s="63">
        <v>0</v>
      </c>
      <c r="S50" s="65">
        <v>0</v>
      </c>
      <c r="T50" s="114">
        <v>0</v>
      </c>
      <c r="U50" s="224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4">
        <v>0</v>
      </c>
      <c r="AD50" s="224">
        <v>0</v>
      </c>
      <c r="AE50" s="59">
        <v>0</v>
      </c>
      <c r="AF50" s="59">
        <v>0</v>
      </c>
      <c r="AG50" s="63">
        <v>0</v>
      </c>
      <c r="AH50" s="59">
        <v>0</v>
      </c>
      <c r="AI50" s="50"/>
      <c r="AJ50" s="59">
        <v>0</v>
      </c>
      <c r="AK50" s="63">
        <f>SUM([1]RB!$I$451:$I$453)</f>
        <v>-268576.60836182453</v>
      </c>
      <c r="AL50" s="64"/>
      <c r="AM50" s="61"/>
      <c r="AN50" s="63"/>
      <c r="AO50" s="63"/>
      <c r="AP50" s="59"/>
      <c r="AQ50" s="59"/>
      <c r="AR50" s="59"/>
      <c r="AS50" s="64"/>
    </row>
    <row r="51" spans="1:45">
      <c r="A51" s="96" t="str">
        <f>[1]Results!B53</f>
        <v xml:space="preserve">   Total Electric Plant:</v>
      </c>
      <c r="B51" s="80">
        <f>[1]Results!D53</f>
        <v>34429063.682655126</v>
      </c>
      <c r="C51" s="67"/>
      <c r="D51" s="80">
        <f t="shared" si="0"/>
        <v>34429063.682655126</v>
      </c>
      <c r="E51" s="67">
        <f t="shared" si="1"/>
        <v>0</v>
      </c>
      <c r="F51" s="81">
        <f>SUM(F40:F50)</f>
        <v>0</v>
      </c>
      <c r="G51" s="80">
        <f t="shared" ref="G51:AS51" si="41">SUM(G40:G50)</f>
        <v>0</v>
      </c>
      <c r="H51" s="208">
        <f t="shared" si="41"/>
        <v>0</v>
      </c>
      <c r="I51" s="208">
        <f t="shared" si="41"/>
        <v>0</v>
      </c>
      <c r="J51" s="82">
        <f t="shared" si="41"/>
        <v>0</v>
      </c>
      <c r="K51" s="81">
        <f t="shared" si="41"/>
        <v>0</v>
      </c>
      <c r="L51" s="80">
        <f t="shared" si="41"/>
        <v>0</v>
      </c>
      <c r="M51" s="208">
        <f t="shared" si="41"/>
        <v>0</v>
      </c>
      <c r="N51" s="80">
        <f t="shared" si="41"/>
        <v>0</v>
      </c>
      <c r="O51" s="82">
        <f t="shared" ref="O51" si="42">SUM(O40:O50)</f>
        <v>0</v>
      </c>
      <c r="P51" s="81">
        <f t="shared" ref="P51" si="43">SUM(P40:P50)</f>
        <v>0</v>
      </c>
      <c r="Q51" s="80">
        <f t="shared" ref="Q51:R51" si="44">SUM(Q40:Q50)</f>
        <v>0</v>
      </c>
      <c r="R51" s="80">
        <f t="shared" si="44"/>
        <v>0</v>
      </c>
      <c r="S51" s="82">
        <f t="shared" si="41"/>
        <v>-26125927.969872698</v>
      </c>
      <c r="T51" s="119">
        <f t="shared" si="41"/>
        <v>0</v>
      </c>
      <c r="U51" s="229">
        <f t="shared" si="41"/>
        <v>0</v>
      </c>
      <c r="V51" s="80">
        <f t="shared" ref="V51" si="45">SUM(V40:V50)</f>
        <v>0</v>
      </c>
      <c r="W51" s="80">
        <f t="shared" si="41"/>
        <v>0</v>
      </c>
      <c r="X51" s="80">
        <f t="shared" si="41"/>
        <v>0</v>
      </c>
      <c r="Y51" s="80">
        <f t="shared" si="41"/>
        <v>0</v>
      </c>
      <c r="Z51" s="80">
        <f t="shared" si="41"/>
        <v>0</v>
      </c>
      <c r="AA51" s="80">
        <f t="shared" ref="AA51:AB51" si="46">SUM(AA40:AA50)</f>
        <v>0</v>
      </c>
      <c r="AB51" s="80">
        <f t="shared" si="46"/>
        <v>0</v>
      </c>
      <c r="AC51" s="82">
        <f t="shared" si="41"/>
        <v>0</v>
      </c>
      <c r="AD51" s="229">
        <f t="shared" si="41"/>
        <v>0</v>
      </c>
      <c r="AE51" s="80">
        <f t="shared" si="41"/>
        <v>58167664.808719046</v>
      </c>
      <c r="AF51" s="80">
        <f t="shared" si="41"/>
        <v>155566.24390796048</v>
      </c>
      <c r="AG51" s="80">
        <f t="shared" si="41"/>
        <v>0</v>
      </c>
      <c r="AH51" s="80">
        <f t="shared" ref="AH51" si="47">SUM(AH40:AH50)</f>
        <v>-7864274.8678275719</v>
      </c>
      <c r="AI51" s="80">
        <f t="shared" si="41"/>
        <v>0</v>
      </c>
      <c r="AJ51" s="80">
        <f t="shared" si="41"/>
        <v>-441006.12659999984</v>
      </c>
      <c r="AK51" s="80">
        <f t="shared" si="41"/>
        <v>-268576.60836182453</v>
      </c>
      <c r="AL51" s="82">
        <f t="shared" si="41"/>
        <v>0</v>
      </c>
      <c r="AM51" s="81">
        <f t="shared" si="41"/>
        <v>0</v>
      </c>
      <c r="AN51" s="80">
        <f t="shared" si="41"/>
        <v>0</v>
      </c>
      <c r="AO51" s="80">
        <f t="shared" si="41"/>
        <v>0</v>
      </c>
      <c r="AP51" s="80">
        <f t="shared" si="41"/>
        <v>0</v>
      </c>
      <c r="AQ51" s="80">
        <f t="shared" si="41"/>
        <v>0</v>
      </c>
      <c r="AR51" s="80">
        <f t="shared" si="41"/>
        <v>10805618.20269021</v>
      </c>
      <c r="AS51" s="82">
        <f t="shared" si="41"/>
        <v>0</v>
      </c>
    </row>
    <row r="52" spans="1:45">
      <c r="A52" s="96"/>
      <c r="B52" s="50">
        <f>[1]Results!D54</f>
        <v>0</v>
      </c>
      <c r="C52" s="60"/>
      <c r="D52" s="50">
        <f t="shared" si="0"/>
        <v>0</v>
      </c>
      <c r="E52" s="60"/>
      <c r="F52" s="54"/>
      <c r="G52" s="50"/>
      <c r="H52" s="202"/>
      <c r="I52" s="202"/>
      <c r="J52" s="56"/>
      <c r="K52" s="54"/>
      <c r="L52" s="50"/>
      <c r="M52" s="202"/>
      <c r="N52" s="50"/>
      <c r="O52" s="56"/>
      <c r="P52" s="54"/>
      <c r="Q52" s="50"/>
      <c r="R52" s="50"/>
      <c r="S52" s="56"/>
      <c r="T52" s="113"/>
      <c r="U52" s="223"/>
      <c r="V52" s="50"/>
      <c r="W52" s="50"/>
      <c r="X52" s="50"/>
      <c r="Y52" s="50"/>
      <c r="Z52" s="50"/>
      <c r="AA52" s="50"/>
      <c r="AB52" s="50"/>
      <c r="AC52" s="56"/>
      <c r="AD52" s="223"/>
      <c r="AE52" s="50"/>
      <c r="AF52" s="50"/>
      <c r="AG52" s="50"/>
      <c r="AH52" s="50"/>
      <c r="AI52" s="50"/>
      <c r="AJ52" s="50"/>
      <c r="AK52" s="50"/>
      <c r="AL52" s="56"/>
      <c r="AM52" s="54"/>
      <c r="AN52" s="50"/>
      <c r="AO52" s="50"/>
      <c r="AP52" s="50"/>
      <c r="AQ52" s="50"/>
      <c r="AR52" s="50"/>
      <c r="AS52" s="56"/>
    </row>
    <row r="53" spans="1:45">
      <c r="A53" s="96" t="str">
        <f>[1]Results!B55</f>
        <v>Rate Base Deductions:</v>
      </c>
      <c r="B53" s="50">
        <f>[1]Results!D55</f>
        <v>0</v>
      </c>
      <c r="C53" s="60"/>
      <c r="D53" s="50">
        <f t="shared" si="0"/>
        <v>0</v>
      </c>
      <c r="E53" s="60"/>
      <c r="F53" s="54"/>
      <c r="G53" s="50"/>
      <c r="H53" s="202"/>
      <c r="I53" s="202"/>
      <c r="J53" s="56"/>
      <c r="K53" s="54"/>
      <c r="L53" s="50"/>
      <c r="M53" s="202"/>
      <c r="N53" s="50"/>
      <c r="O53" s="56"/>
      <c r="P53" s="54"/>
      <c r="Q53" s="50"/>
      <c r="R53" s="50"/>
      <c r="S53" s="56"/>
      <c r="T53" s="113"/>
      <c r="U53" s="223"/>
      <c r="V53" s="50"/>
      <c r="W53" s="50"/>
      <c r="X53" s="50"/>
      <c r="Y53" s="50"/>
      <c r="Z53" s="50"/>
      <c r="AA53" s="50"/>
      <c r="AB53" s="50"/>
      <c r="AC53" s="56"/>
      <c r="AD53" s="223"/>
      <c r="AE53" s="50"/>
      <c r="AF53" s="50"/>
      <c r="AG53" s="50"/>
      <c r="AH53" s="50"/>
      <c r="AI53" s="50"/>
      <c r="AJ53" s="50"/>
      <c r="AK53" s="50"/>
      <c r="AL53" s="56"/>
      <c r="AM53" s="54"/>
      <c r="AN53" s="50"/>
      <c r="AO53" s="50"/>
      <c r="AP53" s="50"/>
      <c r="AQ53" s="50"/>
      <c r="AR53" s="50"/>
      <c r="AS53" s="56"/>
    </row>
    <row r="54" spans="1:45">
      <c r="A54" s="96" t="str">
        <f>[1]Results!B56</f>
        <v>Accum Prov For Deprec</v>
      </c>
      <c r="B54" s="59">
        <f>[1]Results!D56</f>
        <v>-7446965.4092337936</v>
      </c>
      <c r="C54" s="60"/>
      <c r="D54" s="59">
        <f t="shared" si="0"/>
        <v>-7446965.4092337936</v>
      </c>
      <c r="E54" s="60">
        <f t="shared" si="1"/>
        <v>0</v>
      </c>
      <c r="F54" s="61">
        <v>0</v>
      </c>
      <c r="G54" s="63">
        <v>0</v>
      </c>
      <c r="H54" s="204">
        <v>0</v>
      </c>
      <c r="I54" s="203">
        <v>0</v>
      </c>
      <c r="J54" s="64">
        <v>0</v>
      </c>
      <c r="K54" s="61">
        <v>0</v>
      </c>
      <c r="L54" s="63">
        <v>0</v>
      </c>
      <c r="M54" s="204">
        <v>0</v>
      </c>
      <c r="N54" s="63">
        <v>0</v>
      </c>
      <c r="O54" s="65">
        <v>0</v>
      </c>
      <c r="P54" s="61">
        <v>0</v>
      </c>
      <c r="Q54" s="63">
        <v>0</v>
      </c>
      <c r="R54" s="63">
        <v>0</v>
      </c>
      <c r="S54" s="65">
        <f>[1]NPC!$I$456+[1]NPC!$I$457</f>
        <v>16010762.339428132</v>
      </c>
      <c r="T54" s="114">
        <f>[1]DEPR!$I$135</f>
        <v>-8005.3957926276607</v>
      </c>
      <c r="U54" s="224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4">
        <v>0</v>
      </c>
      <c r="AD54" s="224">
        <v>0</v>
      </c>
      <c r="AE54" s="59">
        <f>[1]RB!$I$77</f>
        <v>-23449722.352869298</v>
      </c>
      <c r="AF54" s="59">
        <v>0</v>
      </c>
      <c r="AG54" s="63">
        <v>0</v>
      </c>
      <c r="AH54" s="59">
        <v>0</v>
      </c>
      <c r="AI54" s="50">
        <v>0</v>
      </c>
      <c r="AJ54" s="59">
        <v>0</v>
      </c>
      <c r="AK54" s="63">
        <v>0</v>
      </c>
      <c r="AL54" s="64">
        <v>0</v>
      </c>
      <c r="AM54" s="61"/>
      <c r="AN54" s="63"/>
      <c r="AO54" s="63"/>
      <c r="AP54" s="59"/>
      <c r="AQ54" s="59"/>
      <c r="AR54" s="59"/>
      <c r="AS54" s="64"/>
    </row>
    <row r="55" spans="1:45">
      <c r="A55" s="96" t="str">
        <f>[1]Results!B57</f>
        <v>Accum Prov For Amort</v>
      </c>
      <c r="B55" s="59">
        <f>[1]Results!D57</f>
        <v>0</v>
      </c>
      <c r="C55" s="60"/>
      <c r="D55" s="59">
        <f t="shared" si="0"/>
        <v>0</v>
      </c>
      <c r="E55" s="60">
        <f t="shared" si="1"/>
        <v>0</v>
      </c>
      <c r="F55" s="61">
        <v>0</v>
      </c>
      <c r="G55" s="63">
        <v>0</v>
      </c>
      <c r="H55" s="204">
        <v>0</v>
      </c>
      <c r="I55" s="203">
        <v>0</v>
      </c>
      <c r="J55" s="64">
        <v>0</v>
      </c>
      <c r="K55" s="61">
        <v>0</v>
      </c>
      <c r="L55" s="63">
        <v>0</v>
      </c>
      <c r="M55" s="204">
        <v>0</v>
      </c>
      <c r="N55" s="63">
        <v>0</v>
      </c>
      <c r="O55" s="65">
        <v>0</v>
      </c>
      <c r="P55" s="61">
        <v>0</v>
      </c>
      <c r="Q55" s="63">
        <v>0</v>
      </c>
      <c r="R55" s="63">
        <v>0</v>
      </c>
      <c r="S55" s="65">
        <v>0</v>
      </c>
      <c r="T55" s="114">
        <v>0</v>
      </c>
      <c r="U55" s="224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4">
        <v>0</v>
      </c>
      <c r="AD55" s="224">
        <v>0</v>
      </c>
      <c r="AE55" s="59">
        <v>0</v>
      </c>
      <c r="AF55" s="59">
        <v>0</v>
      </c>
      <c r="AG55" s="63">
        <v>0</v>
      </c>
      <c r="AH55" s="59">
        <v>0</v>
      </c>
      <c r="AI55" s="50">
        <v>0</v>
      </c>
      <c r="AJ55" s="59">
        <v>0</v>
      </c>
      <c r="AK55" s="63">
        <v>0</v>
      </c>
      <c r="AL55" s="64">
        <v>0</v>
      </c>
      <c r="AM55" s="61"/>
      <c r="AN55" s="63"/>
      <c r="AO55" s="63"/>
      <c r="AP55" s="59"/>
      <c r="AQ55" s="59"/>
      <c r="AR55" s="59"/>
      <c r="AS55" s="64"/>
    </row>
    <row r="56" spans="1:45">
      <c r="A56" s="96" t="str">
        <f>[1]Results!B58</f>
        <v>Accum Def Income Tax</v>
      </c>
      <c r="B56" s="59">
        <f>[1]Results!D58</f>
        <v>-6648465.3074480388</v>
      </c>
      <c r="C56" s="60"/>
      <c r="D56" s="59">
        <f t="shared" si="0"/>
        <v>-6648465.3074480407</v>
      </c>
      <c r="E56" s="60">
        <f t="shared" si="1"/>
        <v>0</v>
      </c>
      <c r="F56" s="61">
        <v>0</v>
      </c>
      <c r="G56" s="63">
        <f>[1]REV!$I$84+[1]REV!$I$90+[1]REV!$I$95</f>
        <v>2751332</v>
      </c>
      <c r="H56" s="204">
        <v>0</v>
      </c>
      <c r="I56" s="203">
        <v>0</v>
      </c>
      <c r="J56" s="64">
        <v>0</v>
      </c>
      <c r="K56" s="61">
        <v>0</v>
      </c>
      <c r="L56" s="63">
        <v>0</v>
      </c>
      <c r="M56" s="204">
        <v>0</v>
      </c>
      <c r="N56" s="63">
        <f>[1]OM!$I$333</f>
        <v>472405.88223046891</v>
      </c>
      <c r="O56" s="65">
        <v>0</v>
      </c>
      <c r="P56" s="61">
        <v>0</v>
      </c>
      <c r="Q56" s="63">
        <v>0</v>
      </c>
      <c r="R56" s="63">
        <v>0</v>
      </c>
      <c r="S56" s="65">
        <f>[1]NPC!$I$458+[1]NPC!$I$464</f>
        <v>1810649.4576148225</v>
      </c>
      <c r="T56" s="114">
        <v>0</v>
      </c>
      <c r="U56" s="224">
        <v>0</v>
      </c>
      <c r="V56" s="63">
        <f>SUM([1]TAX!$I$693:$I$710)</f>
        <v>-5199034.8288940592</v>
      </c>
      <c r="W56" s="63">
        <f>[1]TAX!$I$200</f>
        <v>-510417.13577641395</v>
      </c>
      <c r="X56" s="63">
        <v>0</v>
      </c>
      <c r="Y56" s="63">
        <v>0</v>
      </c>
      <c r="Z56" s="63">
        <f>[1]TAX!$I$448</f>
        <v>1099614</v>
      </c>
      <c r="AA56" s="63">
        <f>[1]TAX!$I$510</f>
        <v>-262781</v>
      </c>
      <c r="AB56" s="63">
        <v>0</v>
      </c>
      <c r="AC56" s="64">
        <f>[1]TAX!$I$646</f>
        <v>-9873199.076123938</v>
      </c>
      <c r="AD56" s="224">
        <v>0</v>
      </c>
      <c r="AE56" s="59">
        <v>0</v>
      </c>
      <c r="AF56" s="59">
        <f>[1]RB!$I$158+[1]RB!$I$154+[1]RB!$I$153+[1]RB!$I$148</f>
        <v>105942.55956519302</v>
      </c>
      <c r="AG56" s="63">
        <v>0</v>
      </c>
      <c r="AH56" s="59">
        <v>0</v>
      </c>
      <c r="AI56" s="50">
        <f>[1]RB!$I$758+[1]RB!$I$762+[1]RB!$I$766+[1]RB!$I$770+[1]RB!$I$774+[1]RB!$I$778</f>
        <v>1697439.8920278733</v>
      </c>
      <c r="AJ56" s="59">
        <v>0</v>
      </c>
      <c r="AK56" s="63">
        <f>[1]RB!$I$464+[1]RB!$I$465</f>
        <v>-168274.50912161343</v>
      </c>
      <c r="AL56" s="64">
        <v>0</v>
      </c>
      <c r="AM56" s="61">
        <f>[1]REV!$I$202</f>
        <v>1427857.4510296264</v>
      </c>
      <c r="AN56" s="63"/>
      <c r="AO56" s="63"/>
      <c r="AP56" s="59"/>
      <c r="AQ56" s="59"/>
      <c r="AR56" s="59"/>
      <c r="AS56" s="64"/>
    </row>
    <row r="57" spans="1:45">
      <c r="A57" s="96" t="str">
        <f>[1]Results!B59</f>
        <v>Unamortized ITC</v>
      </c>
      <c r="B57" s="59">
        <f>[1]Results!D59</f>
        <v>144385.82344165733</v>
      </c>
      <c r="C57" s="60"/>
      <c r="D57" s="59">
        <f t="shared" si="0"/>
        <v>144385.82344165733</v>
      </c>
      <c r="E57" s="60">
        <f t="shared" si="1"/>
        <v>0</v>
      </c>
      <c r="F57" s="61">
        <v>0</v>
      </c>
      <c r="G57" s="63">
        <v>0</v>
      </c>
      <c r="H57" s="204">
        <v>0</v>
      </c>
      <c r="I57" s="203">
        <v>0</v>
      </c>
      <c r="J57" s="64">
        <v>0</v>
      </c>
      <c r="K57" s="61">
        <v>0</v>
      </c>
      <c r="L57" s="63">
        <v>0</v>
      </c>
      <c r="M57" s="204">
        <v>0</v>
      </c>
      <c r="N57" s="63">
        <v>0</v>
      </c>
      <c r="O57" s="65">
        <v>0</v>
      </c>
      <c r="P57" s="61">
        <v>0</v>
      </c>
      <c r="Q57" s="63">
        <v>0</v>
      </c>
      <c r="R57" s="63">
        <v>0</v>
      </c>
      <c r="S57" s="65">
        <f>[1]NPC!$I$459</f>
        <v>144385.82344165733</v>
      </c>
      <c r="T57" s="114">
        <v>0</v>
      </c>
      <c r="U57" s="224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4">
        <v>0</v>
      </c>
      <c r="AD57" s="224">
        <v>0</v>
      </c>
      <c r="AE57" s="59">
        <v>0</v>
      </c>
      <c r="AF57" s="59">
        <v>0</v>
      </c>
      <c r="AG57" s="63">
        <v>0</v>
      </c>
      <c r="AH57" s="59">
        <v>0</v>
      </c>
      <c r="AI57" s="50">
        <v>0</v>
      </c>
      <c r="AJ57" s="59">
        <v>0</v>
      </c>
      <c r="AK57" s="63">
        <v>0</v>
      </c>
      <c r="AL57" s="64">
        <v>0</v>
      </c>
      <c r="AM57" s="61"/>
      <c r="AN57" s="63"/>
      <c r="AO57" s="63"/>
      <c r="AP57" s="59"/>
      <c r="AQ57" s="59"/>
      <c r="AR57" s="59"/>
      <c r="AS57" s="64"/>
    </row>
    <row r="58" spans="1:45">
      <c r="A58" s="96" t="str">
        <f>[1]Results!B60</f>
        <v>Customer Adv For Const</v>
      </c>
      <c r="B58" s="59">
        <f>[1]Results!D60</f>
        <v>23142.536575635779</v>
      </c>
      <c r="C58" s="60"/>
      <c r="D58" s="59">
        <f t="shared" si="0"/>
        <v>23142.536575635779</v>
      </c>
      <c r="E58" s="60">
        <f t="shared" si="1"/>
        <v>0</v>
      </c>
      <c r="F58" s="61">
        <v>0</v>
      </c>
      <c r="G58" s="63">
        <v>0</v>
      </c>
      <c r="H58" s="204">
        <v>0</v>
      </c>
      <c r="I58" s="203">
        <v>0</v>
      </c>
      <c r="J58" s="64">
        <v>0</v>
      </c>
      <c r="K58" s="61">
        <v>0</v>
      </c>
      <c r="L58" s="63">
        <v>0</v>
      </c>
      <c r="M58" s="204">
        <v>0</v>
      </c>
      <c r="N58" s="63">
        <v>0</v>
      </c>
      <c r="O58" s="65">
        <v>0</v>
      </c>
      <c r="P58" s="61">
        <v>0</v>
      </c>
      <c r="Q58" s="63">
        <v>0</v>
      </c>
      <c r="R58" s="63">
        <v>0</v>
      </c>
      <c r="S58" s="65">
        <v>0</v>
      </c>
      <c r="T58" s="114">
        <v>0</v>
      </c>
      <c r="U58" s="224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4">
        <v>0</v>
      </c>
      <c r="AD58" s="224">
        <v>0</v>
      </c>
      <c r="AE58" s="59">
        <v>0</v>
      </c>
      <c r="AF58" s="59">
        <v>0</v>
      </c>
      <c r="AG58" s="63">
        <f>[1]RB!$I$209</f>
        <v>23142.536575635779</v>
      </c>
      <c r="AH58" s="59">
        <v>0</v>
      </c>
      <c r="AI58" s="50">
        <v>0</v>
      </c>
      <c r="AJ58" s="59">
        <v>0</v>
      </c>
      <c r="AK58" s="63">
        <v>0</v>
      </c>
      <c r="AL58" s="64">
        <v>0</v>
      </c>
      <c r="AM58" s="61"/>
      <c r="AN58" s="63"/>
      <c r="AO58" s="63"/>
      <c r="AP58" s="59"/>
      <c r="AQ58" s="59"/>
      <c r="AR58" s="59"/>
      <c r="AS58" s="64"/>
    </row>
    <row r="59" spans="1:45">
      <c r="A59" s="96" t="str">
        <f>[1]Results!B61</f>
        <v>Customer Service Deposits</v>
      </c>
      <c r="B59" s="59">
        <f>[1]Results!D61</f>
        <v>-2980495.6783333328</v>
      </c>
      <c r="C59" s="60"/>
      <c r="D59" s="59">
        <f t="shared" si="0"/>
        <v>-2980495.6783333328</v>
      </c>
      <c r="E59" s="60">
        <f>B59-D59</f>
        <v>0</v>
      </c>
      <c r="F59" s="61">
        <v>0</v>
      </c>
      <c r="G59" s="63">
        <v>0</v>
      </c>
      <c r="H59" s="204">
        <v>0</v>
      </c>
      <c r="I59" s="203">
        <v>0</v>
      </c>
      <c r="J59" s="64">
        <v>0</v>
      </c>
      <c r="K59" s="61">
        <v>0</v>
      </c>
      <c r="L59" s="63">
        <v>0</v>
      </c>
      <c r="M59" s="204">
        <v>0</v>
      </c>
      <c r="N59" s="63">
        <v>0</v>
      </c>
      <c r="O59" s="65">
        <v>0</v>
      </c>
      <c r="P59" s="61">
        <v>0</v>
      </c>
      <c r="Q59" s="63">
        <v>0</v>
      </c>
      <c r="R59" s="63">
        <v>0</v>
      </c>
      <c r="S59" s="65">
        <v>0</v>
      </c>
      <c r="T59" s="114">
        <v>0</v>
      </c>
      <c r="U59" s="224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4">
        <v>0</v>
      </c>
      <c r="AD59" s="224">
        <v>0</v>
      </c>
      <c r="AE59" s="59">
        <v>0</v>
      </c>
      <c r="AF59" s="59">
        <v>0</v>
      </c>
      <c r="AG59" s="63">
        <v>0</v>
      </c>
      <c r="AH59" s="59">
        <v>0</v>
      </c>
      <c r="AI59" s="50">
        <v>0</v>
      </c>
      <c r="AJ59" s="59">
        <v>0</v>
      </c>
      <c r="AK59" s="63">
        <v>0</v>
      </c>
      <c r="AL59" s="64">
        <f>[1]RB!$I$512</f>
        <v>-2980495.6783333328</v>
      </c>
      <c r="AM59" s="61"/>
      <c r="AN59" s="63"/>
      <c r="AO59" s="63"/>
      <c r="AP59" s="59"/>
      <c r="AQ59" s="59"/>
      <c r="AR59" s="59"/>
      <c r="AS59" s="64"/>
    </row>
    <row r="60" spans="1:45">
      <c r="A60" s="96" t="str">
        <f>[1]Results!B62</f>
        <v>Misc Rate Base Deductions</v>
      </c>
      <c r="B60" s="59">
        <f>[1]Results!D62</f>
        <v>-2789519.813278635</v>
      </c>
      <c r="C60" s="60"/>
      <c r="D60" s="59">
        <f t="shared" si="0"/>
        <v>-2789519.813278635</v>
      </c>
      <c r="E60" s="60">
        <f t="shared" si="1"/>
        <v>0</v>
      </c>
      <c r="F60" s="61">
        <v>0</v>
      </c>
      <c r="G60" s="63">
        <v>0</v>
      </c>
      <c r="H60" s="204">
        <v>0</v>
      </c>
      <c r="I60" s="203">
        <v>0</v>
      </c>
      <c r="J60" s="64">
        <v>0</v>
      </c>
      <c r="K60" s="61">
        <v>0</v>
      </c>
      <c r="L60" s="63">
        <v>0</v>
      </c>
      <c r="M60" s="204">
        <v>0</v>
      </c>
      <c r="N60" s="63">
        <v>0</v>
      </c>
      <c r="O60" s="65">
        <v>0</v>
      </c>
      <c r="P60" s="61">
        <v>0</v>
      </c>
      <c r="Q60" s="63">
        <f>[1]NPC!$I$262</f>
        <v>-212582.87396787116</v>
      </c>
      <c r="R60" s="63">
        <v>0</v>
      </c>
      <c r="S60" s="65">
        <v>0</v>
      </c>
      <c r="T60" s="114">
        <v>0</v>
      </c>
      <c r="U60" s="224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4">
        <v>0</v>
      </c>
      <c r="AD60" s="224">
        <v>0</v>
      </c>
      <c r="AE60" s="59">
        <v>0</v>
      </c>
      <c r="AF60" s="59">
        <v>0</v>
      </c>
      <c r="AG60" s="63">
        <v>0</v>
      </c>
      <c r="AH60" s="59">
        <v>0</v>
      </c>
      <c r="AI60" s="50">
        <v>0</v>
      </c>
      <c r="AJ60" s="59">
        <v>0</v>
      </c>
      <c r="AK60" s="63">
        <f>[1]RB!$I$455+[1]RB!$I$456</f>
        <v>1185108.7951282924</v>
      </c>
      <c r="AL60" s="64"/>
      <c r="AM60" s="61">
        <f>[1]REV!$I$203</f>
        <v>-3762045.7344390564</v>
      </c>
      <c r="AN60" s="63"/>
      <c r="AO60" s="63"/>
      <c r="AP60" s="59"/>
      <c r="AQ60" s="59"/>
      <c r="AR60" s="59"/>
      <c r="AS60" s="64"/>
    </row>
    <row r="61" spans="1:45">
      <c r="A61" s="96"/>
      <c r="B61" s="50">
        <f>[1]Results!D63</f>
        <v>0</v>
      </c>
      <c r="C61" s="60"/>
      <c r="D61" s="50">
        <f t="shared" si="0"/>
        <v>0</v>
      </c>
      <c r="E61" s="60">
        <f t="shared" si="1"/>
        <v>0</v>
      </c>
      <c r="F61" s="54"/>
      <c r="G61" s="50"/>
      <c r="H61" s="202"/>
      <c r="I61" s="202"/>
      <c r="J61" s="56"/>
      <c r="K61" s="54"/>
      <c r="L61" s="50"/>
      <c r="M61" s="202"/>
      <c r="N61" s="50"/>
      <c r="O61" s="56"/>
      <c r="P61" s="54"/>
      <c r="Q61" s="50"/>
      <c r="R61" s="50"/>
      <c r="S61" s="56"/>
      <c r="T61" s="113"/>
      <c r="U61" s="223"/>
      <c r="V61" s="50"/>
      <c r="W61" s="50"/>
      <c r="X61" s="50"/>
      <c r="Y61" s="50"/>
      <c r="Z61" s="50"/>
      <c r="AA61" s="50"/>
      <c r="AB61" s="50"/>
      <c r="AC61" s="56"/>
      <c r="AD61" s="223"/>
      <c r="AE61" s="50"/>
      <c r="AF61" s="50"/>
      <c r="AG61" s="50"/>
      <c r="AH61" s="50"/>
      <c r="AI61" s="50"/>
      <c r="AJ61" s="50"/>
      <c r="AK61" s="50"/>
      <c r="AL61" s="56"/>
      <c r="AM61" s="54"/>
      <c r="AN61" s="50"/>
      <c r="AO61" s="50"/>
      <c r="AP61" s="50"/>
      <c r="AQ61" s="50"/>
      <c r="AR61" s="50"/>
      <c r="AS61" s="56"/>
    </row>
    <row r="62" spans="1:45">
      <c r="A62" s="96" t="str">
        <f>[1]Results!B64</f>
        <v xml:space="preserve">     Total Rate Base Deductions</v>
      </c>
      <c r="B62" s="66">
        <f>[1]Results!D64</f>
        <v>-19697917.848276507</v>
      </c>
      <c r="C62" s="67"/>
      <c r="D62" s="66">
        <f t="shared" si="0"/>
        <v>-19697917.848276511</v>
      </c>
      <c r="E62" s="60">
        <f t="shared" si="1"/>
        <v>0</v>
      </c>
      <c r="F62" s="68">
        <f t="shared" ref="F62:AS62" si="48">SUM(F54:F61)</f>
        <v>0</v>
      </c>
      <c r="G62" s="66">
        <f t="shared" si="48"/>
        <v>2751332</v>
      </c>
      <c r="H62" s="205">
        <f t="shared" si="48"/>
        <v>0</v>
      </c>
      <c r="I62" s="205">
        <f t="shared" si="48"/>
        <v>0</v>
      </c>
      <c r="J62" s="69">
        <f t="shared" si="48"/>
        <v>0</v>
      </c>
      <c r="K62" s="68">
        <f t="shared" si="48"/>
        <v>0</v>
      </c>
      <c r="L62" s="66">
        <f t="shared" si="48"/>
        <v>0</v>
      </c>
      <c r="M62" s="205">
        <f t="shared" si="48"/>
        <v>0</v>
      </c>
      <c r="N62" s="66">
        <f t="shared" si="48"/>
        <v>472405.88223046891</v>
      </c>
      <c r="O62" s="69">
        <f t="shared" ref="O62" si="49">SUM(O54:O61)</f>
        <v>0</v>
      </c>
      <c r="P62" s="68">
        <f t="shared" ref="P62" si="50">SUM(P54:P61)</f>
        <v>0</v>
      </c>
      <c r="Q62" s="66">
        <f t="shared" ref="Q62:R62" si="51">SUM(Q54:Q61)</f>
        <v>-212582.87396787116</v>
      </c>
      <c r="R62" s="66">
        <f t="shared" si="51"/>
        <v>0</v>
      </c>
      <c r="S62" s="69">
        <f t="shared" si="48"/>
        <v>17965797.620484613</v>
      </c>
      <c r="T62" s="115">
        <f t="shared" si="48"/>
        <v>-8005.3957926276607</v>
      </c>
      <c r="U62" s="225">
        <f t="shared" si="48"/>
        <v>0</v>
      </c>
      <c r="V62" s="66">
        <f t="shared" ref="V62" si="52">SUM(V54:V61)</f>
        <v>-5199034.8288940592</v>
      </c>
      <c r="W62" s="66">
        <f t="shared" si="48"/>
        <v>-510417.13577641395</v>
      </c>
      <c r="X62" s="66">
        <f t="shared" si="48"/>
        <v>0</v>
      </c>
      <c r="Y62" s="66">
        <f t="shared" si="48"/>
        <v>0</v>
      </c>
      <c r="Z62" s="66">
        <f t="shared" si="48"/>
        <v>1099614</v>
      </c>
      <c r="AA62" s="66">
        <f t="shared" ref="AA62:AB62" si="53">SUM(AA54:AA61)</f>
        <v>-262781</v>
      </c>
      <c r="AB62" s="66">
        <f t="shared" si="53"/>
        <v>0</v>
      </c>
      <c r="AC62" s="69">
        <f t="shared" si="48"/>
        <v>-9873199.076123938</v>
      </c>
      <c r="AD62" s="225">
        <f t="shared" si="48"/>
        <v>0</v>
      </c>
      <c r="AE62" s="66">
        <f t="shared" si="48"/>
        <v>-23449722.352869298</v>
      </c>
      <c r="AF62" s="66">
        <f t="shared" si="48"/>
        <v>105942.55956519302</v>
      </c>
      <c r="AG62" s="66">
        <f t="shared" si="48"/>
        <v>23142.536575635779</v>
      </c>
      <c r="AH62" s="66">
        <f t="shared" ref="AH62" si="54">SUM(AH54:AH61)</f>
        <v>0</v>
      </c>
      <c r="AI62" s="66">
        <f t="shared" si="48"/>
        <v>1697439.8920278733</v>
      </c>
      <c r="AJ62" s="66">
        <f t="shared" si="48"/>
        <v>0</v>
      </c>
      <c r="AK62" s="66">
        <f t="shared" si="48"/>
        <v>1016834.2860066789</v>
      </c>
      <c r="AL62" s="69">
        <f t="shared" si="48"/>
        <v>-2980495.6783333328</v>
      </c>
      <c r="AM62" s="68">
        <f t="shared" si="48"/>
        <v>-2334188.2834094297</v>
      </c>
      <c r="AN62" s="66">
        <f t="shared" si="48"/>
        <v>0</v>
      </c>
      <c r="AO62" s="66">
        <f t="shared" si="48"/>
        <v>0</v>
      </c>
      <c r="AP62" s="66">
        <f t="shared" si="48"/>
        <v>0</v>
      </c>
      <c r="AQ62" s="66">
        <f t="shared" ref="AQ62" si="55">SUM(AQ54:AQ61)</f>
        <v>0</v>
      </c>
      <c r="AR62" s="66">
        <f t="shared" si="48"/>
        <v>0</v>
      </c>
      <c r="AS62" s="69">
        <f t="shared" si="48"/>
        <v>0</v>
      </c>
    </row>
    <row r="63" spans="1:45">
      <c r="A63" s="96"/>
      <c r="B63" s="50">
        <f>[1]Results!D65</f>
        <v>0</v>
      </c>
      <c r="C63" s="60"/>
      <c r="D63" s="50">
        <f t="shared" si="0"/>
        <v>0</v>
      </c>
      <c r="E63" s="60">
        <f t="shared" si="1"/>
        <v>0</v>
      </c>
      <c r="F63" s="54"/>
      <c r="G63" s="50"/>
      <c r="H63" s="202"/>
      <c r="I63" s="202"/>
      <c r="J63" s="56"/>
      <c r="K63" s="54"/>
      <c r="L63" s="50"/>
      <c r="M63" s="202"/>
      <c r="N63" s="50"/>
      <c r="O63" s="56"/>
      <c r="P63" s="54"/>
      <c r="Q63" s="50"/>
      <c r="R63" s="50"/>
      <c r="S63" s="56"/>
      <c r="T63" s="113"/>
      <c r="U63" s="223"/>
      <c r="V63" s="50"/>
      <c r="W63" s="50"/>
      <c r="X63" s="50"/>
      <c r="Y63" s="50"/>
      <c r="Z63" s="50"/>
      <c r="AA63" s="50"/>
      <c r="AB63" s="50"/>
      <c r="AC63" s="56"/>
      <c r="AD63" s="223"/>
      <c r="AE63" s="50"/>
      <c r="AF63" s="50"/>
      <c r="AG63" s="50"/>
      <c r="AH63" s="50"/>
      <c r="AI63" s="50"/>
      <c r="AJ63" s="50"/>
      <c r="AK63" s="50"/>
      <c r="AL63" s="56"/>
      <c r="AM63" s="54"/>
      <c r="AN63" s="50"/>
      <c r="AO63" s="50"/>
      <c r="AP63" s="50"/>
      <c r="AQ63" s="50"/>
      <c r="AR63" s="50"/>
      <c r="AS63" s="56"/>
    </row>
    <row r="64" spans="1:45" ht="13.5" thickBot="1">
      <c r="A64" s="96" t="str">
        <f>[1]Results!B66</f>
        <v xml:space="preserve">   Total Rate Base:</v>
      </c>
      <c r="B64" s="83">
        <f>[1]Results!D66</f>
        <v>14731145.834378619</v>
      </c>
      <c r="C64" s="83"/>
      <c r="D64" s="83">
        <f t="shared" si="0"/>
        <v>14731145.834378622</v>
      </c>
      <c r="E64" s="60">
        <f t="shared" si="1"/>
        <v>0</v>
      </c>
      <c r="F64" s="84">
        <f t="shared" ref="F64:AP64" si="56">F51+F62</f>
        <v>0</v>
      </c>
      <c r="G64" s="83">
        <f t="shared" si="56"/>
        <v>2751332</v>
      </c>
      <c r="H64" s="209">
        <f t="shared" si="56"/>
        <v>0</v>
      </c>
      <c r="I64" s="209">
        <f t="shared" si="56"/>
        <v>0</v>
      </c>
      <c r="J64" s="85">
        <f t="shared" si="56"/>
        <v>0</v>
      </c>
      <c r="K64" s="84">
        <f t="shared" si="56"/>
        <v>0</v>
      </c>
      <c r="L64" s="83">
        <f t="shared" si="56"/>
        <v>0</v>
      </c>
      <c r="M64" s="209">
        <f t="shared" si="56"/>
        <v>0</v>
      </c>
      <c r="N64" s="83">
        <f t="shared" si="56"/>
        <v>472405.88223046891</v>
      </c>
      <c r="O64" s="85">
        <f t="shared" ref="O64" si="57">O51+O62</f>
        <v>0</v>
      </c>
      <c r="P64" s="84">
        <f t="shared" ref="P64" si="58">P51+P62</f>
        <v>0</v>
      </c>
      <c r="Q64" s="83">
        <f t="shared" ref="Q64:R64" si="59">Q51+Q62</f>
        <v>-212582.87396787116</v>
      </c>
      <c r="R64" s="83">
        <f t="shared" si="59"/>
        <v>0</v>
      </c>
      <c r="S64" s="85">
        <f t="shared" si="56"/>
        <v>-8160130.3493880853</v>
      </c>
      <c r="T64" s="120">
        <f t="shared" si="56"/>
        <v>-8005.3957926276607</v>
      </c>
      <c r="U64" s="230">
        <f t="shared" si="56"/>
        <v>0</v>
      </c>
      <c r="V64" s="83">
        <f t="shared" ref="V64" si="60">V51+V62</f>
        <v>-5199034.8288940592</v>
      </c>
      <c r="W64" s="83">
        <f t="shared" si="56"/>
        <v>-510417.13577641395</v>
      </c>
      <c r="X64" s="83">
        <f t="shared" si="56"/>
        <v>0</v>
      </c>
      <c r="Y64" s="83">
        <f t="shared" si="56"/>
        <v>0</v>
      </c>
      <c r="Z64" s="83">
        <f t="shared" si="56"/>
        <v>1099614</v>
      </c>
      <c r="AA64" s="83">
        <f t="shared" ref="AA64:AB64" si="61">AA51+AA62</f>
        <v>-262781</v>
      </c>
      <c r="AB64" s="83">
        <f t="shared" si="61"/>
        <v>0</v>
      </c>
      <c r="AC64" s="85">
        <f t="shared" si="56"/>
        <v>-9873199.076123938</v>
      </c>
      <c r="AD64" s="230">
        <f t="shared" si="56"/>
        <v>0</v>
      </c>
      <c r="AE64" s="83">
        <f t="shared" si="56"/>
        <v>34717942.455849752</v>
      </c>
      <c r="AF64" s="83">
        <f t="shared" si="56"/>
        <v>261508.8034731535</v>
      </c>
      <c r="AG64" s="83">
        <f t="shared" si="56"/>
        <v>23142.536575635779</v>
      </c>
      <c r="AH64" s="83">
        <f t="shared" ref="AH64" si="62">AH51+AH62</f>
        <v>-7864274.8678275719</v>
      </c>
      <c r="AI64" s="83">
        <f t="shared" si="56"/>
        <v>1697439.8920278733</v>
      </c>
      <c r="AJ64" s="83">
        <f t="shared" si="56"/>
        <v>-441006.12659999984</v>
      </c>
      <c r="AK64" s="83">
        <f t="shared" si="56"/>
        <v>748257.67764485441</v>
      </c>
      <c r="AL64" s="85">
        <f t="shared" si="56"/>
        <v>-2980495.6783333328</v>
      </c>
      <c r="AM64" s="84">
        <f t="shared" si="56"/>
        <v>-2334188.2834094297</v>
      </c>
      <c r="AN64" s="83">
        <f t="shared" si="56"/>
        <v>0</v>
      </c>
      <c r="AO64" s="83">
        <f t="shared" si="56"/>
        <v>0</v>
      </c>
      <c r="AP64" s="83">
        <f t="shared" si="56"/>
        <v>0</v>
      </c>
      <c r="AQ64" s="83">
        <f t="shared" ref="AQ64" si="63">AQ51+AQ62</f>
        <v>0</v>
      </c>
      <c r="AR64" s="83">
        <f t="shared" ref="AR64:AS64" si="64">AR51+AR62</f>
        <v>10805618.20269021</v>
      </c>
      <c r="AS64" s="85">
        <f t="shared" si="64"/>
        <v>0</v>
      </c>
    </row>
    <row r="65" spans="1:45" ht="13.5" thickTop="1">
      <c r="A65" s="96"/>
      <c r="B65" s="50"/>
      <c r="C65" s="60"/>
      <c r="D65" s="50">
        <f t="shared" si="0"/>
        <v>0</v>
      </c>
      <c r="E65" s="60">
        <f t="shared" si="1"/>
        <v>0</v>
      </c>
      <c r="F65" s="54"/>
      <c r="G65" s="50"/>
      <c r="H65" s="202"/>
      <c r="I65" s="202"/>
      <c r="J65" s="56"/>
      <c r="K65" s="54"/>
      <c r="L65" s="50"/>
      <c r="M65" s="202"/>
      <c r="N65" s="50"/>
      <c r="O65" s="56"/>
      <c r="P65" s="54"/>
      <c r="Q65" s="50"/>
      <c r="R65" s="50"/>
      <c r="S65" s="56"/>
      <c r="T65" s="113"/>
      <c r="U65" s="223"/>
      <c r="V65" s="50"/>
      <c r="W65" s="50"/>
      <c r="X65" s="50"/>
      <c r="Y65" s="50"/>
      <c r="Z65" s="50"/>
      <c r="AA65" s="50"/>
      <c r="AB65" s="50"/>
      <c r="AC65" s="56"/>
      <c r="AD65" s="223"/>
      <c r="AE65" s="50"/>
      <c r="AF65" s="50"/>
      <c r="AG65" s="50"/>
      <c r="AH65" s="50"/>
      <c r="AI65" s="50"/>
      <c r="AJ65" s="50"/>
      <c r="AK65" s="50"/>
      <c r="AL65" s="56"/>
      <c r="AM65" s="54"/>
      <c r="AN65" s="50"/>
      <c r="AO65" s="50"/>
      <c r="AP65" s="50"/>
      <c r="AQ65" s="50"/>
      <c r="AR65" s="50"/>
      <c r="AS65" s="56"/>
    </row>
    <row r="66" spans="1:45">
      <c r="A66" s="96"/>
      <c r="B66" s="50"/>
      <c r="C66" s="60"/>
      <c r="D66" s="50">
        <f t="shared" si="0"/>
        <v>0</v>
      </c>
      <c r="E66" s="60"/>
      <c r="F66" s="54"/>
      <c r="G66" s="50"/>
      <c r="H66" s="202"/>
      <c r="I66" s="202"/>
      <c r="J66" s="56"/>
      <c r="K66" s="54"/>
      <c r="L66" s="50"/>
      <c r="M66" s="202"/>
      <c r="N66" s="50"/>
      <c r="O66" s="56"/>
      <c r="P66" s="54"/>
      <c r="Q66" s="50"/>
      <c r="R66" s="50"/>
      <c r="S66" s="56"/>
      <c r="T66" s="113"/>
      <c r="U66" s="223"/>
      <c r="V66" s="50"/>
      <c r="W66" s="50"/>
      <c r="X66" s="50"/>
      <c r="Y66" s="50"/>
      <c r="Z66" s="50"/>
      <c r="AA66" s="50"/>
      <c r="AB66" s="50"/>
      <c r="AC66" s="56"/>
      <c r="AD66" s="223"/>
      <c r="AE66" s="50"/>
      <c r="AF66" s="50"/>
      <c r="AG66" s="50"/>
      <c r="AH66" s="50"/>
      <c r="AI66" s="50"/>
      <c r="AJ66" s="50"/>
      <c r="AK66" s="50"/>
      <c r="AL66" s="56"/>
      <c r="AM66" s="54"/>
      <c r="AN66" s="50"/>
      <c r="AO66" s="50"/>
      <c r="AP66" s="50"/>
      <c r="AQ66" s="50"/>
      <c r="AR66" s="50"/>
      <c r="AS66" s="56"/>
    </row>
    <row r="67" spans="1:45" s="102" customFormat="1">
      <c r="A67" s="96" t="str">
        <f>[1]Results!B69</f>
        <v>Return on Equity</v>
      </c>
      <c r="B67" s="173">
        <f>[1]Results!$D$69</f>
        <v>-1.7423751248643829E-2</v>
      </c>
      <c r="C67" s="173"/>
      <c r="D67" s="173">
        <f t="shared" si="0"/>
        <v>-1.7443904548185347E-2</v>
      </c>
      <c r="E67" s="174">
        <f t="shared" si="1"/>
        <v>2.015329954151851E-5</v>
      </c>
      <c r="F67" s="175">
        <f>((F37+[1]Results!$C$39)/(F64+[1]Results!$C$66)-'Capital Structure'!$G$6-'Capital Structure'!$G$7)/'Capital Structure'!$C$8-[1]Results!$C$69</f>
        <v>-1.1131849302527239E-2</v>
      </c>
      <c r="G67" s="173">
        <f>((G37+[1]Results!$C$39)/(G64+[1]Results!$C$66)-'Capital Structure'!$G$6-'Capital Structure'!$G$7)/'Capital Structure'!$C$8-[1]Results!$C$69</f>
        <v>-6.089993957582307E-4</v>
      </c>
      <c r="H67" s="210">
        <f>((H37+[1]Results!$C$39)/(H64+[1]Results!$C$66)-'Capital Structure'!$G$6-'Capital Structure'!$G$7)/'Capital Structure'!$C$8-[1]Results!$C$69</f>
        <v>0</v>
      </c>
      <c r="I67" s="210">
        <f>((I37+[1]Results!$C$39)/(I64+[1]Results!$C$66)-'Capital Structure'!$G$6-'Capital Structure'!$G$7)/'Capital Structure'!$C$8-[1]Results!$C$69</f>
        <v>0</v>
      </c>
      <c r="J67" s="176">
        <f>((J37+[1]Results!$C$39)/(J64+[1]Results!$C$66)-'Capital Structure'!$G$6-'Capital Structure'!$G$7)/'Capital Structure'!$C$8-[1]Results!$C$69</f>
        <v>1.8271432187877412E-4</v>
      </c>
      <c r="K67" s="175">
        <f>((K37+[1]Results!$C$39)/(K64+[1]Results!$C$66)-'Capital Structure'!$G$6-'Capital Structure'!$G$7)/'Capital Structure'!$C$8-[1]Results!$C$69</f>
        <v>7.3514794802428951E-5</v>
      </c>
      <c r="L67" s="173">
        <f>((L37+[1]Results!$C$39)/(L64+[1]Results!$C$66)-'Capital Structure'!$G$6-'Capital Structure'!$G$7)/'Capital Structure'!$C$8-[1]Results!$C$69</f>
        <v>-4.8023797781016064E-5</v>
      </c>
      <c r="M67" s="210">
        <f>((M37+[1]Results!$C$39)/(M64+[1]Results!$C$66)-'Capital Structure'!$G$6-'Capital Structure'!$G$7)/'Capital Structure'!$C$8-[1]Results!$C$69</f>
        <v>0</v>
      </c>
      <c r="N67" s="173">
        <f>((N37+[1]Results!$C$39)/(N64+[1]Results!$C$66)-'Capital Structure'!$G$6-'Capital Structure'!$G$7)/'Capital Structure'!$C$8-[1]Results!$C$69</f>
        <v>8.0919638078443268E-3</v>
      </c>
      <c r="O67" s="176">
        <f>((O37+[1]Results!$C$39)/(O64+[1]Results!$C$66)-'Capital Structure'!$G$6-'Capital Structure'!$G$7)/'Capital Structure'!$C$8-[1]Results!$C$69</f>
        <v>3.2647337254997078E-4</v>
      </c>
      <c r="P67" s="175">
        <f>((P37+[1]Results!$C$39)/(P64+[1]Results!$C$66)-'Capital Structure'!$G$6-'Capital Structure'!$G$7)/'Capital Structure'!$C$8-[1]Results!$C$69</f>
        <v>1.8264188643311252E-2</v>
      </c>
      <c r="Q67" s="173">
        <f>((Q37+[1]Results!$C$39)/(Q64+[1]Results!$C$66)-'Capital Structure'!$G$6-'Capital Structure'!$G$7)/'Capital Structure'!$C$8-[1]Results!$C$69</f>
        <v>-2.1949511710445124E-4</v>
      </c>
      <c r="R67" s="173">
        <f>((R37+[1]Results!$C$39)/(R64+[1]Results!$C$66)-'Capital Structure'!$G$6-'Capital Structure'!$G$7)/'Capital Structure'!$C$8-[1]Results!$C$69</f>
        <v>-1.3324658810226743E-2</v>
      </c>
      <c r="S67" s="176">
        <f>((S37+[1]Results!$C$39)/(S64+[1]Results!$C$66)-'Capital Structure'!$G$6-'Capital Structure'!$G$7)/'Capital Structure'!$C$8-[1]Results!$C$69</f>
        <v>2.0067484686028536E-3</v>
      </c>
      <c r="T67" s="177">
        <f>((T37+[1]Results!$C$39)/(T64+[1]Results!$C$66)-'Capital Structure'!$G$6-'Capital Structure'!$G$7)/'Capital Structure'!$C$8-[1]Results!$C$69</f>
        <v>1.2582193486682103E-6</v>
      </c>
      <c r="U67" s="231">
        <f>((U37+[1]Results!$C$39)/(U64+[1]Results!$C$66)-'Capital Structure'!$G$6-'Capital Structure'!$G$7)/'Capital Structure'!$C$8-[1]Results!$C$69</f>
        <v>0</v>
      </c>
      <c r="V67" s="173">
        <f>((V37+[1]Results!$C$39)/(V64+[1]Results!$C$66)-'Capital Structure'!$G$6-'Capital Structure'!$G$7)/'Capital Structure'!$C$8-[1]Results!$C$69</f>
        <v>8.2282416051188134E-4</v>
      </c>
      <c r="W67" s="173">
        <f>((W37+[1]Results!$C$39)/(W64+[1]Results!$C$66)-'Capital Structure'!$G$6-'Capital Structure'!$G$7)/'Capital Structure'!$C$8-[1]Results!$C$69</f>
        <v>8.2582051627631825E-4</v>
      </c>
      <c r="X67" s="173">
        <f>((X37+[1]Results!$C$39)/(X64+[1]Results!$C$66)-'Capital Structure'!$G$6-'Capital Structure'!$G$7)/'Capital Structure'!$C$8-[1]Results!$C$69</f>
        <v>-1.413314425723964E-2</v>
      </c>
      <c r="Y67" s="173">
        <f>((Y37+[1]Results!$C$39)/(Y64+[1]Results!$C$66)-'Capital Structure'!$G$6-'Capital Structure'!$G$7)/'Capital Structure'!$C$8-[1]Results!$C$69</f>
        <v>1.9401949027819665E-4</v>
      </c>
      <c r="Z67" s="173">
        <f>((Z37+[1]Results!$C$39)/(Z64+[1]Results!$C$66)-'Capital Structure'!$G$6-'Capital Structure'!$G$7)/'Capital Structure'!$C$8-[1]Results!$C$69</f>
        <v>5.4369544618077664E-3</v>
      </c>
      <c r="AA67" s="173">
        <f>((AA37+[1]Results!$C$39)/(AA64+[1]Results!$C$66)-'Capital Structure'!$G$6-'Capital Structure'!$G$7)/'Capital Structure'!$C$8-[1]Results!$C$69</f>
        <v>-1.3016565127590279E-3</v>
      </c>
      <c r="AB67" s="173">
        <f>((AB37+[1]Results!$C$39)/(AB64+[1]Results!$C$66)-'Capital Structure'!$G$6-'Capital Structure'!$G$7)/'Capital Structure'!$C$8-[1]Results!$C$69</f>
        <v>-4.354362362333497E-4</v>
      </c>
      <c r="AC67" s="176">
        <f>((AC37+[1]Results!$C$39)/(AC64+[1]Results!$C$66)-'Capital Structure'!$G$6-'Capital Structure'!$G$7)/'Capital Structure'!$C$8-[1]Results!$C$69</f>
        <v>1.5724294060810856E-3</v>
      </c>
      <c r="AD67" s="231">
        <f>((AD37+[1]Results!$C$39)/(AD64+[1]Results!$C$66)-'Capital Structure'!$G$6-'Capital Structure'!$G$7)/'Capital Structure'!$C$8-[1]Results!$C$69</f>
        <v>0</v>
      </c>
      <c r="AE67" s="173">
        <f>((AE37+[1]Results!$C$39)/(AE64+[1]Results!$C$66)-'Capital Structure'!$G$6-'Capital Structure'!$G$7)/'Capital Structure'!$C$8-[1]Results!$C$69</f>
        <v>-5.2156252819073462E-3</v>
      </c>
      <c r="AF67" s="173">
        <f>((AF37+[1]Results!$C$39)/(AF64+[1]Results!$C$66)-'Capital Structure'!$G$6-'Capital Structure'!$G$7)/'Capital Structure'!$C$8-[1]Results!$C$69</f>
        <v>-1.3569495251593289E-4</v>
      </c>
      <c r="AG67" s="173">
        <f>((AG37+[1]Results!$C$39)/(AG64+[1]Results!$C$66)-'Capital Structure'!$G$6-'Capital Structure'!$G$7)/'Capital Structure'!$C$8-[1]Results!$C$69</f>
        <v>-3.6371943421126263E-6</v>
      </c>
      <c r="AH67" s="173">
        <f>((AH37+[1]Results!$C$39)/(AH64+[1]Results!$C$66)-'Capital Structure'!$G$6-'Capital Structure'!$G$7)/'Capital Structure'!$C$8-[1]Results!$C$69</f>
        <v>1.2490992837846798E-3</v>
      </c>
      <c r="AI67" s="173">
        <f>((AI37+[1]Results!$C$39)/(AI64+[1]Results!$C$66)-'Capital Structure'!$G$6-'Capital Structure'!$G$7)/'Capital Structure'!$C$8-[1]Results!$C$69</f>
        <v>-2.3089401124272435E-4</v>
      </c>
      <c r="AJ67" s="173">
        <f>((AJ37+[1]Results!$C$39)/(AJ64+[1]Results!$C$66)-'Capital Structure'!$G$6-'Capital Structure'!$G$7)/'Capital Structure'!$C$8-[1]Results!$C$69</f>
        <v>1.1533581428647965E-4</v>
      </c>
      <c r="AK67" s="173">
        <f>((AK37+[1]Results!$C$39)/(AK64+[1]Results!$C$66)-'Capital Structure'!$G$6-'Capital Structure'!$G$7)/'Capital Structure'!$C$8-[1]Results!$C$69</f>
        <v>1.3759452187353527E-4</v>
      </c>
      <c r="AL67" s="176">
        <f>((AL37+[1]Results!$C$39)/(AL64+[1]Results!$C$66)-'Capital Structure'!$G$6-'Capital Structure'!$G$7)/'Capital Structure'!$C$8-[1]Results!$C$69</f>
        <v>4.1362371613808124E-4</v>
      </c>
      <c r="AM67" s="175">
        <f>((AM37+'Capital Structure'!$D$16)/(Restating!AM64+'Capital Structure'!$D$18)-'Capital Structure'!$G$6-'Capital Structure'!$G$7)/'Capital Structure'!$C$8-[1]Results!$C$69</f>
        <v>1.2188112548243007E-3</v>
      </c>
      <c r="AN67" s="173">
        <f>((AN37+'Capital Structure'!$D$16)/(Restating!AN64+'Capital Structure'!$D$18)-'Capital Structure'!$G$6-'Capital Structure'!$G$7)/'Capital Structure'!$C$8-[1]Results!$C$69</f>
        <v>2.8172302681296613E-4</v>
      </c>
      <c r="AO67" s="173">
        <f>((AO37+'Capital Structure'!$D$16)/(Restating!AO64+'Capital Structure'!$D$18)-'Capital Structure'!$G$6-'Capital Structure'!$G$7)/'Capital Structure'!$C$8-[1]Results!$C$69</f>
        <v>1.5277867246044075E-4</v>
      </c>
      <c r="AP67" s="173">
        <f>((AP37+'Capital Structure'!$D$16)/(Restating!AP64+'Capital Structure'!$D$18)-'Capital Structure'!$G$6-'Capital Structure'!$G$7)/'Capital Structure'!$C$8-[1]Results!$C$69</f>
        <v>3.0098008324264125E-6</v>
      </c>
      <c r="AQ67" s="173">
        <f>((AQ37+'Capital Structure'!$D$16)/(Restating!AQ64+'Capital Structure'!$D$18)-'Capital Structure'!$G$6-'Capital Structure'!$G$7)/'Capital Structure'!$C$8-[1]Results!$C$69</f>
        <v>-6.9928722640401966E-3</v>
      </c>
      <c r="AR67" s="173">
        <f>((AR37+'Capital Structure'!$D$16)/(Restating!AR64+'Capital Structure'!$D$18)-'Capital Structure'!$G$6-'Capital Structure'!$G$7)/'Capital Structure'!$C$8-[1]Results!$C$69</f>
        <v>-1.6742395095544343E-3</v>
      </c>
      <c r="AS67" s="176">
        <f>((AS37+'Capital Structure'!$D$16)/(Restating!AS64+'Capital Structure'!$D$18)-'Capital Structure'!$G$6-'Capital Structure'!$G$7)/'Capital Structure'!$C$8-[1]Results!$C$69</f>
        <v>-3.3585636592593365E-3</v>
      </c>
    </row>
    <row r="68" spans="1:45" s="102" customFormat="1">
      <c r="A68" s="96" t="s">
        <v>74</v>
      </c>
      <c r="B68" s="88">
        <f>-(B37-(B64*'Capital Structure'!$G$10))*('Capital Structure'!$D$13)</f>
        <v>11739294.566401744</v>
      </c>
      <c r="C68" s="104"/>
      <c r="D68" s="100">
        <f t="shared" si="0"/>
        <v>11739294.566401748</v>
      </c>
      <c r="E68" s="60">
        <f t="shared" si="1"/>
        <v>0</v>
      </c>
      <c r="F68" s="90">
        <f>-(F37-(F64*'Capital Structure'!$G$10))*('Capital Structure'!$D$13)</f>
        <v>7030213.959153384</v>
      </c>
      <c r="G68" s="88">
        <f>-(G37-(G64*'Capital Structure'!$G$10))*('Capital Structure'!$D$13)</f>
        <v>483091.63596178871</v>
      </c>
      <c r="H68" s="211">
        <f>-(H37-(H64*'Capital Structure'!$G$10))*('Capital Structure'!$D$13)</f>
        <v>0</v>
      </c>
      <c r="I68" s="211">
        <f>-(I37-(I64*'Capital Structure'!$G$10))*('Capital Structure'!$D$13)</f>
        <v>0</v>
      </c>
      <c r="J68" s="91">
        <f>-(J37-(J64*'Capital Structure'!$G$10))*('Capital Structure'!$D$13)</f>
        <v>-115391.49886962927</v>
      </c>
      <c r="K68" s="90">
        <f>-(K37-(K64*'Capital Structure'!$G$10))*('Capital Structure'!$D$13)</f>
        <v>-46427.572147146006</v>
      </c>
      <c r="L68" s="88">
        <f>-(L37-(L64*'Capital Structure'!$G$10))*('Capital Structure'!$D$13)</f>
        <v>30328.974490774679</v>
      </c>
      <c r="M68" s="211">
        <f>-(M37-(M64*'Capital Structure'!$G$10))*('Capital Structure'!$D$13)</f>
        <v>0</v>
      </c>
      <c r="N68" s="88">
        <f>-(N37-(N64*'Capital Structure'!$G$10))*('Capital Structure'!$D$13)</f>
        <v>-5096948.0422905879</v>
      </c>
      <c r="O68" s="91">
        <f>-(O37-(O64*'Capital Structure'!$G$10))*('Capital Structure'!$D$13)</f>
        <v>-206181.16528685074</v>
      </c>
      <c r="P68" s="90">
        <f>-(P37-(P64*'Capital Structure'!$G$10))*('Capital Structure'!$D$13)</f>
        <v>-11534575.295020126</v>
      </c>
      <c r="Q68" s="88">
        <f>-(Q37-(Q64*'Capital Structure'!$G$10))*('Capital Structure'!$D$13)</f>
        <v>131080.25851868658</v>
      </c>
      <c r="R68" s="88">
        <f>-(R37-(R64*'Capital Structure'!$G$10))*('Capital Structure'!$D$13)</f>
        <v>8415062.0281344783</v>
      </c>
      <c r="S68" s="91">
        <f>-(S37-(S64*'Capital Structure'!$G$10))*('Capital Structure'!$D$13)</f>
        <v>-1541494.5509187784</v>
      </c>
      <c r="T68" s="113">
        <f>-(T37-(T64*'Capital Structure'!$G$10))*('Capital Structure'!$D$13)</f>
        <v>-1077.0633172632556</v>
      </c>
      <c r="U68" s="232">
        <f>-(U37-(U64*'Capital Structure'!$G$10))*('Capital Structure'!$D$13)</f>
        <v>0</v>
      </c>
      <c r="V68" s="88">
        <f>-(V37-(V64*'Capital Structure'!$G$10))*('Capital Structure'!$D$13)</f>
        <v>-699489.4249367048</v>
      </c>
      <c r="W68" s="88">
        <f>-(W37-(W64*'Capital Structure'!$G$10))*('Capital Structure'!$D$13)</f>
        <v>-539193.95230767201</v>
      </c>
      <c r="X68" s="88">
        <f>-(X37-(X64*'Capital Structure'!$G$10))*('Capital Structure'!$D$13)</f>
        <v>8925653.3522617295</v>
      </c>
      <c r="Y68" s="88">
        <f>-(Y37-(Y64*'Capital Structure'!$G$10))*('Capital Structure'!$D$13)</f>
        <v>-122531.17086232292</v>
      </c>
      <c r="Z68" s="88">
        <f>-(Z37-(Z64*'Capital Structure'!$G$10))*('Capital Structure'!$D$13)</f>
        <v>-3399884.1588694588</v>
      </c>
      <c r="AA68" s="88">
        <f>-(AA37-(AA64*'Capital Structure'!$G$10))*('Capital Structure'!$D$13)</f>
        <v>812489.61831322196</v>
      </c>
      <c r="AB68" s="88">
        <f>-(AB37-(AB64*'Capital Structure'!$G$10))*('Capital Structure'!$D$13)</f>
        <v>274995.62948574231</v>
      </c>
      <c r="AC68" s="91">
        <f>-(AC37-(AC64*'Capital Structure'!$G$10))*('Capital Structure'!$D$13)</f>
        <v>-1328361.6231346978</v>
      </c>
      <c r="AD68" s="232">
        <f>-(AD37-(AD64*'Capital Structure'!$G$10))*('Capital Structure'!$D$13)</f>
        <v>0</v>
      </c>
      <c r="AE68" s="88">
        <f>-(AE37-(AE64*'Capital Structure'!$G$10))*('Capital Structure'!$D$13)</f>
        <v>4671027.2969250008</v>
      </c>
      <c r="AF68" s="88">
        <f>-(AF37-(AF64*'Capital Structure'!$G$10))*('Capital Structure'!$D$13)</f>
        <v>94953.530942363708</v>
      </c>
      <c r="AG68" s="88">
        <f>-(AG37-(AG64*'Capital Structure'!$G$10))*('Capital Structure'!$D$13)</f>
        <v>3113.6470775118155</v>
      </c>
      <c r="AH68" s="88">
        <f>-(AH37-(AH64*'Capital Structure'!$G$10))*('Capital Structure'!$D$13)</f>
        <v>-1058076.6018855576</v>
      </c>
      <c r="AI68" s="88">
        <f>-(AI37-(AI64*'Capital Structure'!$G$10))*('Capital Structure'!$D$13)</f>
        <v>206039.29690771762</v>
      </c>
      <c r="AJ68" s="88">
        <f>-(AJ37-(AJ64*'Capital Structure'!$G$10))*('Capital Structure'!$D$13)</f>
        <v>-88356.558944376317</v>
      </c>
      <c r="AK68" s="88">
        <f>-(AK37-(AK64*'Capital Structure'!$G$10))*('Capital Structure'!$D$13)</f>
        <v>-60582.190535537513</v>
      </c>
      <c r="AL68" s="91">
        <f>-(AL37-(AL64*'Capital Structure'!$G$10))*('Capital Structure'!$D$13)</f>
        <v>-365345.14783452702</v>
      </c>
      <c r="AM68" s="90">
        <f>-(AM37-(AM64*'Capital Structure'!$G$10))*('Capital Structure'!$D$13)</f>
        <v>-849695.00061774498</v>
      </c>
      <c r="AN68" s="88">
        <f>-(AN37-(AN64*'Capital Structure'!$G$10))*('Capital Structure'!$D$13)</f>
        <v>-177919.50842037977</v>
      </c>
      <c r="AO68" s="88">
        <f>-(AO37-(AO64*'Capital Structure'!$G$10))*('Capital Structure'!$D$13)</f>
        <v>-96485.923102511573</v>
      </c>
      <c r="AP68" s="88">
        <f>-(AP37-(AP64*'Capital Structure'!$G$10))*('Capital Structure'!$D$13)</f>
        <v>-1900.8111995895988</v>
      </c>
      <c r="AQ68" s="88">
        <f>-(AQ37-(AQ64*'Capital Structure'!$G$10))*('Capital Structure'!$D$13)</f>
        <v>4416282.2249193471</v>
      </c>
      <c r="AR68" s="88">
        <f>-(AR37-(AR64*'Capital Structure'!$G$10))*('Capital Structure'!$D$13)</f>
        <v>1453811.3152616047</v>
      </c>
      <c r="AS68" s="91">
        <f>-(AS37-(AS64*'Capital Structure'!$G$10))*('Capital Structure'!$D$13)</f>
        <v>2121069.0585498582</v>
      </c>
    </row>
    <row r="69" spans="1:45" s="102" customFormat="1">
      <c r="A69" s="96"/>
      <c r="B69" s="104"/>
      <c r="C69" s="104"/>
      <c r="D69" s="104">
        <f t="shared" si="0"/>
        <v>0</v>
      </c>
      <c r="E69" s="166"/>
      <c r="F69" s="108"/>
      <c r="G69" s="104"/>
      <c r="H69" s="212"/>
      <c r="I69" s="212"/>
      <c r="J69" s="109"/>
      <c r="K69" s="108"/>
      <c r="L69" s="104"/>
      <c r="M69" s="212"/>
      <c r="N69" s="104"/>
      <c r="O69" s="109"/>
      <c r="P69" s="108"/>
      <c r="Q69" s="104"/>
      <c r="R69" s="104"/>
      <c r="S69" s="109"/>
      <c r="T69" s="121"/>
      <c r="U69" s="233"/>
      <c r="V69" s="104"/>
      <c r="W69" s="104"/>
      <c r="X69" s="104"/>
      <c r="Y69" s="104"/>
      <c r="Z69" s="104"/>
      <c r="AA69" s="104"/>
      <c r="AB69" s="104"/>
      <c r="AC69" s="109"/>
      <c r="AD69" s="233"/>
      <c r="AE69" s="104"/>
      <c r="AF69" s="104"/>
      <c r="AG69" s="104"/>
      <c r="AH69" s="104"/>
      <c r="AI69" s="104"/>
      <c r="AJ69" s="104"/>
      <c r="AK69" s="104"/>
      <c r="AL69" s="109"/>
      <c r="AM69" s="108"/>
      <c r="AN69" s="104"/>
      <c r="AO69" s="104"/>
      <c r="AP69" s="104"/>
      <c r="AQ69" s="104"/>
      <c r="AR69" s="104"/>
      <c r="AS69" s="109"/>
    </row>
    <row r="70" spans="1:45" s="102" customFormat="1">
      <c r="A70" s="96"/>
      <c r="B70" s="100"/>
      <c r="C70" s="105"/>
      <c r="D70" s="100">
        <f t="shared" si="0"/>
        <v>0</v>
      </c>
      <c r="E70" s="60"/>
      <c r="F70" s="106"/>
      <c r="G70" s="100"/>
      <c r="H70" s="213"/>
      <c r="I70" s="213"/>
      <c r="J70" s="107"/>
      <c r="K70" s="106"/>
      <c r="L70" s="100"/>
      <c r="M70" s="213"/>
      <c r="N70" s="100"/>
      <c r="O70" s="107"/>
      <c r="P70" s="106"/>
      <c r="Q70" s="100"/>
      <c r="R70" s="100"/>
      <c r="S70" s="107"/>
      <c r="T70" s="122"/>
      <c r="U70" s="234"/>
      <c r="V70" s="100"/>
      <c r="W70" s="100"/>
      <c r="X70" s="100"/>
      <c r="Y70" s="100"/>
      <c r="Z70" s="100"/>
      <c r="AA70" s="100"/>
      <c r="AB70" s="100"/>
      <c r="AC70" s="107"/>
      <c r="AD70" s="234"/>
      <c r="AE70" s="100"/>
      <c r="AF70" s="100"/>
      <c r="AG70" s="100"/>
      <c r="AH70" s="100"/>
      <c r="AI70" s="100"/>
      <c r="AJ70" s="100"/>
      <c r="AK70" s="100"/>
      <c r="AL70" s="107"/>
      <c r="AM70" s="106"/>
      <c r="AN70" s="100"/>
      <c r="AO70" s="100"/>
      <c r="AP70" s="100"/>
      <c r="AQ70" s="100"/>
      <c r="AR70" s="100"/>
      <c r="AS70" s="107"/>
    </row>
    <row r="71" spans="1:45">
      <c r="A71" s="96" t="str">
        <f>[1]Results!B71</f>
        <v>TAX CALCULATION:</v>
      </c>
      <c r="B71" s="50"/>
      <c r="C71" s="60"/>
      <c r="D71" s="50">
        <f t="shared" si="0"/>
        <v>0</v>
      </c>
      <c r="E71" s="60"/>
      <c r="F71" s="54"/>
      <c r="G71" s="50"/>
      <c r="H71" s="202"/>
      <c r="I71" s="202"/>
      <c r="J71" s="56"/>
      <c r="K71" s="54"/>
      <c r="L71" s="50"/>
      <c r="M71" s="202"/>
      <c r="N71" s="50"/>
      <c r="O71" s="56"/>
      <c r="P71" s="54"/>
      <c r="Q71" s="50"/>
      <c r="R71" s="50"/>
      <c r="S71" s="56"/>
      <c r="T71" s="113"/>
      <c r="U71" s="223"/>
      <c r="V71" s="50"/>
      <c r="W71" s="50"/>
      <c r="X71" s="50"/>
      <c r="Y71" s="50"/>
      <c r="Z71" s="50"/>
      <c r="AA71" s="50"/>
      <c r="AB71" s="50"/>
      <c r="AC71" s="56"/>
      <c r="AD71" s="223"/>
      <c r="AE71" s="50"/>
      <c r="AF71" s="50"/>
      <c r="AG71" s="50"/>
      <c r="AH71" s="50"/>
      <c r="AI71" s="50"/>
      <c r="AJ71" s="50"/>
      <c r="AK71" s="50"/>
      <c r="AL71" s="56"/>
      <c r="AM71" s="54"/>
      <c r="AN71" s="50"/>
      <c r="AO71" s="50"/>
      <c r="AP71" s="50"/>
      <c r="AQ71" s="50"/>
      <c r="AR71" s="50"/>
      <c r="AS71" s="56"/>
    </row>
    <row r="72" spans="1:45">
      <c r="A72" s="96" t="str">
        <f>[1]Results!B72</f>
        <v>Operating Revenue</v>
      </c>
      <c r="B72" s="88">
        <f>[1]Results!$D$72</f>
        <v>-1596014.959937145</v>
      </c>
      <c r="C72" s="60"/>
      <c r="D72" s="88">
        <f t="shared" si="0"/>
        <v>-1596014.9599371455</v>
      </c>
      <c r="E72" s="60">
        <f t="shared" si="1"/>
        <v>0</v>
      </c>
      <c r="F72" s="90">
        <f t="shared" ref="F72:AP72" si="65">F13-F26-F27-F28-F29-F34</f>
        <v>-6704444.6599999983</v>
      </c>
      <c r="G72" s="88">
        <f t="shared" si="65"/>
        <v>-33120.929999989981</v>
      </c>
      <c r="H72" s="211">
        <f t="shared" si="65"/>
        <v>0</v>
      </c>
      <c r="I72" s="211">
        <f t="shared" si="65"/>
        <v>0</v>
      </c>
      <c r="J72" s="91">
        <f t="shared" si="65"/>
        <v>110044.43433739353</v>
      </c>
      <c r="K72" s="90">
        <f t="shared" si="65"/>
        <v>44276.189880881328</v>
      </c>
      <c r="L72" s="88">
        <f t="shared" si="65"/>
        <v>-28923.57647283293</v>
      </c>
      <c r="M72" s="211">
        <f t="shared" si="65"/>
        <v>0</v>
      </c>
      <c r="N72" s="88">
        <f t="shared" si="65"/>
        <v>4858459</v>
      </c>
      <c r="O72" s="91">
        <f t="shared" si="65"/>
        <v>196627.0472892508</v>
      </c>
      <c r="P72" s="90">
        <f t="shared" si="65"/>
        <v>11000080.821349347</v>
      </c>
      <c r="Q72" s="88">
        <f t="shared" si="65"/>
        <v>-152282.21898382137</v>
      </c>
      <c r="R72" s="88">
        <f t="shared" si="65"/>
        <v>-8025121</v>
      </c>
      <c r="S72" s="91">
        <f t="shared" si="65"/>
        <v>439356.46083514317</v>
      </c>
      <c r="T72" s="113">
        <f t="shared" si="65"/>
        <v>0</v>
      </c>
      <c r="U72" s="232">
        <f t="shared" si="65"/>
        <v>0</v>
      </c>
      <c r="V72" s="88">
        <f t="shared" si="65"/>
        <v>0</v>
      </c>
      <c r="W72" s="88">
        <f t="shared" si="65"/>
        <v>0</v>
      </c>
      <c r="X72" s="88">
        <f t="shared" si="65"/>
        <v>0</v>
      </c>
      <c r="Y72" s="88">
        <f t="shared" si="65"/>
        <v>0</v>
      </c>
      <c r="Z72" s="88">
        <f t="shared" si="65"/>
        <v>0</v>
      </c>
      <c r="AA72" s="88">
        <f t="shared" si="65"/>
        <v>0</v>
      </c>
      <c r="AB72" s="88">
        <f t="shared" si="65"/>
        <v>0</v>
      </c>
      <c r="AC72" s="91">
        <f t="shared" si="65"/>
        <v>0</v>
      </c>
      <c r="AD72" s="232">
        <f t="shared" si="65"/>
        <v>0</v>
      </c>
      <c r="AE72" s="88">
        <f t="shared" si="65"/>
        <v>0</v>
      </c>
      <c r="AF72" s="88">
        <f t="shared" si="65"/>
        <v>-54303.537524919564</v>
      </c>
      <c r="AG72" s="88">
        <f t="shared" si="65"/>
        <v>0</v>
      </c>
      <c r="AH72" s="88">
        <f t="shared" si="65"/>
        <v>0</v>
      </c>
      <c r="AI72" s="88">
        <f t="shared" si="65"/>
        <v>0</v>
      </c>
      <c r="AJ72" s="88">
        <f t="shared" si="65"/>
        <v>17990.552800000001</v>
      </c>
      <c r="AK72" s="88">
        <f t="shared" si="65"/>
        <v>169568.97296169098</v>
      </c>
      <c r="AL72" s="91">
        <f t="shared" si="65"/>
        <v>-34004.906666666662</v>
      </c>
      <c r="AM72" s="90">
        <f t="shared" si="65"/>
        <v>547918.25463305868</v>
      </c>
      <c r="AN72" s="88">
        <f t="shared" si="65"/>
        <v>169674.9921225</v>
      </c>
      <c r="AO72" s="88">
        <f t="shared" si="65"/>
        <v>92014.913865822877</v>
      </c>
      <c r="AP72" s="88">
        <f t="shared" si="65"/>
        <v>1812.7305329255391</v>
      </c>
      <c r="AQ72" s="88">
        <f t="shared" ref="AQ72" si="66">AQ13-AQ26-AQ27-AQ28-AQ29-AQ34</f>
        <v>-4211638.5008969298</v>
      </c>
      <c r="AR72" s="88"/>
      <c r="AS72" s="91"/>
    </row>
    <row r="73" spans="1:45">
      <c r="A73" s="96" t="str">
        <f>[1]Results!B73</f>
        <v>Other Deductions</v>
      </c>
      <c r="B73" s="50">
        <f>[1]Results!D73</f>
        <v>0</v>
      </c>
      <c r="C73" s="60"/>
      <c r="D73" s="50">
        <f t="shared" si="0"/>
        <v>0</v>
      </c>
      <c r="E73" s="60">
        <f t="shared" si="1"/>
        <v>0</v>
      </c>
      <c r="F73" s="54"/>
      <c r="G73" s="50"/>
      <c r="H73" s="202"/>
      <c r="I73" s="202"/>
      <c r="J73" s="56"/>
      <c r="K73" s="54"/>
      <c r="L73" s="50"/>
      <c r="M73" s="202"/>
      <c r="N73" s="50"/>
      <c r="O73" s="56"/>
      <c r="P73" s="54"/>
      <c r="Q73" s="50"/>
      <c r="R73" s="50"/>
      <c r="S73" s="56"/>
      <c r="T73" s="113"/>
      <c r="U73" s="223"/>
      <c r="V73" s="50"/>
      <c r="W73" s="50"/>
      <c r="X73" s="50"/>
      <c r="Y73" s="50"/>
      <c r="Z73" s="50"/>
      <c r="AA73" s="50"/>
      <c r="AB73" s="50"/>
      <c r="AC73" s="56"/>
      <c r="AD73" s="223"/>
      <c r="AE73" s="50"/>
      <c r="AF73" s="50"/>
      <c r="AG73" s="50"/>
      <c r="AH73" s="50"/>
      <c r="AI73" s="50"/>
      <c r="AJ73" s="50"/>
      <c r="AK73" s="50"/>
      <c r="AL73" s="56"/>
      <c r="AM73" s="54"/>
      <c r="AN73" s="50"/>
      <c r="AO73" s="50"/>
      <c r="AP73" s="50"/>
      <c r="AQ73" s="50"/>
      <c r="AR73" s="50"/>
      <c r="AS73" s="56"/>
    </row>
    <row r="74" spans="1:45">
      <c r="A74" s="96" t="str">
        <f>[1]Results!B74</f>
        <v>Interest (AFUDC)</v>
      </c>
      <c r="B74" s="59">
        <f>[1]Results!$D$74</f>
        <v>217013.20626896209</v>
      </c>
      <c r="C74" s="89"/>
      <c r="D74" s="59">
        <f t="shared" ref="D74:D83" si="67">SUM(F74:AS74)</f>
        <v>217013.20626896209</v>
      </c>
      <c r="E74" s="60">
        <f t="shared" si="1"/>
        <v>0</v>
      </c>
      <c r="F74" s="62">
        <v>0</v>
      </c>
      <c r="G74" s="59">
        <v>0</v>
      </c>
      <c r="H74" s="203">
        <v>0</v>
      </c>
      <c r="I74" s="203">
        <v>0</v>
      </c>
      <c r="J74" s="65">
        <v>0</v>
      </c>
      <c r="K74" s="62">
        <v>0</v>
      </c>
      <c r="L74" s="59">
        <v>0</v>
      </c>
      <c r="M74" s="203">
        <v>0</v>
      </c>
      <c r="N74" s="59">
        <v>0</v>
      </c>
      <c r="O74" s="65">
        <v>0</v>
      </c>
      <c r="P74" s="62">
        <v>0</v>
      </c>
      <c r="Q74" s="59">
        <v>0</v>
      </c>
      <c r="R74" s="59">
        <v>0</v>
      </c>
      <c r="S74" s="65">
        <v>0</v>
      </c>
      <c r="T74" s="117">
        <v>0</v>
      </c>
      <c r="U74" s="226">
        <v>0</v>
      </c>
      <c r="V74" s="59">
        <v>0</v>
      </c>
      <c r="W74" s="59">
        <v>0</v>
      </c>
      <c r="X74" s="59">
        <v>0</v>
      </c>
      <c r="Y74" s="59">
        <f>[1]TAX!$I$321</f>
        <v>217013.20626896209</v>
      </c>
      <c r="Z74" s="59">
        <v>0</v>
      </c>
      <c r="AA74" s="59">
        <v>0</v>
      </c>
      <c r="AB74" s="59">
        <v>0</v>
      </c>
      <c r="AC74" s="65">
        <v>0</v>
      </c>
      <c r="AD74" s="226">
        <v>0</v>
      </c>
      <c r="AE74" s="59">
        <v>0</v>
      </c>
      <c r="AF74" s="59">
        <v>0</v>
      </c>
      <c r="AG74" s="59">
        <v>0</v>
      </c>
      <c r="AH74" s="59">
        <v>0</v>
      </c>
      <c r="AI74" s="50">
        <v>0</v>
      </c>
      <c r="AJ74" s="59">
        <v>0</v>
      </c>
      <c r="AK74" s="59">
        <v>0</v>
      </c>
      <c r="AL74" s="65">
        <v>0</v>
      </c>
      <c r="AM74" s="62"/>
      <c r="AN74" s="59"/>
      <c r="AO74" s="59"/>
      <c r="AP74" s="59"/>
      <c r="AQ74" s="59"/>
      <c r="AR74" s="59"/>
      <c r="AS74" s="65"/>
    </row>
    <row r="75" spans="1:45">
      <c r="A75" s="96" t="str">
        <f>[1]Results!B75</f>
        <v>Interest</v>
      </c>
      <c r="B75" s="59">
        <f>[1]Results!$D$75</f>
        <v>-3756595.1086111031</v>
      </c>
      <c r="C75" s="60"/>
      <c r="D75" s="59">
        <f t="shared" si="67"/>
        <v>-3756595.1086111031</v>
      </c>
      <c r="E75" s="60">
        <f t="shared" si="1"/>
        <v>0</v>
      </c>
      <c r="F75" s="62">
        <v>0</v>
      </c>
      <c r="G75" s="59">
        <v>0</v>
      </c>
      <c r="H75" s="203">
        <v>0</v>
      </c>
      <c r="I75" s="203">
        <v>0</v>
      </c>
      <c r="J75" s="65">
        <v>0</v>
      </c>
      <c r="K75" s="62">
        <v>0</v>
      </c>
      <c r="L75" s="59">
        <v>0</v>
      </c>
      <c r="M75" s="203">
        <v>0</v>
      </c>
      <c r="N75" s="59">
        <v>0</v>
      </c>
      <c r="O75" s="65">
        <v>0</v>
      </c>
      <c r="P75" s="62">
        <v>0</v>
      </c>
      <c r="Q75" s="59">
        <v>0</v>
      </c>
      <c r="R75" s="59">
        <v>0</v>
      </c>
      <c r="S75" s="65">
        <v>0</v>
      </c>
      <c r="T75" s="117">
        <v>0</v>
      </c>
      <c r="U75" s="226">
        <v>0</v>
      </c>
      <c r="V75" s="59">
        <v>0</v>
      </c>
      <c r="W75" s="59">
        <v>0</v>
      </c>
      <c r="X75" s="59">
        <v>0</v>
      </c>
      <c r="Y75" s="59">
        <v>0</v>
      </c>
      <c r="Z75" s="59">
        <v>0</v>
      </c>
      <c r="AA75" s="59">
        <v>0</v>
      </c>
      <c r="AB75" s="59">
        <v>0</v>
      </c>
      <c r="AC75" s="65">
        <v>0</v>
      </c>
      <c r="AD75" s="226">
        <v>0</v>
      </c>
      <c r="AE75" s="59">
        <v>0</v>
      </c>
      <c r="AF75" s="59">
        <v>0</v>
      </c>
      <c r="AG75" s="59">
        <v>0</v>
      </c>
      <c r="AH75" s="59">
        <v>0</v>
      </c>
      <c r="AI75" s="50">
        <v>0</v>
      </c>
      <c r="AJ75" s="59">
        <v>0</v>
      </c>
      <c r="AK75" s="59">
        <v>0</v>
      </c>
      <c r="AL75" s="65">
        <v>0</v>
      </c>
      <c r="AM75" s="62"/>
      <c r="AN75" s="59"/>
      <c r="AO75" s="59"/>
      <c r="AP75" s="59"/>
      <c r="AQ75" s="59"/>
      <c r="AR75" s="59"/>
      <c r="AS75" s="65">
        <f>[1]TAX!$I$11</f>
        <v>-3756595.1086111031</v>
      </c>
    </row>
    <row r="76" spans="1:45">
      <c r="A76" s="96" t="str">
        <f>[1]Results!B76</f>
        <v>Schedule "M" Additions</v>
      </c>
      <c r="B76" s="59">
        <f>[1]Results!$D$76</f>
        <v>-2566569.5074167242</v>
      </c>
      <c r="D76" s="59">
        <f t="shared" si="67"/>
        <v>-2566569.5074167242</v>
      </c>
      <c r="E76" s="60">
        <f t="shared" ref="E76:E83" si="68">B76-D76</f>
        <v>0</v>
      </c>
      <c r="F76" s="62">
        <v>0</v>
      </c>
      <c r="G76" s="59">
        <f>[1]REV!$I$82</f>
        <v>-1653038</v>
      </c>
      <c r="H76" s="203">
        <v>0</v>
      </c>
      <c r="I76" s="203">
        <v>0</v>
      </c>
      <c r="J76" s="65">
        <v>0</v>
      </c>
      <c r="K76" s="62">
        <v>0</v>
      </c>
      <c r="L76" s="59">
        <v>0</v>
      </c>
      <c r="M76" s="203">
        <v>0</v>
      </c>
      <c r="N76" s="59">
        <f>[1]OM!$I$338</f>
        <v>0</v>
      </c>
      <c r="O76" s="65">
        <v>0</v>
      </c>
      <c r="P76" s="62">
        <v>0</v>
      </c>
      <c r="Q76" s="59"/>
      <c r="R76" s="59"/>
      <c r="S76" s="65">
        <f>[1]NPC!$I$449+[1]NPC!$I$450+[1]NPC!$I$462</f>
        <v>-449420.00153080252</v>
      </c>
      <c r="T76" s="117">
        <v>0</v>
      </c>
      <c r="U76" s="226">
        <v>0</v>
      </c>
      <c r="V76" s="59">
        <v>0</v>
      </c>
      <c r="W76" s="59">
        <v>0</v>
      </c>
      <c r="X76" s="59">
        <v>0</v>
      </c>
      <c r="Y76" s="59">
        <v>0</v>
      </c>
      <c r="Z76" s="59">
        <v>0</v>
      </c>
      <c r="AA76" s="59">
        <v>0</v>
      </c>
      <c r="AB76" s="59">
        <v>0</v>
      </c>
      <c r="AC76" s="65">
        <v>0</v>
      </c>
      <c r="AD76" s="226">
        <v>0</v>
      </c>
      <c r="AE76" s="59">
        <v>0</v>
      </c>
      <c r="AF76" s="59">
        <f>[1]RB!$I$146+[1]RB!$I$150+[1]RB!$I$156</f>
        <v>-59375.233530133206</v>
      </c>
      <c r="AG76" s="59">
        <v>0</v>
      </c>
      <c r="AH76" s="59">
        <v>0</v>
      </c>
      <c r="AI76" s="50">
        <f>[1]RB!$I$756+[1]RB!$I$760+[1]RB!$I$776</f>
        <v>-69061.886393937762</v>
      </c>
      <c r="AJ76" s="59">
        <f>[1]RB!$I$325</f>
        <v>-17990.552800000001</v>
      </c>
      <c r="AK76" s="59">
        <f>[1]RB!$I$461</f>
        <v>-347730.61460689106</v>
      </c>
      <c r="AL76" s="65"/>
      <c r="AM76" s="62">
        <f>[1]REV!$I$208</f>
        <v>30046.781445040437</v>
      </c>
      <c r="AN76" s="59"/>
      <c r="AO76" s="59"/>
      <c r="AP76" s="59"/>
      <c r="AQ76" s="59"/>
      <c r="AR76" s="59"/>
      <c r="AS76" s="65"/>
    </row>
    <row r="77" spans="1:45">
      <c r="A77" s="96" t="str">
        <f>[1]Results!B77</f>
        <v>Schedule "M" Deductions</v>
      </c>
      <c r="B77" s="75">
        <f>[1]Results!$D$77</f>
        <v>-1178110.4330472155</v>
      </c>
      <c r="D77" s="75">
        <f t="shared" si="67"/>
        <v>-1178110.4330472155</v>
      </c>
      <c r="E77" s="60">
        <f t="shared" si="68"/>
        <v>0</v>
      </c>
      <c r="F77" s="93">
        <v>0</v>
      </c>
      <c r="G77" s="75">
        <f>[1]REV!$I$92</f>
        <v>-10607</v>
      </c>
      <c r="H77" s="214">
        <v>0</v>
      </c>
      <c r="I77" s="214">
        <v>0</v>
      </c>
      <c r="J77" s="94">
        <v>0</v>
      </c>
      <c r="K77" s="93">
        <v>0</v>
      </c>
      <c r="L77" s="73">
        <v>0</v>
      </c>
      <c r="M77" s="217">
        <v>0</v>
      </c>
      <c r="N77" s="73">
        <f>[1]OM!$I$331</f>
        <v>-1385852.3131956439</v>
      </c>
      <c r="O77" s="110">
        <v>0</v>
      </c>
      <c r="P77" s="93">
        <v>0</v>
      </c>
      <c r="Q77" s="73"/>
      <c r="R77" s="73"/>
      <c r="S77" s="110">
        <f>[1]NPC!$I$448</f>
        <v>-90396.065974144673</v>
      </c>
      <c r="T77" s="123">
        <v>0</v>
      </c>
      <c r="U77" s="235">
        <v>0</v>
      </c>
      <c r="V77" s="75">
        <v>0</v>
      </c>
      <c r="W77" s="75">
        <v>0</v>
      </c>
      <c r="X77" s="75">
        <v>0</v>
      </c>
      <c r="Y77" s="75">
        <v>0</v>
      </c>
      <c r="Z77" s="75">
        <v>0</v>
      </c>
      <c r="AA77" s="75">
        <v>0</v>
      </c>
      <c r="AB77" s="75">
        <v>0</v>
      </c>
      <c r="AC77" s="94">
        <v>0</v>
      </c>
      <c r="AD77" s="235">
        <v>0</v>
      </c>
      <c r="AE77" s="75">
        <v>0</v>
      </c>
      <c r="AF77" s="75">
        <v>0</v>
      </c>
      <c r="AG77" s="75">
        <v>0</v>
      </c>
      <c r="AH77" s="75">
        <v>0</v>
      </c>
      <c r="AI77" s="75">
        <f>[1]RB!$I$764+[1]RB!$I$768+[1]RB!$I$772</f>
        <v>-538286.5880295817</v>
      </c>
      <c r="AJ77" s="75">
        <v>0</v>
      </c>
      <c r="AK77" s="75">
        <v>0</v>
      </c>
      <c r="AL77" s="94"/>
      <c r="AM77" s="93">
        <f>[1]REV!$I$209</f>
        <v>847031.53415215481</v>
      </c>
      <c r="AN77" s="73"/>
      <c r="AO77" s="73"/>
      <c r="AP77" s="73"/>
      <c r="AQ77" s="73"/>
      <c r="AR77" s="73"/>
      <c r="AS77" s="94"/>
    </row>
    <row r="78" spans="1:45">
      <c r="A78" s="96" t="str">
        <f>[1]Results!B78</f>
        <v>Income Before Tax</v>
      </c>
      <c r="B78" s="76">
        <f>[1]Results!$D$78</f>
        <v>555107.86803548736</v>
      </c>
      <c r="D78" s="76">
        <f t="shared" si="67"/>
        <v>555107.8680354869</v>
      </c>
      <c r="E78" s="60">
        <f t="shared" si="68"/>
        <v>0</v>
      </c>
      <c r="F78" s="86">
        <f t="shared" ref="F78:AS78" si="69">F72-F74-F75+F76-F77</f>
        <v>-6704444.6599999983</v>
      </c>
      <c r="G78" s="76">
        <f t="shared" si="69"/>
        <v>-1675551.9299999899</v>
      </c>
      <c r="H78" s="213">
        <f t="shared" si="69"/>
        <v>0</v>
      </c>
      <c r="I78" s="213">
        <f t="shared" si="69"/>
        <v>0</v>
      </c>
      <c r="J78" s="87">
        <f t="shared" si="69"/>
        <v>110044.43433739353</v>
      </c>
      <c r="K78" s="86">
        <f t="shared" si="69"/>
        <v>44276.189880881328</v>
      </c>
      <c r="L78" s="76">
        <f t="shared" si="69"/>
        <v>-28923.57647283293</v>
      </c>
      <c r="M78" s="213">
        <f t="shared" si="69"/>
        <v>0</v>
      </c>
      <c r="N78" s="76">
        <f t="shared" si="69"/>
        <v>6244311.3131956439</v>
      </c>
      <c r="O78" s="87">
        <f t="shared" ref="O78" si="70">O72-O74-O75+O76-O77</f>
        <v>196627.0472892508</v>
      </c>
      <c r="P78" s="86">
        <f t="shared" ref="P78" si="71">P72-P74-P75+P76-P77</f>
        <v>11000080.821349347</v>
      </c>
      <c r="Q78" s="76">
        <f t="shared" ref="Q78:R78" si="72">Q72-Q74-Q75+Q76-Q77</f>
        <v>-152282.21898382137</v>
      </c>
      <c r="R78" s="76">
        <f t="shared" si="72"/>
        <v>-8025121</v>
      </c>
      <c r="S78" s="87">
        <f t="shared" si="69"/>
        <v>80332.525278485322</v>
      </c>
      <c r="T78" s="124">
        <f t="shared" si="69"/>
        <v>0</v>
      </c>
      <c r="U78" s="234">
        <f t="shared" si="69"/>
        <v>0</v>
      </c>
      <c r="V78" s="76">
        <f t="shared" ref="V78" si="73">V72-V74-V75+V76-V77</f>
        <v>0</v>
      </c>
      <c r="W78" s="76">
        <f t="shared" si="69"/>
        <v>0</v>
      </c>
      <c r="X78" s="76">
        <f t="shared" si="69"/>
        <v>0</v>
      </c>
      <c r="Y78" s="76">
        <f t="shared" si="69"/>
        <v>-217013.20626896209</v>
      </c>
      <c r="Z78" s="76">
        <f t="shared" si="69"/>
        <v>0</v>
      </c>
      <c r="AA78" s="76">
        <f t="shared" ref="AA78:AB78" si="74">AA72-AA74-AA75+AA76-AA77</f>
        <v>0</v>
      </c>
      <c r="AB78" s="76">
        <f t="shared" si="74"/>
        <v>0</v>
      </c>
      <c r="AC78" s="87">
        <f t="shared" si="69"/>
        <v>0</v>
      </c>
      <c r="AD78" s="234">
        <f t="shared" si="69"/>
        <v>0</v>
      </c>
      <c r="AE78" s="76">
        <f t="shared" si="69"/>
        <v>0</v>
      </c>
      <c r="AF78" s="76">
        <f t="shared" si="69"/>
        <v>-113678.77105505277</v>
      </c>
      <c r="AG78" s="76">
        <f t="shared" si="69"/>
        <v>0</v>
      </c>
      <c r="AH78" s="76">
        <f t="shared" ref="AH78" si="75">AH72-AH74-AH75+AH76-AH77</f>
        <v>0</v>
      </c>
      <c r="AI78" s="76">
        <f t="shared" si="69"/>
        <v>469224.70163564396</v>
      </c>
      <c r="AJ78" s="76">
        <f t="shared" si="69"/>
        <v>0</v>
      </c>
      <c r="AK78" s="76">
        <f t="shared" si="69"/>
        <v>-178161.64164520008</v>
      </c>
      <c r="AL78" s="87">
        <f t="shared" si="69"/>
        <v>-34004.906666666662</v>
      </c>
      <c r="AM78" s="86">
        <f t="shared" si="69"/>
        <v>-269066.49807405565</v>
      </c>
      <c r="AN78" s="76">
        <f t="shared" si="69"/>
        <v>169674.9921225</v>
      </c>
      <c r="AO78" s="76">
        <f t="shared" si="69"/>
        <v>92014.913865822877</v>
      </c>
      <c r="AP78" s="76">
        <f t="shared" si="69"/>
        <v>1812.7305329255391</v>
      </c>
      <c r="AQ78" s="76">
        <f t="shared" ref="AQ78" si="76">AQ72-AQ74-AQ75+AQ76-AQ77</f>
        <v>-4211638.5008969298</v>
      </c>
      <c r="AR78" s="76">
        <f t="shared" si="69"/>
        <v>0</v>
      </c>
      <c r="AS78" s="87">
        <f t="shared" si="69"/>
        <v>3756595.1086111031</v>
      </c>
    </row>
    <row r="79" spans="1:45">
      <c r="A79" s="96"/>
      <c r="B79" s="50">
        <f>[1]Results!D79</f>
        <v>0</v>
      </c>
      <c r="C79" s="92"/>
      <c r="D79" s="50">
        <f t="shared" si="67"/>
        <v>0</v>
      </c>
      <c r="E79" s="60">
        <f t="shared" si="68"/>
        <v>0</v>
      </c>
      <c r="F79" s="54"/>
      <c r="G79" s="50"/>
      <c r="H79" s="202"/>
      <c r="I79" s="202"/>
      <c r="J79" s="56"/>
      <c r="K79" s="54"/>
      <c r="L79" s="50"/>
      <c r="M79" s="202"/>
      <c r="N79" s="50"/>
      <c r="O79" s="56"/>
      <c r="P79" s="54"/>
      <c r="Q79" s="50"/>
      <c r="R79" s="50"/>
      <c r="S79" s="56"/>
      <c r="T79" s="113"/>
      <c r="U79" s="223"/>
      <c r="V79" s="50"/>
      <c r="W79" s="50"/>
      <c r="X79" s="50"/>
      <c r="Y79" s="50"/>
      <c r="Z79" s="50"/>
      <c r="AA79" s="50"/>
      <c r="AB79" s="50"/>
      <c r="AC79" s="56"/>
      <c r="AD79" s="223"/>
      <c r="AE79" s="50"/>
      <c r="AF79" s="50"/>
      <c r="AG79" s="50"/>
      <c r="AH79" s="50"/>
      <c r="AI79" s="50"/>
      <c r="AJ79" s="50"/>
      <c r="AK79" s="50"/>
      <c r="AL79" s="56"/>
      <c r="AM79" s="54"/>
      <c r="AN79" s="50"/>
      <c r="AO79" s="50"/>
      <c r="AP79" s="50"/>
      <c r="AQ79" s="50"/>
      <c r="AR79" s="50"/>
      <c r="AS79" s="56"/>
    </row>
    <row r="80" spans="1:45">
      <c r="A80" s="96" t="str">
        <f>[1]Results!B80</f>
        <v>State Income Taxes</v>
      </c>
      <c r="B80" s="92">
        <f>[1]Results!D80</f>
        <v>0</v>
      </c>
      <c r="D80" s="92">
        <f t="shared" si="67"/>
        <v>0</v>
      </c>
      <c r="E80" s="60">
        <f t="shared" si="68"/>
        <v>0</v>
      </c>
      <c r="F80" s="54"/>
      <c r="G80" s="50"/>
      <c r="H80" s="202"/>
      <c r="I80" s="202"/>
      <c r="J80" s="56"/>
      <c r="K80" s="54"/>
      <c r="L80" s="50"/>
      <c r="M80" s="202"/>
      <c r="N80" s="50"/>
      <c r="O80" s="56"/>
      <c r="P80" s="54"/>
      <c r="Q80" s="50"/>
      <c r="R80" s="50"/>
      <c r="S80" s="56"/>
      <c r="T80" s="113"/>
      <c r="U80" s="236"/>
      <c r="V80" s="92"/>
      <c r="W80" s="92"/>
      <c r="X80" s="92"/>
      <c r="Y80" s="92"/>
      <c r="Z80" s="92"/>
      <c r="AA80" s="92"/>
      <c r="AB80" s="92"/>
      <c r="AC80" s="164"/>
      <c r="AD80" s="236"/>
      <c r="AE80" s="92"/>
      <c r="AF80" s="92"/>
      <c r="AG80" s="92"/>
      <c r="AH80" s="92"/>
      <c r="AI80" s="92"/>
      <c r="AJ80" s="92"/>
      <c r="AK80" s="92"/>
      <c r="AL80" s="164"/>
      <c r="AM80" s="54"/>
      <c r="AN80" s="50"/>
      <c r="AO80" s="50"/>
      <c r="AP80" s="50"/>
      <c r="AQ80" s="50"/>
      <c r="AR80" s="50"/>
      <c r="AS80" s="164"/>
    </row>
    <row r="81" spans="1:45">
      <c r="A81" s="96" t="str">
        <f>[1]Results!B81</f>
        <v>Taxable Income</v>
      </c>
      <c r="B81" s="92">
        <f>[1]Results!$D$81</f>
        <v>555107.86803548736</v>
      </c>
      <c r="C81" s="60"/>
      <c r="D81" s="92">
        <f t="shared" si="67"/>
        <v>555107.8680354869</v>
      </c>
      <c r="E81" s="60">
        <f t="shared" si="68"/>
        <v>0</v>
      </c>
      <c r="F81" s="54">
        <f>F78-F80</f>
        <v>-6704444.6599999983</v>
      </c>
      <c r="G81" s="50">
        <f t="shared" ref="G81:AL81" si="77">G78-G80</f>
        <v>-1675551.9299999899</v>
      </c>
      <c r="H81" s="202">
        <f t="shared" si="77"/>
        <v>0</v>
      </c>
      <c r="I81" s="202">
        <f t="shared" si="77"/>
        <v>0</v>
      </c>
      <c r="J81" s="56">
        <f t="shared" si="77"/>
        <v>110044.43433739353</v>
      </c>
      <c r="K81" s="54">
        <f t="shared" si="77"/>
        <v>44276.189880881328</v>
      </c>
      <c r="L81" s="50">
        <f t="shared" si="77"/>
        <v>-28923.57647283293</v>
      </c>
      <c r="M81" s="202">
        <f t="shared" si="77"/>
        <v>0</v>
      </c>
      <c r="N81" s="50">
        <f t="shared" si="77"/>
        <v>6244311.3131956439</v>
      </c>
      <c r="O81" s="56">
        <f t="shared" si="77"/>
        <v>196627.0472892508</v>
      </c>
      <c r="P81" s="54">
        <f t="shared" si="77"/>
        <v>11000080.821349347</v>
      </c>
      <c r="Q81" s="50">
        <f t="shared" si="77"/>
        <v>-152282.21898382137</v>
      </c>
      <c r="R81" s="50">
        <f t="shared" si="77"/>
        <v>-8025121</v>
      </c>
      <c r="S81" s="56">
        <f t="shared" si="77"/>
        <v>80332.525278485322</v>
      </c>
      <c r="T81" s="113">
        <f t="shared" si="77"/>
        <v>0</v>
      </c>
      <c r="U81" s="236">
        <f t="shared" si="77"/>
        <v>0</v>
      </c>
      <c r="V81" s="92">
        <f t="shared" si="77"/>
        <v>0</v>
      </c>
      <c r="W81" s="92">
        <f t="shared" si="77"/>
        <v>0</v>
      </c>
      <c r="X81" s="92">
        <f t="shared" si="77"/>
        <v>0</v>
      </c>
      <c r="Y81" s="92">
        <f t="shared" si="77"/>
        <v>-217013.20626896209</v>
      </c>
      <c r="Z81" s="92">
        <f t="shared" si="77"/>
        <v>0</v>
      </c>
      <c r="AA81" s="92">
        <f t="shared" si="77"/>
        <v>0</v>
      </c>
      <c r="AB81" s="92">
        <f t="shared" si="77"/>
        <v>0</v>
      </c>
      <c r="AC81" s="164">
        <f t="shared" si="77"/>
        <v>0</v>
      </c>
      <c r="AD81" s="236">
        <f t="shared" si="77"/>
        <v>0</v>
      </c>
      <c r="AE81" s="92">
        <f t="shared" si="77"/>
        <v>0</v>
      </c>
      <c r="AF81" s="92">
        <f t="shared" si="77"/>
        <v>-113678.77105505277</v>
      </c>
      <c r="AG81" s="92">
        <f t="shared" si="77"/>
        <v>0</v>
      </c>
      <c r="AH81" s="92">
        <f t="shared" si="77"/>
        <v>0</v>
      </c>
      <c r="AI81" s="92">
        <f t="shared" si="77"/>
        <v>469224.70163564396</v>
      </c>
      <c r="AJ81" s="92">
        <f t="shared" si="77"/>
        <v>0</v>
      </c>
      <c r="AK81" s="92">
        <f t="shared" si="77"/>
        <v>-178161.64164520008</v>
      </c>
      <c r="AL81" s="164">
        <f t="shared" si="77"/>
        <v>-34004.906666666662</v>
      </c>
      <c r="AM81" s="54">
        <f t="shared" ref="AM81:AP81" si="78">AM78-AM80</f>
        <v>-269066.49807405565</v>
      </c>
      <c r="AN81" s="50">
        <f t="shared" si="78"/>
        <v>169674.9921225</v>
      </c>
      <c r="AO81" s="50">
        <f t="shared" si="78"/>
        <v>92014.913865822877</v>
      </c>
      <c r="AP81" s="50">
        <f t="shared" si="78"/>
        <v>1812.7305329255391</v>
      </c>
      <c r="AQ81" s="50">
        <f t="shared" ref="AQ81" si="79">AQ78-AQ80</f>
        <v>-4211638.5008969298</v>
      </c>
      <c r="AR81" s="50">
        <f t="shared" ref="AR81:AS81" si="80">AR78-AR80</f>
        <v>0</v>
      </c>
      <c r="AS81" s="164">
        <f t="shared" si="80"/>
        <v>3756595.1086111031</v>
      </c>
    </row>
    <row r="82" spans="1:45">
      <c r="A82" s="96"/>
      <c r="B82" s="92">
        <f>[1]Results!D82</f>
        <v>0</v>
      </c>
      <c r="D82" s="92">
        <f t="shared" si="67"/>
        <v>0</v>
      </c>
      <c r="E82" s="60">
        <f t="shared" si="68"/>
        <v>0</v>
      </c>
      <c r="F82" s="54"/>
      <c r="G82" s="50"/>
      <c r="H82" s="202"/>
      <c r="I82" s="202"/>
      <c r="J82" s="56"/>
      <c r="K82" s="54"/>
      <c r="L82" s="50"/>
      <c r="M82" s="202"/>
      <c r="N82" s="50"/>
      <c r="O82" s="56"/>
      <c r="P82" s="54"/>
      <c r="Q82" s="50"/>
      <c r="R82" s="50"/>
      <c r="S82" s="56"/>
      <c r="T82" s="113"/>
      <c r="U82" s="236"/>
      <c r="V82" s="92"/>
      <c r="W82" s="92"/>
      <c r="X82" s="92"/>
      <c r="Y82" s="92"/>
      <c r="Z82" s="92"/>
      <c r="AA82" s="92"/>
      <c r="AB82" s="92"/>
      <c r="AC82" s="164"/>
      <c r="AD82" s="236"/>
      <c r="AE82" s="92"/>
      <c r="AF82" s="92"/>
      <c r="AG82" s="92"/>
      <c r="AH82" s="92"/>
      <c r="AI82" s="92"/>
      <c r="AJ82" s="92"/>
      <c r="AK82" s="92"/>
      <c r="AL82" s="164"/>
      <c r="AM82" s="54"/>
      <c r="AN82" s="50"/>
      <c r="AO82" s="50"/>
      <c r="AP82" s="50"/>
      <c r="AQ82" s="50"/>
      <c r="AR82" s="50"/>
      <c r="AS82" s="164"/>
    </row>
    <row r="83" spans="1:45" s="92" customFormat="1" ht="13.5" thickBot="1">
      <c r="A83" s="96" t="str">
        <f>[1]Results!B83</f>
        <v>Federal Income Taxes + Other</v>
      </c>
      <c r="B83" s="92">
        <f>[1]Results!$D$83</f>
        <v>194287.75381242129</v>
      </c>
      <c r="D83" s="97">
        <f t="shared" si="67"/>
        <v>194287.75381242135</v>
      </c>
      <c r="E83" s="60">
        <f t="shared" si="68"/>
        <v>0</v>
      </c>
      <c r="F83" s="167">
        <f t="shared" ref="F83:AL83" si="81">(F78*0.35)+F80</f>
        <v>-2346555.6309999991</v>
      </c>
      <c r="G83" s="168">
        <f t="shared" si="81"/>
        <v>-586443.1754999964</v>
      </c>
      <c r="H83" s="215">
        <f t="shared" si="81"/>
        <v>0</v>
      </c>
      <c r="I83" s="215">
        <f t="shared" si="81"/>
        <v>0</v>
      </c>
      <c r="J83" s="169">
        <f t="shared" si="81"/>
        <v>38515.552018087728</v>
      </c>
      <c r="K83" s="167">
        <f t="shared" si="81"/>
        <v>15496.666458308464</v>
      </c>
      <c r="L83" s="168">
        <f t="shared" si="81"/>
        <v>-10123.251765491525</v>
      </c>
      <c r="M83" s="215">
        <f t="shared" si="81"/>
        <v>0</v>
      </c>
      <c r="N83" s="168">
        <f t="shared" si="81"/>
        <v>2185508.9596184753</v>
      </c>
      <c r="O83" s="169">
        <f t="shared" si="81"/>
        <v>68819.466551237769</v>
      </c>
      <c r="P83" s="167">
        <f t="shared" si="81"/>
        <v>3850028.2874722714</v>
      </c>
      <c r="Q83" s="168">
        <f t="shared" si="81"/>
        <v>-53298.776644337479</v>
      </c>
      <c r="R83" s="168">
        <f t="shared" si="81"/>
        <v>-2808792.3499999996</v>
      </c>
      <c r="S83" s="169">
        <f t="shared" si="81"/>
        <v>28116.38384746986</v>
      </c>
      <c r="T83" s="170">
        <f t="shared" si="81"/>
        <v>0</v>
      </c>
      <c r="U83" s="237">
        <f t="shared" si="81"/>
        <v>0</v>
      </c>
      <c r="V83" s="97">
        <f t="shared" si="81"/>
        <v>0</v>
      </c>
      <c r="W83" s="97">
        <f t="shared" si="81"/>
        <v>0</v>
      </c>
      <c r="X83" s="97">
        <f t="shared" si="81"/>
        <v>0</v>
      </c>
      <c r="Y83" s="97">
        <f t="shared" si="81"/>
        <v>-75954.622194136726</v>
      </c>
      <c r="Z83" s="97">
        <f t="shared" si="81"/>
        <v>0</v>
      </c>
      <c r="AA83" s="97">
        <f t="shared" si="81"/>
        <v>0</v>
      </c>
      <c r="AB83" s="97">
        <f t="shared" si="81"/>
        <v>0</v>
      </c>
      <c r="AC83" s="98">
        <f t="shared" si="81"/>
        <v>0</v>
      </c>
      <c r="AD83" s="237">
        <f t="shared" si="81"/>
        <v>0</v>
      </c>
      <c r="AE83" s="97">
        <f t="shared" si="81"/>
        <v>0</v>
      </c>
      <c r="AF83" s="97">
        <f t="shared" si="81"/>
        <v>-39787.569869268467</v>
      </c>
      <c r="AG83" s="97">
        <f t="shared" si="81"/>
        <v>0</v>
      </c>
      <c r="AH83" s="97">
        <f t="shared" si="81"/>
        <v>0</v>
      </c>
      <c r="AI83" s="97">
        <f t="shared" si="81"/>
        <v>164228.64557247536</v>
      </c>
      <c r="AJ83" s="97">
        <f t="shared" si="81"/>
        <v>0</v>
      </c>
      <c r="AK83" s="97">
        <f t="shared" si="81"/>
        <v>-62356.574575820028</v>
      </c>
      <c r="AL83" s="98">
        <f t="shared" si="81"/>
        <v>-11901.71733333333</v>
      </c>
      <c r="AM83" s="167">
        <f t="shared" ref="AM83:AP83" si="82">(AM78*0.35)+AM80</f>
        <v>-94173.274325919469</v>
      </c>
      <c r="AN83" s="168">
        <f t="shared" si="82"/>
        <v>59386.247242874997</v>
      </c>
      <c r="AO83" s="168">
        <f t="shared" si="82"/>
        <v>32205.219853038005</v>
      </c>
      <c r="AP83" s="168">
        <f t="shared" si="82"/>
        <v>634.45568652393865</v>
      </c>
      <c r="AQ83" s="168">
        <f t="shared" ref="AQ83" si="83">(AQ78*0.35)+AQ80</f>
        <v>-1474073.4753139254</v>
      </c>
      <c r="AR83" s="168">
        <f t="shared" ref="AR83:AS83" si="84">(AR78*0.35)+AR80</f>
        <v>0</v>
      </c>
      <c r="AS83" s="98">
        <f t="shared" si="84"/>
        <v>1314808.288013886</v>
      </c>
    </row>
    <row r="84" spans="1:45" s="92" customFormat="1">
      <c r="A84" s="96"/>
      <c r="B84" s="76"/>
      <c r="C84" s="76"/>
      <c r="D84" s="76"/>
      <c r="E84" s="76"/>
      <c r="F84" s="76"/>
      <c r="G84" s="76"/>
      <c r="H84" s="100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</row>
    <row r="85" spans="1:45" s="92" customFormat="1">
      <c r="A85" s="96"/>
      <c r="B85" s="96"/>
      <c r="C85" s="76"/>
      <c r="D85" s="96"/>
      <c r="E85" s="76"/>
      <c r="F85" s="96"/>
      <c r="G85" s="96"/>
      <c r="H85" s="101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</row>
    <row r="86" spans="1:45" s="92" customFormat="1">
      <c r="A86" s="129"/>
      <c r="B86" s="50"/>
      <c r="C86" s="76"/>
      <c r="D86" s="50"/>
      <c r="E86" s="76"/>
      <c r="F86" s="50"/>
      <c r="G86" s="50"/>
      <c r="H86" s="99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</row>
    <row r="87" spans="1:45" s="92" customFormat="1">
      <c r="A87" s="96"/>
      <c r="B87" s="50"/>
      <c r="C87" s="76"/>
      <c r="D87" s="50"/>
      <c r="E87" s="76"/>
      <c r="F87" s="50"/>
      <c r="G87" s="50"/>
      <c r="H87" s="99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</row>
    <row r="88" spans="1:45" s="92" customFormat="1">
      <c r="A88" s="96"/>
      <c r="H88" s="31"/>
    </row>
    <row r="89" spans="1:45" s="92" customFormat="1">
      <c r="A89" s="162"/>
      <c r="H89" s="31"/>
    </row>
  </sheetData>
  <mergeCells count="1">
    <mergeCell ref="AD4:AL4"/>
  </mergeCells>
  <phoneticPr fontId="2" type="noConversion"/>
  <pageMargins left="0.75" right="0.5" top="0.5" bottom="0.5" header="0.5" footer="0.5"/>
  <pageSetup scale="58" fitToWidth="6" orientation="portrait" r:id="rId1"/>
  <headerFooter alignWithMargins="0">
    <oddHeader xml:space="preserve">&amp;L
&amp;R
</oddHeader>
  </headerFooter>
  <colBreaks count="4" manualBreakCount="4">
    <brk id="10" max="1048575" man="1"/>
    <brk id="15" max="83" man="1"/>
    <brk id="20" max="1048575" man="1"/>
    <brk id="2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B90"/>
  <sheetViews>
    <sheetView zoomScale="75" zoomScaleNormal="75" zoomScaleSheetLayoutView="85" workbookViewId="0">
      <pane ySplit="5" topLeftCell="A48" activePane="bottomLeft" state="frozen"/>
      <selection activeCell="E11" sqref="E11"/>
      <selection pane="bottomLeft" activeCell="A3" sqref="A3"/>
    </sheetView>
  </sheetViews>
  <sheetFormatPr defaultRowHeight="12.75"/>
  <cols>
    <col min="1" max="1" width="40.42578125" style="32" customWidth="1"/>
    <col min="2" max="2" width="13.5703125" style="32" customWidth="1"/>
    <col min="3" max="3" width="3.140625" style="32" customWidth="1"/>
    <col min="4" max="5" width="12.7109375" style="32" hidden="1" customWidth="1"/>
    <col min="6" max="10" width="12.7109375" style="32" customWidth="1"/>
    <col min="11" max="11" width="14" style="32" customWidth="1"/>
    <col min="12" max="12" width="12.7109375" style="32" customWidth="1"/>
    <col min="13" max="13" width="17.140625" style="32" customWidth="1"/>
    <col min="14" max="23" width="12.7109375" style="32" customWidth="1"/>
    <col min="24" max="24" width="13.7109375" style="32" bestFit="1" customWidth="1"/>
    <col min="25" max="28" width="12.7109375" style="32" customWidth="1"/>
    <col min="29" max="16384" width="9.140625" style="32"/>
  </cols>
  <sheetData>
    <row r="1" spans="1:28">
      <c r="A1" s="34" t="s">
        <v>71</v>
      </c>
    </row>
    <row r="2" spans="1:28">
      <c r="A2" s="30" t="s">
        <v>72</v>
      </c>
    </row>
    <row r="3" spans="1:28" ht="39" thickBot="1">
      <c r="A3" s="260" t="s">
        <v>124</v>
      </c>
      <c r="B3" s="92"/>
      <c r="C3" s="92"/>
      <c r="D3" s="92"/>
      <c r="K3" s="218" t="s">
        <v>119</v>
      </c>
      <c r="N3" s="218" t="s">
        <v>101</v>
      </c>
      <c r="R3" s="218" t="s">
        <v>102</v>
      </c>
      <c r="U3" s="218" t="s">
        <v>120</v>
      </c>
      <c r="V3" s="218" t="s">
        <v>121</v>
      </c>
      <c r="W3" s="218" t="s">
        <v>105</v>
      </c>
      <c r="X3" s="218" t="s">
        <v>115</v>
      </c>
      <c r="Y3" s="218" t="s">
        <v>116</v>
      </c>
      <c r="Z3" s="218" t="s">
        <v>117</v>
      </c>
      <c r="AA3" s="218" t="s">
        <v>106</v>
      </c>
      <c r="AB3" s="218" t="s">
        <v>107</v>
      </c>
    </row>
    <row r="4" spans="1:28" ht="13.5" thickBot="1">
      <c r="A4" s="34"/>
      <c r="B4" s="130"/>
      <c r="C4" s="92"/>
      <c r="D4" s="130"/>
      <c r="F4" s="131" t="s">
        <v>51</v>
      </c>
      <c r="G4" s="135"/>
      <c r="H4" s="131" t="s">
        <v>52</v>
      </c>
      <c r="I4" s="133"/>
      <c r="J4" s="134"/>
      <c r="K4" s="131" t="s">
        <v>53</v>
      </c>
      <c r="L4" s="135"/>
      <c r="M4" s="136" t="s">
        <v>49</v>
      </c>
      <c r="N4" s="131" t="s">
        <v>54</v>
      </c>
      <c r="O4" s="132"/>
      <c r="P4" s="132"/>
      <c r="Q4" s="135"/>
      <c r="R4" s="131" t="s">
        <v>55</v>
      </c>
      <c r="S4" s="133"/>
      <c r="T4" s="134"/>
      <c r="U4" s="131" t="s">
        <v>76</v>
      </c>
      <c r="V4" s="134"/>
      <c r="W4" s="131" t="s">
        <v>81</v>
      </c>
      <c r="X4" s="133"/>
      <c r="Y4" s="133"/>
      <c r="Z4" s="133"/>
      <c r="AA4" s="133"/>
      <c r="AB4" s="134"/>
    </row>
    <row r="5" spans="1:28">
      <c r="B5" s="41"/>
      <c r="C5" s="42"/>
      <c r="D5" s="41"/>
      <c r="E5" s="42"/>
      <c r="F5" s="43" t="s">
        <v>3</v>
      </c>
      <c r="G5" s="44" t="s">
        <v>8</v>
      </c>
      <c r="H5" s="43" t="s">
        <v>10</v>
      </c>
      <c r="I5" s="41" t="s">
        <v>11</v>
      </c>
      <c r="J5" s="44" t="s">
        <v>62</v>
      </c>
      <c r="K5" s="220" t="s">
        <v>69</v>
      </c>
      <c r="L5" s="44" t="s">
        <v>61</v>
      </c>
      <c r="M5" s="111" t="s">
        <v>16</v>
      </c>
      <c r="N5" s="220" t="s">
        <v>17</v>
      </c>
      <c r="O5" s="41" t="s">
        <v>19</v>
      </c>
      <c r="P5" s="41" t="s">
        <v>21</v>
      </c>
      <c r="Q5" s="44" t="s">
        <v>26</v>
      </c>
      <c r="R5" s="220" t="s">
        <v>27</v>
      </c>
      <c r="S5" s="41" t="s">
        <v>33</v>
      </c>
      <c r="T5" s="44" t="s">
        <v>36</v>
      </c>
      <c r="U5" s="43" t="s">
        <v>37</v>
      </c>
      <c r="V5" s="44" t="s">
        <v>70</v>
      </c>
      <c r="W5" s="43" t="s">
        <v>87</v>
      </c>
      <c r="X5" s="41" t="s">
        <v>89</v>
      </c>
      <c r="Y5" s="41" t="s">
        <v>90</v>
      </c>
      <c r="Z5" s="41" t="s">
        <v>118</v>
      </c>
      <c r="AA5" s="41" t="s">
        <v>96</v>
      </c>
      <c r="AB5" s="198" t="s">
        <v>108</v>
      </c>
    </row>
    <row r="6" spans="1:28" s="34" customFormat="1" ht="63" customHeight="1">
      <c r="B6" s="137" t="s">
        <v>56</v>
      </c>
      <c r="C6" s="46"/>
      <c r="D6" s="137" t="s">
        <v>5</v>
      </c>
      <c r="E6" s="46" t="s">
        <v>6</v>
      </c>
      <c r="F6" s="138" t="str">
        <f>[1]REV!$B$129</f>
        <v>Effective Price Change</v>
      </c>
      <c r="G6" s="139" t="str">
        <f>[1]REV!$B$315</f>
        <v>Wheeling Revenue Adjustment</v>
      </c>
      <c r="H6" s="138" t="str">
        <f>[1]OM!$B$129</f>
        <v xml:space="preserve">Proforma General Wage Increase </v>
      </c>
      <c r="I6" s="137" t="str">
        <f>[1]OM!$B$191</f>
        <v>Pension Curtailment</v>
      </c>
      <c r="J6" s="139" t="str">
        <f>[1]OM!$B$439</f>
        <v>Remove MEHC Severance</v>
      </c>
      <c r="K6" s="241" t="s">
        <v>109</v>
      </c>
      <c r="L6" s="139" t="str">
        <f>[1]NPC!$B$377</f>
        <v>James River Royalty Offset</v>
      </c>
      <c r="M6" s="140" t="str">
        <f>[1]DEPR!$B$129</f>
        <v>Hydro Decommissioning</v>
      </c>
      <c r="N6" s="259" t="s">
        <v>111</v>
      </c>
      <c r="O6" s="141" t="str">
        <f>[1]TAX!$B$129</f>
        <v>Renewable Energy Tax Credit</v>
      </c>
      <c r="P6" s="137" t="str">
        <f>[1]TAX!$B$377</f>
        <v>Public Utility Tax Adjustment</v>
      </c>
      <c r="Q6" s="139" t="str">
        <f>[1]TAX!$B$811</f>
        <v>WA Low Income Tax Credit</v>
      </c>
      <c r="R6" s="241" t="s">
        <v>110</v>
      </c>
      <c r="S6" s="137" t="str">
        <f>[1]RB!$B$377</f>
        <v>Powerdale Hydro Removal</v>
      </c>
      <c r="T6" s="139" t="str">
        <f>[1]RB!$B$563</f>
        <v>Chehalis Reg Asset - WA</v>
      </c>
      <c r="U6" s="241" t="s">
        <v>112</v>
      </c>
      <c r="V6" s="242" t="s">
        <v>113</v>
      </c>
      <c r="W6" s="138" t="s">
        <v>94</v>
      </c>
      <c r="X6" s="137" t="s">
        <v>95</v>
      </c>
      <c r="Y6" s="137" t="s">
        <v>112</v>
      </c>
      <c r="Z6" s="137" t="s">
        <v>113</v>
      </c>
      <c r="AA6" s="45" t="s">
        <v>92</v>
      </c>
      <c r="AB6" s="48" t="s">
        <v>91</v>
      </c>
    </row>
    <row r="7" spans="1:28">
      <c r="A7" s="92"/>
      <c r="B7" s="50"/>
      <c r="C7" s="51"/>
      <c r="D7" s="50"/>
      <c r="E7" s="51"/>
      <c r="F7" s="54"/>
      <c r="G7" s="56"/>
      <c r="H7" s="55"/>
      <c r="I7" s="50"/>
      <c r="J7" s="57"/>
      <c r="K7" s="222"/>
      <c r="L7" s="56"/>
      <c r="M7" s="113"/>
      <c r="N7" s="222"/>
      <c r="O7" s="53"/>
      <c r="P7" s="50"/>
      <c r="Q7" s="56"/>
      <c r="R7" s="223"/>
      <c r="S7" s="50"/>
      <c r="T7" s="57"/>
      <c r="U7" s="223"/>
      <c r="V7" s="243"/>
      <c r="W7" s="54"/>
      <c r="X7" s="50"/>
      <c r="Y7" s="50"/>
      <c r="Z7" s="50"/>
      <c r="AA7" s="50"/>
      <c r="AB7" s="57"/>
    </row>
    <row r="8" spans="1:28">
      <c r="A8" s="96" t="str">
        <f>[1]Results!B10</f>
        <v xml:space="preserve">   Operating Revenues:</v>
      </c>
      <c r="B8" s="50"/>
      <c r="C8" s="58"/>
      <c r="D8" s="50"/>
      <c r="E8" s="58"/>
      <c r="F8" s="54"/>
      <c r="G8" s="56"/>
      <c r="H8" s="54"/>
      <c r="I8" s="50"/>
      <c r="J8" s="56"/>
      <c r="K8" s="223"/>
      <c r="L8" s="56"/>
      <c r="M8" s="113"/>
      <c r="N8" s="223"/>
      <c r="O8" s="50"/>
      <c r="P8" s="50"/>
      <c r="Q8" s="56"/>
      <c r="R8" s="223"/>
      <c r="S8" s="50"/>
      <c r="T8" s="56"/>
      <c r="U8" s="223"/>
      <c r="V8" s="244"/>
      <c r="W8" s="54"/>
      <c r="X8" s="50"/>
      <c r="Y8" s="50"/>
      <c r="Z8" s="50"/>
      <c r="AA8" s="50"/>
      <c r="AB8" s="56"/>
    </row>
    <row r="9" spans="1:28">
      <c r="A9" s="96" t="str">
        <f>[1]Results!B11</f>
        <v>General Business Revenues</v>
      </c>
      <c r="B9" s="59">
        <f>[1]Results!H11</f>
        <v>12402155.109999999</v>
      </c>
      <c r="C9" s="58"/>
      <c r="D9" s="59">
        <f>SUM(F9:AB9)</f>
        <v>12402155.109999999</v>
      </c>
      <c r="E9" s="60">
        <f>B9-D9</f>
        <v>0</v>
      </c>
      <c r="F9" s="62">
        <f>[1]REV!$I$141</f>
        <v>12402155.109999999</v>
      </c>
      <c r="G9" s="65">
        <v>0</v>
      </c>
      <c r="H9" s="61">
        <v>0</v>
      </c>
      <c r="I9" s="59">
        <v>0</v>
      </c>
      <c r="J9" s="65">
        <v>0</v>
      </c>
      <c r="K9" s="224">
        <v>0</v>
      </c>
      <c r="L9" s="64">
        <v>0</v>
      </c>
      <c r="M9" s="114">
        <v>0</v>
      </c>
      <c r="N9" s="224">
        <v>0</v>
      </c>
      <c r="O9" s="63">
        <v>0</v>
      </c>
      <c r="P9" s="63">
        <v>0</v>
      </c>
      <c r="Q9" s="64">
        <v>0</v>
      </c>
      <c r="R9" s="226">
        <v>0</v>
      </c>
      <c r="S9" s="59">
        <v>0</v>
      </c>
      <c r="T9" s="65">
        <v>0</v>
      </c>
      <c r="U9" s="226">
        <v>0</v>
      </c>
      <c r="V9" s="245">
        <v>0</v>
      </c>
      <c r="W9" s="62"/>
      <c r="X9" s="59">
        <v>0</v>
      </c>
      <c r="Y9" s="59">
        <v>0</v>
      </c>
      <c r="Z9" s="59">
        <v>0</v>
      </c>
      <c r="AA9" s="59">
        <v>0</v>
      </c>
      <c r="AB9" s="65">
        <v>0</v>
      </c>
    </row>
    <row r="10" spans="1:28">
      <c r="A10" s="96" t="str">
        <f>[1]Results!B12</f>
        <v>Interdepartmental</v>
      </c>
      <c r="B10" s="63">
        <f>[1]Results!H12</f>
        <v>0</v>
      </c>
      <c r="C10" s="58"/>
      <c r="D10" s="63">
        <f t="shared" ref="D10:D73" si="0">SUM(F10:AB10)</f>
        <v>0</v>
      </c>
      <c r="E10" s="60">
        <f t="shared" ref="E10:E64" si="1">B10-D10</f>
        <v>0</v>
      </c>
      <c r="F10" s="61">
        <v>0</v>
      </c>
      <c r="G10" s="64">
        <v>0</v>
      </c>
      <c r="H10" s="61">
        <v>0</v>
      </c>
      <c r="I10" s="63">
        <v>0</v>
      </c>
      <c r="J10" s="64">
        <v>0</v>
      </c>
      <c r="K10" s="224">
        <v>0</v>
      </c>
      <c r="L10" s="64">
        <v>0</v>
      </c>
      <c r="M10" s="114">
        <v>0</v>
      </c>
      <c r="N10" s="224">
        <v>0</v>
      </c>
      <c r="O10" s="63">
        <v>0</v>
      </c>
      <c r="P10" s="63">
        <v>0</v>
      </c>
      <c r="Q10" s="64">
        <v>0</v>
      </c>
      <c r="R10" s="224">
        <v>0</v>
      </c>
      <c r="S10" s="63">
        <v>0</v>
      </c>
      <c r="T10" s="65">
        <v>0</v>
      </c>
      <c r="U10" s="224">
        <v>0</v>
      </c>
      <c r="V10" s="245">
        <v>0</v>
      </c>
      <c r="W10" s="61"/>
      <c r="X10" s="63">
        <v>0</v>
      </c>
      <c r="Y10" s="63">
        <v>0</v>
      </c>
      <c r="Z10" s="63">
        <v>0</v>
      </c>
      <c r="AA10" s="63">
        <v>0</v>
      </c>
      <c r="AB10" s="65">
        <v>0</v>
      </c>
    </row>
    <row r="11" spans="1:28">
      <c r="A11" s="96" t="str">
        <f>[1]Results!B13</f>
        <v>Special Sales</v>
      </c>
      <c r="B11" s="63">
        <f>[1]Results!H13</f>
        <v>-46215933.386372209</v>
      </c>
      <c r="C11" s="58"/>
      <c r="D11" s="63">
        <f t="shared" si="0"/>
        <v>-46215933.386372209</v>
      </c>
      <c r="E11" s="60">
        <f t="shared" si="1"/>
        <v>0</v>
      </c>
      <c r="F11" s="61">
        <v>0</v>
      </c>
      <c r="G11" s="64">
        <v>0</v>
      </c>
      <c r="H11" s="61">
        <v>0</v>
      </c>
      <c r="I11" s="63">
        <v>0</v>
      </c>
      <c r="J11" s="64">
        <v>0</v>
      </c>
      <c r="K11" s="224">
        <v>0</v>
      </c>
      <c r="L11" s="64">
        <v>0</v>
      </c>
      <c r="M11" s="114">
        <v>0</v>
      </c>
      <c r="N11" s="224">
        <v>0</v>
      </c>
      <c r="O11" s="63">
        <v>0</v>
      </c>
      <c r="P11" s="63">
        <v>0</v>
      </c>
      <c r="Q11" s="64">
        <v>0</v>
      </c>
      <c r="R11" s="224">
        <v>0</v>
      </c>
      <c r="S11" s="63">
        <v>0</v>
      </c>
      <c r="T11" s="65">
        <v>0</v>
      </c>
      <c r="U11" s="224">
        <v>0</v>
      </c>
      <c r="V11" s="245">
        <v>0</v>
      </c>
      <c r="W11" s="61"/>
      <c r="X11" s="63">
        <f>[1]NPC!$I$200</f>
        <v>-46151633.162128016</v>
      </c>
      <c r="Y11" s="63">
        <v>0</v>
      </c>
      <c r="Z11" s="63">
        <f>[1]ContractChange!$I$75</f>
        <v>-64300.224244192235</v>
      </c>
      <c r="AA11" s="63">
        <v>0</v>
      </c>
      <c r="AB11" s="65">
        <v>0</v>
      </c>
    </row>
    <row r="12" spans="1:28">
      <c r="A12" s="96" t="str">
        <f>[1]Results!B14</f>
        <v>Other Operating Revenues</v>
      </c>
      <c r="B12" s="63">
        <f>[1]Results!H14</f>
        <v>2935061.5718090204</v>
      </c>
      <c r="C12" s="58"/>
      <c r="D12" s="63">
        <f t="shared" si="0"/>
        <v>2935061.5718090199</v>
      </c>
      <c r="E12" s="60">
        <f t="shared" si="1"/>
        <v>0</v>
      </c>
      <c r="F12" s="61">
        <v>0</v>
      </c>
      <c r="G12" s="64">
        <f>[1]REV!$I$323</f>
        <v>-17062.670165353691</v>
      </c>
      <c r="H12" s="61">
        <v>0</v>
      </c>
      <c r="I12" s="63">
        <v>0</v>
      </c>
      <c r="J12" s="64">
        <v>0</v>
      </c>
      <c r="K12" s="224">
        <v>0</v>
      </c>
      <c r="L12" s="64">
        <f>[1]NPC!$I$383</f>
        <v>1178569.3667911782</v>
      </c>
      <c r="M12" s="114">
        <v>0</v>
      </c>
      <c r="N12" s="224">
        <v>0</v>
      </c>
      <c r="O12" s="63">
        <v>0</v>
      </c>
      <c r="P12" s="63">
        <v>0</v>
      </c>
      <c r="Q12" s="64">
        <v>0</v>
      </c>
      <c r="R12" s="224">
        <v>0</v>
      </c>
      <c r="S12" s="63">
        <v>0</v>
      </c>
      <c r="T12" s="65">
        <f>[1]RB!$I$569</f>
        <v>-3000000</v>
      </c>
      <c r="U12" s="224">
        <v>0</v>
      </c>
      <c r="V12" s="245">
        <f>[1]ContractChange!$I$85+[1]ContractChange!$I$95</f>
        <v>0</v>
      </c>
      <c r="W12" s="61">
        <f>[1]REV!$I$261</f>
        <v>4784094.8380285027</v>
      </c>
      <c r="X12" s="63">
        <v>0</v>
      </c>
      <c r="Y12" s="63">
        <v>0</v>
      </c>
      <c r="Z12" s="63">
        <f>[1]ContractChange!$I$102+[1]ContractChange!$I$86</f>
        <v>-10539.962845307205</v>
      </c>
      <c r="AA12" s="63">
        <v>0</v>
      </c>
      <c r="AB12" s="65">
        <v>0</v>
      </c>
    </row>
    <row r="13" spans="1:28">
      <c r="A13" s="96" t="str">
        <f>[1]Results!B15</f>
        <v xml:space="preserve">   Total Operating Revenues</v>
      </c>
      <c r="B13" s="66">
        <f>[1]Results!H15</f>
        <v>-30878716.704563189</v>
      </c>
      <c r="C13" s="142"/>
      <c r="D13" s="66">
        <f t="shared" si="0"/>
        <v>-30878716.704563189</v>
      </c>
      <c r="E13" s="67">
        <f t="shared" si="1"/>
        <v>0</v>
      </c>
      <c r="F13" s="68">
        <f t="shared" ref="F13:U13" si="2">SUM(F9:F12)</f>
        <v>12402155.109999999</v>
      </c>
      <c r="G13" s="69">
        <f t="shared" si="2"/>
        <v>-17062.670165353691</v>
      </c>
      <c r="H13" s="68">
        <f t="shared" si="2"/>
        <v>0</v>
      </c>
      <c r="I13" s="66">
        <f t="shared" si="2"/>
        <v>0</v>
      </c>
      <c r="J13" s="69">
        <f t="shared" si="2"/>
        <v>0</v>
      </c>
      <c r="K13" s="225">
        <f t="shared" si="2"/>
        <v>0</v>
      </c>
      <c r="L13" s="69">
        <f t="shared" si="2"/>
        <v>1178569.3667911782</v>
      </c>
      <c r="M13" s="115">
        <f t="shared" si="2"/>
        <v>0</v>
      </c>
      <c r="N13" s="225">
        <f t="shared" si="2"/>
        <v>0</v>
      </c>
      <c r="O13" s="66">
        <f t="shared" si="2"/>
        <v>0</v>
      </c>
      <c r="P13" s="66">
        <f t="shared" si="2"/>
        <v>0</v>
      </c>
      <c r="Q13" s="69">
        <f t="shared" si="2"/>
        <v>0</v>
      </c>
      <c r="R13" s="225">
        <f t="shared" si="2"/>
        <v>0</v>
      </c>
      <c r="S13" s="66">
        <f t="shared" si="2"/>
        <v>0</v>
      </c>
      <c r="T13" s="69">
        <f t="shared" si="2"/>
        <v>-3000000</v>
      </c>
      <c r="U13" s="225">
        <f t="shared" si="2"/>
        <v>0</v>
      </c>
      <c r="V13" s="246">
        <f>SUM(V9:V12)</f>
        <v>0</v>
      </c>
      <c r="W13" s="68">
        <f t="shared" ref="W13" si="3">SUM(W9:W12)</f>
        <v>4784094.8380285027</v>
      </c>
      <c r="X13" s="66">
        <f t="shared" ref="X13:Y13" si="4">SUM(X9:X12)</f>
        <v>-46151633.162128016</v>
      </c>
      <c r="Y13" s="66">
        <f t="shared" si="4"/>
        <v>0</v>
      </c>
      <c r="Z13" s="66">
        <f>SUM(Z9:Z12)</f>
        <v>-74840.187089499435</v>
      </c>
      <c r="AA13" s="66">
        <f t="shared" ref="AA13" si="5">SUM(AA9:AA12)</f>
        <v>0</v>
      </c>
      <c r="AB13" s="69">
        <f t="shared" ref="AB13" si="6">SUM(AB9:AB12)</f>
        <v>0</v>
      </c>
    </row>
    <row r="14" spans="1:28">
      <c r="A14" s="96"/>
      <c r="B14" s="50">
        <f>[1]Results!H16</f>
        <v>0</v>
      </c>
      <c r="C14" s="58"/>
      <c r="D14" s="50">
        <f t="shared" si="0"/>
        <v>0</v>
      </c>
      <c r="E14" s="60"/>
      <c r="F14" s="54"/>
      <c r="G14" s="56"/>
      <c r="H14" s="54"/>
      <c r="I14" s="50"/>
      <c r="J14" s="56"/>
      <c r="K14" s="223"/>
      <c r="L14" s="56"/>
      <c r="M14" s="113"/>
      <c r="N14" s="223"/>
      <c r="O14" s="50"/>
      <c r="P14" s="50"/>
      <c r="Q14" s="56"/>
      <c r="R14" s="223"/>
      <c r="S14" s="50"/>
      <c r="T14" s="56"/>
      <c r="U14" s="223"/>
      <c r="V14" s="244"/>
      <c r="W14" s="54"/>
      <c r="X14" s="50"/>
      <c r="Y14" s="50"/>
      <c r="Z14" s="50"/>
      <c r="AA14" s="50"/>
      <c r="AB14" s="56"/>
    </row>
    <row r="15" spans="1:28">
      <c r="A15" s="96" t="str">
        <f>[1]Results!B17</f>
        <v xml:space="preserve">   Operating Expenses:</v>
      </c>
      <c r="B15" s="50">
        <f>[1]Results!H17</f>
        <v>0</v>
      </c>
      <c r="C15" s="58"/>
      <c r="D15" s="50">
        <f t="shared" si="0"/>
        <v>0</v>
      </c>
      <c r="E15" s="60"/>
      <c r="F15" s="54"/>
      <c r="G15" s="56"/>
      <c r="H15" s="54"/>
      <c r="I15" s="50"/>
      <c r="J15" s="56"/>
      <c r="K15" s="223"/>
      <c r="L15" s="56"/>
      <c r="M15" s="113"/>
      <c r="N15" s="226"/>
      <c r="O15" s="50"/>
      <c r="P15" s="50"/>
      <c r="Q15" s="56"/>
      <c r="R15" s="223"/>
      <c r="S15" s="50"/>
      <c r="T15" s="56"/>
      <c r="U15" s="223"/>
      <c r="V15" s="244"/>
      <c r="W15" s="54"/>
      <c r="X15" s="50"/>
      <c r="Y15" s="50"/>
      <c r="Z15" s="50"/>
      <c r="AA15" s="50"/>
      <c r="AB15" s="56"/>
    </row>
    <row r="16" spans="1:28">
      <c r="A16" s="96" t="str">
        <f>[1]Results!B18</f>
        <v>Steam Production</v>
      </c>
      <c r="B16" s="63">
        <f>[1]Results!H18</f>
        <v>3866911.1401345846</v>
      </c>
      <c r="C16" s="58"/>
      <c r="D16" s="63">
        <f t="shared" si="0"/>
        <v>3866911.1401345846</v>
      </c>
      <c r="E16" s="60">
        <f t="shared" si="1"/>
        <v>0</v>
      </c>
      <c r="F16" s="61">
        <v>0</v>
      </c>
      <c r="G16" s="64">
        <v>0</v>
      </c>
      <c r="H16" s="61">
        <f>SUM([1]OM!$I$135:$I$145)</f>
        <v>59054.702015338407</v>
      </c>
      <c r="I16" s="63">
        <v>0</v>
      </c>
      <c r="J16" s="64">
        <v>0</v>
      </c>
      <c r="K16" s="224">
        <v>0</v>
      </c>
      <c r="L16" s="64">
        <v>0</v>
      </c>
      <c r="M16" s="114">
        <v>0</v>
      </c>
      <c r="N16" s="224">
        <v>0</v>
      </c>
      <c r="O16" s="63">
        <v>0</v>
      </c>
      <c r="P16" s="63">
        <v>0</v>
      </c>
      <c r="Q16" s="64">
        <v>0</v>
      </c>
      <c r="R16" s="224">
        <v>0</v>
      </c>
      <c r="S16" s="63">
        <v>0</v>
      </c>
      <c r="T16" s="65">
        <v>0</v>
      </c>
      <c r="U16" s="224">
        <v>0</v>
      </c>
      <c r="V16" s="245">
        <v>0</v>
      </c>
      <c r="W16" s="61"/>
      <c r="X16" s="63">
        <f>[1]NPC!$I$218</f>
        <v>3898053.4118813579</v>
      </c>
      <c r="Y16" s="63">
        <f>SUM([1]ContractChange!$I$31:$I$36)</f>
        <v>-22243.143699252778</v>
      </c>
      <c r="Z16" s="63">
        <f>[1]ContractChange!$I$81</f>
        <v>-67953.83006285876</v>
      </c>
      <c r="AA16" s="63">
        <v>0</v>
      </c>
      <c r="AB16" s="65">
        <v>0</v>
      </c>
    </row>
    <row r="17" spans="1:28">
      <c r="A17" s="96" t="str">
        <f>[1]Results!B19</f>
        <v>Nuclear Production</v>
      </c>
      <c r="B17" s="63">
        <f>[1]Results!H19</f>
        <v>0</v>
      </c>
      <c r="C17" s="58"/>
      <c r="D17" s="63">
        <f t="shared" si="0"/>
        <v>0</v>
      </c>
      <c r="E17" s="60">
        <f t="shared" si="1"/>
        <v>0</v>
      </c>
      <c r="F17" s="61">
        <v>0</v>
      </c>
      <c r="G17" s="64">
        <v>0</v>
      </c>
      <c r="H17" s="61">
        <v>0</v>
      </c>
      <c r="I17" s="63">
        <v>0</v>
      </c>
      <c r="J17" s="64">
        <v>0</v>
      </c>
      <c r="K17" s="224">
        <v>0</v>
      </c>
      <c r="L17" s="64">
        <v>0</v>
      </c>
      <c r="M17" s="114">
        <v>0</v>
      </c>
      <c r="N17" s="224">
        <v>0</v>
      </c>
      <c r="O17" s="63">
        <v>0</v>
      </c>
      <c r="P17" s="63">
        <v>0</v>
      </c>
      <c r="Q17" s="64">
        <v>0</v>
      </c>
      <c r="R17" s="224">
        <v>0</v>
      </c>
      <c r="S17" s="63">
        <v>0</v>
      </c>
      <c r="T17" s="65">
        <v>0</v>
      </c>
      <c r="U17" s="236">
        <v>0</v>
      </c>
      <c r="V17" s="245">
        <v>0</v>
      </c>
      <c r="W17" s="61"/>
      <c r="X17" s="63">
        <v>0</v>
      </c>
      <c r="Y17" s="63">
        <v>0</v>
      </c>
      <c r="Z17" s="63">
        <v>0</v>
      </c>
      <c r="AA17" s="63">
        <v>0</v>
      </c>
      <c r="AB17" s="65">
        <v>0</v>
      </c>
    </row>
    <row r="18" spans="1:28">
      <c r="A18" s="96" t="str">
        <f>[1]Results!B20</f>
        <v>Hydro Production</v>
      </c>
      <c r="B18" s="63">
        <f>[1]Results!H20</f>
        <v>14128.087987025521</v>
      </c>
      <c r="C18" s="58"/>
      <c r="D18" s="63">
        <f t="shared" si="0"/>
        <v>14128.087987025521</v>
      </c>
      <c r="E18" s="60">
        <f t="shared" si="1"/>
        <v>0</v>
      </c>
      <c r="F18" s="61">
        <v>0</v>
      </c>
      <c r="G18" s="64">
        <v>0</v>
      </c>
      <c r="H18" s="61">
        <f>SUM([1]OM!$I$146:$I$149)</f>
        <v>25399.398190712527</v>
      </c>
      <c r="I18" s="63">
        <v>0</v>
      </c>
      <c r="J18" s="64">
        <v>0</v>
      </c>
      <c r="K18" s="224">
        <v>0</v>
      </c>
      <c r="L18" s="64">
        <v>0</v>
      </c>
      <c r="M18" s="114">
        <v>0</v>
      </c>
      <c r="N18" s="224">
        <v>0</v>
      </c>
      <c r="O18" s="63">
        <v>0</v>
      </c>
      <c r="P18" s="63">
        <v>0</v>
      </c>
      <c r="Q18" s="64">
        <v>0</v>
      </c>
      <c r="R18" s="224">
        <v>0</v>
      </c>
      <c r="S18" s="63">
        <v>0</v>
      </c>
      <c r="T18" s="65">
        <v>0</v>
      </c>
      <c r="U18" s="224">
        <v>0</v>
      </c>
      <c r="V18" s="245">
        <v>0</v>
      </c>
      <c r="W18" s="61"/>
      <c r="X18" s="63">
        <v>0</v>
      </c>
      <c r="Y18" s="63">
        <f>[1]ContractChange!$I$37</f>
        <v>-11271.310203687006</v>
      </c>
      <c r="Z18" s="63">
        <v>0</v>
      </c>
      <c r="AA18" s="63">
        <v>0</v>
      </c>
      <c r="AB18" s="65">
        <v>0</v>
      </c>
    </row>
    <row r="19" spans="1:28">
      <c r="A19" s="96" t="str">
        <f>[1]Results!B21</f>
        <v>Other Power Supply</v>
      </c>
      <c r="B19" s="63">
        <f>[1]Results!H21</f>
        <v>-19481406.007589854</v>
      </c>
      <c r="C19" s="58"/>
      <c r="D19" s="63">
        <f t="shared" si="0"/>
        <v>-19481406.007589854</v>
      </c>
      <c r="E19" s="60">
        <f t="shared" si="1"/>
        <v>0</v>
      </c>
      <c r="F19" s="61">
        <v>0</v>
      </c>
      <c r="G19" s="64">
        <v>0</v>
      </c>
      <c r="H19" s="61">
        <f>SUM([1]OM!$I$150:$I$158)</f>
        <v>30949.259530558389</v>
      </c>
      <c r="I19" s="63">
        <v>0</v>
      </c>
      <c r="J19" s="64">
        <v>0</v>
      </c>
      <c r="K19" s="224">
        <v>0</v>
      </c>
      <c r="L19" s="64">
        <v>0</v>
      </c>
      <c r="M19" s="114">
        <v>0</v>
      </c>
      <c r="N19" s="224">
        <v>0</v>
      </c>
      <c r="O19" s="63">
        <v>0</v>
      </c>
      <c r="P19" s="63">
        <v>0</v>
      </c>
      <c r="Q19" s="64">
        <v>0</v>
      </c>
      <c r="R19" s="224">
        <v>0</v>
      </c>
      <c r="S19" s="63">
        <v>0</v>
      </c>
      <c r="T19" s="65">
        <v>0</v>
      </c>
      <c r="U19" s="224">
        <v>0</v>
      </c>
      <c r="V19" s="245">
        <v>0</v>
      </c>
      <c r="W19" s="61"/>
      <c r="X19" s="63">
        <f>SUM([1]NPC!$I$209,[1]NPC!$I$219)</f>
        <v>-19321054.966561835</v>
      </c>
      <c r="Y19" s="63">
        <f>SUM([1]ContractChange!$I$38:$I$44)</f>
        <v>-15101.892281994207</v>
      </c>
      <c r="Z19" s="63">
        <f>SUM([1]ContractChange!$I$76:$I$78,[1]ContractChange!$I$82)</f>
        <v>-176198.4082765826</v>
      </c>
      <c r="AA19" s="63">
        <v>0</v>
      </c>
      <c r="AB19" s="65">
        <v>0</v>
      </c>
    </row>
    <row r="20" spans="1:28">
      <c r="A20" s="96" t="str">
        <f>[1]Results!B22</f>
        <v>Transmission</v>
      </c>
      <c r="B20" s="63">
        <f>[1]Results!H22</f>
        <v>4020309.1765103331</v>
      </c>
      <c r="C20" s="58"/>
      <c r="D20" s="63">
        <f t="shared" si="0"/>
        <v>4020309.1765103331</v>
      </c>
      <c r="E20" s="60">
        <f t="shared" si="1"/>
        <v>0</v>
      </c>
      <c r="F20" s="61">
        <v>0</v>
      </c>
      <c r="G20" s="64">
        <v>0</v>
      </c>
      <c r="H20" s="61">
        <f>SUM([1]OM!$I$159:$I$166)</f>
        <v>21961.872203814237</v>
      </c>
      <c r="I20" s="63">
        <v>0</v>
      </c>
      <c r="J20" s="64">
        <v>0</v>
      </c>
      <c r="K20" s="224">
        <v>0</v>
      </c>
      <c r="L20" s="64">
        <v>0</v>
      </c>
      <c r="M20" s="114">
        <v>0</v>
      </c>
      <c r="N20" s="224">
        <v>0</v>
      </c>
      <c r="O20" s="63">
        <v>0</v>
      </c>
      <c r="P20" s="63">
        <v>0</v>
      </c>
      <c r="Q20" s="64">
        <v>0</v>
      </c>
      <c r="R20" s="224">
        <v>0</v>
      </c>
      <c r="S20" s="63">
        <v>0</v>
      </c>
      <c r="T20" s="65">
        <v>0</v>
      </c>
      <c r="U20" s="224">
        <v>0</v>
      </c>
      <c r="V20" s="245">
        <v>0</v>
      </c>
      <c r="W20" s="61"/>
      <c r="X20" s="63">
        <f>[1]NPC!$I$215</f>
        <v>4041591.9433055972</v>
      </c>
      <c r="Y20" s="63">
        <v>0</v>
      </c>
      <c r="Z20" s="63">
        <f>[1]ContractChange!$I$79+[1]ContractChange!$I$80</f>
        <v>-43244.638999078306</v>
      </c>
      <c r="AA20" s="63">
        <v>0</v>
      </c>
      <c r="AB20" s="65">
        <v>0</v>
      </c>
    </row>
    <row r="21" spans="1:28">
      <c r="A21" s="96" t="str">
        <f>[1]Results!B23</f>
        <v>Distribution</v>
      </c>
      <c r="B21" s="63">
        <f>[1]Results!H23</f>
        <v>91505.452370337007</v>
      </c>
      <c r="C21" s="58"/>
      <c r="D21" s="63">
        <f t="shared" si="0"/>
        <v>91505.452370337007</v>
      </c>
      <c r="E21" s="60">
        <f t="shared" si="1"/>
        <v>0</v>
      </c>
      <c r="F21" s="61">
        <v>0</v>
      </c>
      <c r="G21" s="64">
        <v>0</v>
      </c>
      <c r="H21" s="61">
        <f>SUM([1]OM!$I$167:$I$170)</f>
        <v>91505.452370337007</v>
      </c>
      <c r="I21" s="63">
        <v>0</v>
      </c>
      <c r="J21" s="64">
        <v>0</v>
      </c>
      <c r="K21" s="224">
        <v>0</v>
      </c>
      <c r="L21" s="64">
        <v>0</v>
      </c>
      <c r="M21" s="114">
        <v>0</v>
      </c>
      <c r="N21" s="224">
        <v>0</v>
      </c>
      <c r="O21" s="63">
        <v>0</v>
      </c>
      <c r="P21" s="63">
        <v>0</v>
      </c>
      <c r="Q21" s="64">
        <v>0</v>
      </c>
      <c r="R21" s="224">
        <v>0</v>
      </c>
      <c r="S21" s="63">
        <v>0</v>
      </c>
      <c r="T21" s="65">
        <v>0</v>
      </c>
      <c r="U21" s="224">
        <v>0</v>
      </c>
      <c r="V21" s="245">
        <v>0</v>
      </c>
      <c r="W21" s="61"/>
      <c r="X21" s="63">
        <v>0</v>
      </c>
      <c r="Y21" s="63">
        <v>0</v>
      </c>
      <c r="Z21" s="63">
        <v>0</v>
      </c>
      <c r="AA21" s="63">
        <v>0</v>
      </c>
      <c r="AB21" s="65">
        <v>0</v>
      </c>
    </row>
    <row r="22" spans="1:28">
      <c r="A22" s="96" t="str">
        <f>[1]Results!B24</f>
        <v>Customer Accounting</v>
      </c>
      <c r="B22" s="63">
        <f>[1]Results!H24</f>
        <v>57733.388162278228</v>
      </c>
      <c r="C22" s="58"/>
      <c r="D22" s="63">
        <f t="shared" si="0"/>
        <v>57733.388162278228</v>
      </c>
      <c r="E22" s="60">
        <f t="shared" si="1"/>
        <v>0</v>
      </c>
      <c r="F22" s="61">
        <v>0</v>
      </c>
      <c r="G22" s="64">
        <v>0</v>
      </c>
      <c r="H22" s="61">
        <f>[1]OM!$I$171+[1]OM!$I$172</f>
        <v>57733.388162278228</v>
      </c>
      <c r="I22" s="63">
        <v>0</v>
      </c>
      <c r="J22" s="64">
        <v>0</v>
      </c>
      <c r="K22" s="224">
        <v>0</v>
      </c>
      <c r="L22" s="64">
        <v>0</v>
      </c>
      <c r="M22" s="114">
        <v>0</v>
      </c>
      <c r="N22" s="224">
        <v>0</v>
      </c>
      <c r="O22" s="63">
        <v>0</v>
      </c>
      <c r="P22" s="63">
        <v>0</v>
      </c>
      <c r="Q22" s="64">
        <v>0</v>
      </c>
      <c r="R22" s="224">
        <v>0</v>
      </c>
      <c r="S22" s="63">
        <v>0</v>
      </c>
      <c r="T22" s="65">
        <v>0</v>
      </c>
      <c r="U22" s="224">
        <v>0</v>
      </c>
      <c r="V22" s="245">
        <v>0</v>
      </c>
      <c r="W22" s="61"/>
      <c r="X22" s="63">
        <v>0</v>
      </c>
      <c r="Y22" s="63">
        <v>0</v>
      </c>
      <c r="Z22" s="63">
        <v>0</v>
      </c>
      <c r="AA22" s="63">
        <v>0</v>
      </c>
      <c r="AB22" s="65">
        <v>0</v>
      </c>
    </row>
    <row r="23" spans="1:28">
      <c r="A23" s="96" t="str">
        <f>[1]Results!B25</f>
        <v>Customer Service &amp; Info</v>
      </c>
      <c r="B23" s="63">
        <f>[1]Results!H25</f>
        <v>2679.2924333421715</v>
      </c>
      <c r="C23" s="58"/>
      <c r="D23" s="63">
        <f t="shared" si="0"/>
        <v>2679.2924333421715</v>
      </c>
      <c r="E23" s="60">
        <f t="shared" si="1"/>
        <v>0</v>
      </c>
      <c r="F23" s="61">
        <v>0</v>
      </c>
      <c r="G23" s="64">
        <v>0</v>
      </c>
      <c r="H23" s="61">
        <f>[1]OM!$I$173</f>
        <v>2679.2924333421715</v>
      </c>
      <c r="I23" s="63">
        <v>0</v>
      </c>
      <c r="J23" s="64">
        <v>0</v>
      </c>
      <c r="K23" s="224">
        <v>0</v>
      </c>
      <c r="L23" s="64">
        <v>0</v>
      </c>
      <c r="M23" s="114">
        <v>0</v>
      </c>
      <c r="N23" s="224">
        <v>0</v>
      </c>
      <c r="O23" s="63">
        <v>0</v>
      </c>
      <c r="P23" s="63">
        <v>0</v>
      </c>
      <c r="Q23" s="64">
        <v>0</v>
      </c>
      <c r="R23" s="224">
        <v>0</v>
      </c>
      <c r="S23" s="63">
        <v>0</v>
      </c>
      <c r="T23" s="65">
        <v>0</v>
      </c>
      <c r="U23" s="224">
        <v>0</v>
      </c>
      <c r="V23" s="245">
        <v>0</v>
      </c>
      <c r="W23" s="61"/>
      <c r="X23" s="63">
        <v>0</v>
      </c>
      <c r="Y23" s="63">
        <v>0</v>
      </c>
      <c r="Z23" s="63">
        <v>0</v>
      </c>
      <c r="AA23" s="63">
        <v>0</v>
      </c>
      <c r="AB23" s="65">
        <v>0</v>
      </c>
    </row>
    <row r="24" spans="1:28">
      <c r="A24" s="96" t="str">
        <f>[1]Results!B26</f>
        <v>Sales</v>
      </c>
      <c r="B24" s="63">
        <f>[1]Results!H26</f>
        <v>0</v>
      </c>
      <c r="C24" s="58"/>
      <c r="D24" s="63">
        <f t="shared" si="0"/>
        <v>0</v>
      </c>
      <c r="E24" s="60">
        <f t="shared" si="1"/>
        <v>0</v>
      </c>
      <c r="F24" s="61">
        <v>0</v>
      </c>
      <c r="G24" s="64">
        <v>0</v>
      </c>
      <c r="H24" s="61">
        <v>0</v>
      </c>
      <c r="I24" s="63">
        <v>0</v>
      </c>
      <c r="J24" s="64">
        <v>0</v>
      </c>
      <c r="K24" s="224">
        <v>0</v>
      </c>
      <c r="L24" s="64">
        <v>0</v>
      </c>
      <c r="M24" s="114">
        <v>0</v>
      </c>
      <c r="N24" s="224">
        <v>0</v>
      </c>
      <c r="O24" s="63">
        <v>0</v>
      </c>
      <c r="P24" s="63">
        <v>0</v>
      </c>
      <c r="Q24" s="64">
        <v>0</v>
      </c>
      <c r="R24" s="224">
        <v>0</v>
      </c>
      <c r="S24" s="63">
        <v>0</v>
      </c>
      <c r="T24" s="65">
        <v>0</v>
      </c>
      <c r="U24" s="224">
        <v>0</v>
      </c>
      <c r="V24" s="245">
        <v>0</v>
      </c>
      <c r="W24" s="61"/>
      <c r="X24" s="63">
        <v>0</v>
      </c>
      <c r="Y24" s="63">
        <v>0</v>
      </c>
      <c r="Z24" s="63">
        <v>0</v>
      </c>
      <c r="AA24" s="63">
        <v>0</v>
      </c>
      <c r="AB24" s="65">
        <v>0</v>
      </c>
    </row>
    <row r="25" spans="1:28">
      <c r="A25" s="96" t="str">
        <f>[1]Results!B27</f>
        <v>Administrative &amp; General</v>
      </c>
      <c r="B25" s="70">
        <f>[1]Results!H27</f>
        <v>-1329008.6223783894</v>
      </c>
      <c r="C25" s="143"/>
      <c r="D25" s="70">
        <f t="shared" si="0"/>
        <v>-1329008.6223783894</v>
      </c>
      <c r="E25" s="71">
        <f t="shared" si="1"/>
        <v>0</v>
      </c>
      <c r="F25" s="72">
        <v>0</v>
      </c>
      <c r="G25" s="74">
        <v>0</v>
      </c>
      <c r="H25" s="72">
        <f>[1]OM!$I$176+[1]OM!$I$177</f>
        <v>84611.366209398097</v>
      </c>
      <c r="I25" s="70">
        <f>[1]OM!$I$200</f>
        <v>-776572.64858778729</v>
      </c>
      <c r="J25" s="74">
        <f>[1]OM!$I$446</f>
        <v>-637047.3400000002</v>
      </c>
      <c r="K25" s="227">
        <v>0</v>
      </c>
      <c r="L25" s="74">
        <v>0</v>
      </c>
      <c r="M25" s="116">
        <v>0</v>
      </c>
      <c r="N25" s="227">
        <v>0</v>
      </c>
      <c r="O25" s="70">
        <v>0</v>
      </c>
      <c r="P25" s="70">
        <v>0</v>
      </c>
      <c r="Q25" s="74">
        <v>0</v>
      </c>
      <c r="R25" s="227">
        <v>0</v>
      </c>
      <c r="S25" s="70">
        <v>0</v>
      </c>
      <c r="T25" s="110">
        <v>0</v>
      </c>
      <c r="U25" s="227">
        <v>0</v>
      </c>
      <c r="V25" s="247">
        <v>0</v>
      </c>
      <c r="W25" s="72"/>
      <c r="X25" s="70">
        <v>0</v>
      </c>
      <c r="Y25" s="70">
        <v>0</v>
      </c>
      <c r="Z25" s="70">
        <v>0</v>
      </c>
      <c r="AA25" s="70">
        <v>0</v>
      </c>
      <c r="AB25" s="110">
        <v>0</v>
      </c>
    </row>
    <row r="26" spans="1:28">
      <c r="A26" s="96" t="str">
        <f>[1]Results!B28</f>
        <v xml:space="preserve">   Total O&amp;M Expenses</v>
      </c>
      <c r="B26" s="50">
        <f>[1]Results!H28</f>
        <v>-12757148.092370346</v>
      </c>
      <c r="C26" s="96"/>
      <c r="D26" s="50">
        <f t="shared" si="0"/>
        <v>-12757148.092370342</v>
      </c>
      <c r="E26" s="76">
        <f t="shared" si="1"/>
        <v>0</v>
      </c>
      <c r="F26" s="54">
        <f t="shared" ref="F26:U26" si="7">SUM(F16:F25)</f>
        <v>0</v>
      </c>
      <c r="G26" s="56">
        <f t="shared" si="7"/>
        <v>0</v>
      </c>
      <c r="H26" s="54">
        <f t="shared" si="7"/>
        <v>373894.73111577908</v>
      </c>
      <c r="I26" s="50">
        <f t="shared" si="7"/>
        <v>-776572.64858778729</v>
      </c>
      <c r="J26" s="56">
        <f t="shared" si="7"/>
        <v>-637047.3400000002</v>
      </c>
      <c r="K26" s="223">
        <v>0</v>
      </c>
      <c r="L26" s="56">
        <f t="shared" si="7"/>
        <v>0</v>
      </c>
      <c r="M26" s="113">
        <f t="shared" si="7"/>
        <v>0</v>
      </c>
      <c r="N26" s="223">
        <f t="shared" si="7"/>
        <v>0</v>
      </c>
      <c r="O26" s="50">
        <f t="shared" si="7"/>
        <v>0</v>
      </c>
      <c r="P26" s="50">
        <f t="shared" si="7"/>
        <v>0</v>
      </c>
      <c r="Q26" s="56">
        <f t="shared" si="7"/>
        <v>0</v>
      </c>
      <c r="R26" s="223">
        <f t="shared" si="7"/>
        <v>0</v>
      </c>
      <c r="S26" s="50">
        <f t="shared" si="7"/>
        <v>0</v>
      </c>
      <c r="T26" s="56">
        <f t="shared" si="7"/>
        <v>0</v>
      </c>
      <c r="U26" s="223">
        <f t="shared" si="7"/>
        <v>0</v>
      </c>
      <c r="V26" s="244">
        <f t="shared" ref="V26:AB26" si="8">SUM(V16:V25)</f>
        <v>0</v>
      </c>
      <c r="W26" s="54">
        <f t="shared" si="8"/>
        <v>0</v>
      </c>
      <c r="X26" s="50">
        <f t="shared" ref="X26:Z26" si="9">SUM(X16:X25)</f>
        <v>-11381409.611374881</v>
      </c>
      <c r="Y26" s="50">
        <f t="shared" si="9"/>
        <v>-48616.346184933995</v>
      </c>
      <c r="Z26" s="50">
        <f t="shared" si="9"/>
        <v>-287396.87733851967</v>
      </c>
      <c r="AA26" s="50">
        <f t="shared" si="8"/>
        <v>0</v>
      </c>
      <c r="AB26" s="56">
        <f t="shared" si="8"/>
        <v>0</v>
      </c>
    </row>
    <row r="27" spans="1:28">
      <c r="A27" s="96" t="str">
        <f>[1]Results!B29</f>
        <v>Depreciation</v>
      </c>
      <c r="B27" s="63">
        <f>[1]Results!H29</f>
        <v>-29238.355724457091</v>
      </c>
      <c r="C27" s="58"/>
      <c r="D27" s="63">
        <f t="shared" si="0"/>
        <v>-29238.355724457091</v>
      </c>
      <c r="E27" s="60">
        <f t="shared" si="1"/>
        <v>0</v>
      </c>
      <c r="F27" s="61">
        <v>0</v>
      </c>
      <c r="G27" s="64">
        <v>0</v>
      </c>
      <c r="H27" s="61">
        <v>0</v>
      </c>
      <c r="I27" s="63">
        <v>0</v>
      </c>
      <c r="J27" s="64">
        <v>0</v>
      </c>
      <c r="K27" s="224">
        <v>0</v>
      </c>
      <c r="L27" s="64">
        <v>0</v>
      </c>
      <c r="M27" s="114">
        <v>0</v>
      </c>
      <c r="N27" s="224">
        <v>0</v>
      </c>
      <c r="O27" s="63">
        <v>0</v>
      </c>
      <c r="P27" s="63">
        <v>0</v>
      </c>
      <c r="Q27" s="64">
        <v>0</v>
      </c>
      <c r="R27" s="224">
        <v>0</v>
      </c>
      <c r="S27" s="63">
        <v>0</v>
      </c>
      <c r="T27" s="65">
        <v>0</v>
      </c>
      <c r="U27" s="224">
        <v>0</v>
      </c>
      <c r="V27" s="245">
        <v>0</v>
      </c>
      <c r="W27" s="61"/>
      <c r="X27" s="63">
        <v>0</v>
      </c>
      <c r="Y27" s="63">
        <f>[1]ContractChange!$I$29</f>
        <v>-29238.355724457091</v>
      </c>
      <c r="Z27" s="63">
        <v>0</v>
      </c>
      <c r="AA27" s="63">
        <v>0</v>
      </c>
      <c r="AB27" s="65">
        <v>0</v>
      </c>
    </row>
    <row r="28" spans="1:28">
      <c r="A28" s="96" t="str">
        <f>[1]Results!B30</f>
        <v xml:space="preserve">Amortization </v>
      </c>
      <c r="B28" s="63">
        <f>[1]Results!H30</f>
        <v>-182288.98018681514</v>
      </c>
      <c r="C28" s="58"/>
      <c r="D28" s="63">
        <f t="shared" si="0"/>
        <v>-182288.98018681514</v>
      </c>
      <c r="E28" s="60">
        <f t="shared" si="1"/>
        <v>0</v>
      </c>
      <c r="F28" s="61">
        <v>0</v>
      </c>
      <c r="G28" s="64">
        <v>0</v>
      </c>
      <c r="H28" s="61">
        <v>0</v>
      </c>
      <c r="I28" s="63">
        <v>0</v>
      </c>
      <c r="J28" s="64">
        <v>0</v>
      </c>
      <c r="K28" s="224">
        <v>0</v>
      </c>
      <c r="L28" s="64">
        <v>0</v>
      </c>
      <c r="M28" s="114">
        <v>0</v>
      </c>
      <c r="N28" s="224">
        <v>0</v>
      </c>
      <c r="O28" s="63">
        <v>0</v>
      </c>
      <c r="P28" s="63">
        <v>0</v>
      </c>
      <c r="Q28" s="64">
        <v>0</v>
      </c>
      <c r="R28" s="224">
        <v>0</v>
      </c>
      <c r="S28" s="63">
        <f>[1]RB!$I$383+[1]RB!$I$384</f>
        <v>-182288.98018681514</v>
      </c>
      <c r="T28" s="65">
        <v>0</v>
      </c>
      <c r="U28" s="224">
        <v>0</v>
      </c>
      <c r="V28" s="245">
        <v>0</v>
      </c>
      <c r="W28" s="61"/>
      <c r="X28" s="63">
        <v>0</v>
      </c>
      <c r="Y28" s="63">
        <v>0</v>
      </c>
      <c r="Z28" s="63">
        <v>0</v>
      </c>
      <c r="AA28" s="63">
        <v>0</v>
      </c>
      <c r="AB28" s="65">
        <v>0</v>
      </c>
    </row>
    <row r="29" spans="1:28">
      <c r="A29" s="96" t="str">
        <f>[1]Results!B31</f>
        <v>Taxes Other Than Income</v>
      </c>
      <c r="B29" s="63">
        <f>[1]Results!H31</f>
        <v>-428616.54</v>
      </c>
      <c r="C29" s="58"/>
      <c r="D29" s="63">
        <f t="shared" si="0"/>
        <v>-428616.54</v>
      </c>
      <c r="E29" s="60">
        <f t="shared" si="1"/>
        <v>0</v>
      </c>
      <c r="F29" s="61">
        <v>0</v>
      </c>
      <c r="G29" s="64">
        <v>0</v>
      </c>
      <c r="H29" s="61">
        <v>0</v>
      </c>
      <c r="I29" s="63">
        <v>0</v>
      </c>
      <c r="J29" s="64">
        <v>0</v>
      </c>
      <c r="K29" s="224">
        <v>0</v>
      </c>
      <c r="L29" s="64">
        <v>0</v>
      </c>
      <c r="M29" s="114">
        <v>0</v>
      </c>
      <c r="N29" s="224">
        <v>0</v>
      </c>
      <c r="O29" s="63">
        <v>0</v>
      </c>
      <c r="P29" s="63">
        <f>[1]TAX!$I$383</f>
        <v>-396368</v>
      </c>
      <c r="Q29" s="64">
        <f>[1]TAX!$I$817</f>
        <v>-32248.54</v>
      </c>
      <c r="R29" s="224">
        <v>0</v>
      </c>
      <c r="S29" s="63">
        <v>0</v>
      </c>
      <c r="T29" s="65">
        <v>0</v>
      </c>
      <c r="U29" s="224">
        <v>0</v>
      </c>
      <c r="V29" s="245">
        <v>0</v>
      </c>
      <c r="W29" s="61"/>
      <c r="X29" s="63">
        <v>0</v>
      </c>
      <c r="Y29" s="63">
        <v>0</v>
      </c>
      <c r="Z29" s="63">
        <v>0</v>
      </c>
      <c r="AA29" s="63">
        <v>0</v>
      </c>
      <c r="AB29" s="65">
        <v>0</v>
      </c>
    </row>
    <row r="30" spans="1:28">
      <c r="A30" s="96" t="str">
        <f>[1]Results!B32</f>
        <v>Income Taxes - Federal</v>
      </c>
      <c r="B30" s="59">
        <f>[1]Results!H32</f>
        <v>-11461182.021078767</v>
      </c>
      <c r="C30" s="58"/>
      <c r="D30" s="59">
        <f t="shared" si="0"/>
        <v>-11461182.021078765</v>
      </c>
      <c r="E30" s="60">
        <f t="shared" si="1"/>
        <v>0</v>
      </c>
      <c r="F30" s="62">
        <f>F83</f>
        <v>4340754.2884999998</v>
      </c>
      <c r="G30" s="65">
        <f t="shared" ref="G30:T30" si="10">G83</f>
        <v>-5971.9345578737912</v>
      </c>
      <c r="H30" s="62">
        <f t="shared" si="10"/>
        <v>-130863.15589052267</v>
      </c>
      <c r="I30" s="59">
        <f t="shared" si="10"/>
        <v>-82999.122994274439</v>
      </c>
      <c r="J30" s="65">
        <f t="shared" si="10"/>
        <v>21778.340500024147</v>
      </c>
      <c r="K30" s="226">
        <f t="shared" si="10"/>
        <v>0</v>
      </c>
      <c r="L30" s="65">
        <f t="shared" si="10"/>
        <v>412499.27837691235</v>
      </c>
      <c r="M30" s="117">
        <f t="shared" si="10"/>
        <v>0</v>
      </c>
      <c r="N30" s="226">
        <v>0</v>
      </c>
      <c r="O30" s="59">
        <f t="shared" si="10"/>
        <v>-5638736.2665997902</v>
      </c>
      <c r="P30" s="59">
        <f t="shared" si="10"/>
        <v>138728.79999999999</v>
      </c>
      <c r="Q30" s="65">
        <f t="shared" si="10"/>
        <v>11286.989</v>
      </c>
      <c r="R30" s="226">
        <f t="shared" si="10"/>
        <v>0</v>
      </c>
      <c r="S30" s="59">
        <f t="shared" si="10"/>
        <v>-45625.120341806462</v>
      </c>
      <c r="T30" s="65">
        <f t="shared" si="10"/>
        <v>0</v>
      </c>
      <c r="U30" s="226">
        <v>0</v>
      </c>
      <c r="V30" s="245">
        <v>0</v>
      </c>
      <c r="W30" s="62">
        <f t="shared" ref="W30:AB30" si="11">W83</f>
        <v>1674433.1933099758</v>
      </c>
      <c r="X30" s="59">
        <f t="shared" si="11"/>
        <v>-12169578.242763596</v>
      </c>
      <c r="Y30" s="59">
        <f t="shared" si="11"/>
        <v>27249.145668286881</v>
      </c>
      <c r="Z30" s="59">
        <f t="shared" si="11"/>
        <v>73870.799268428484</v>
      </c>
      <c r="AA30" s="59">
        <f t="shared" si="11"/>
        <v>0</v>
      </c>
      <c r="AB30" s="65">
        <f t="shared" si="11"/>
        <v>-88009.012554530796</v>
      </c>
    </row>
    <row r="31" spans="1:28">
      <c r="A31" s="96" t="str">
        <f>[1]Results!B33</f>
        <v>Income Taxes - State</v>
      </c>
      <c r="B31" s="59">
        <f>[1]Results!H33</f>
        <v>0</v>
      </c>
      <c r="C31" s="58"/>
      <c r="D31" s="59">
        <f t="shared" si="0"/>
        <v>0</v>
      </c>
      <c r="E31" s="60">
        <f t="shared" si="1"/>
        <v>0</v>
      </c>
      <c r="F31" s="62">
        <v>0</v>
      </c>
      <c r="G31" s="65">
        <v>0</v>
      </c>
      <c r="H31" s="62">
        <v>0</v>
      </c>
      <c r="I31" s="59">
        <v>0</v>
      </c>
      <c r="J31" s="65">
        <v>0</v>
      </c>
      <c r="K31" s="226">
        <v>0</v>
      </c>
      <c r="L31" s="65">
        <v>0</v>
      </c>
      <c r="M31" s="117">
        <v>0</v>
      </c>
      <c r="N31" s="226">
        <v>0</v>
      </c>
      <c r="O31" s="59">
        <v>0</v>
      </c>
      <c r="P31" s="59">
        <v>0</v>
      </c>
      <c r="Q31" s="65">
        <v>0</v>
      </c>
      <c r="R31" s="226">
        <v>0</v>
      </c>
      <c r="S31" s="59">
        <v>0</v>
      </c>
      <c r="T31" s="65">
        <v>0</v>
      </c>
      <c r="U31" s="226">
        <v>0</v>
      </c>
      <c r="V31" s="245">
        <v>0</v>
      </c>
      <c r="W31" s="62">
        <v>0</v>
      </c>
      <c r="X31" s="59">
        <v>0</v>
      </c>
      <c r="Y31" s="59">
        <v>0</v>
      </c>
      <c r="Z31" s="59">
        <v>0</v>
      </c>
      <c r="AA31" s="59">
        <v>0</v>
      </c>
      <c r="AB31" s="65">
        <v>0</v>
      </c>
    </row>
    <row r="32" spans="1:28">
      <c r="A32" s="96" t="str">
        <f>[1]Results!B34</f>
        <v>Income Taxes - Def Net</v>
      </c>
      <c r="B32" s="63">
        <f>[1]Results!H34</f>
        <v>-417014.14510028285</v>
      </c>
      <c r="C32" s="58"/>
      <c r="D32" s="63">
        <f t="shared" si="0"/>
        <v>-417014.14510028285</v>
      </c>
      <c r="E32" s="60">
        <f t="shared" si="1"/>
        <v>0</v>
      </c>
      <c r="F32" s="61">
        <v>0</v>
      </c>
      <c r="G32" s="64">
        <v>0</v>
      </c>
      <c r="H32" s="61">
        <v>0</v>
      </c>
      <c r="I32" s="63">
        <f>[1]OM!$I$205</f>
        <v>384714</v>
      </c>
      <c r="J32" s="64">
        <f>[1]OM!$I$456+[1]OM!$I$460</f>
        <v>218151.59924659377</v>
      </c>
      <c r="K32" s="224">
        <v>0</v>
      </c>
      <c r="L32" s="64">
        <v>0</v>
      </c>
      <c r="M32" s="114">
        <v>0</v>
      </c>
      <c r="N32" s="224">
        <v>0</v>
      </c>
      <c r="O32" s="63">
        <v>0</v>
      </c>
      <c r="P32" s="63">
        <v>0</v>
      </c>
      <c r="Q32" s="64">
        <v>0</v>
      </c>
      <c r="R32" s="224">
        <v>0</v>
      </c>
      <c r="S32" s="63">
        <f>SUM([1]RB!$I$395,[1]RB!$I$400)</f>
        <v>118650.25565312334</v>
      </c>
      <c r="T32" s="65">
        <f>[1]RB!$I$578</f>
        <v>-1138530</v>
      </c>
      <c r="U32" s="224">
        <v>0</v>
      </c>
      <c r="V32" s="245">
        <v>0</v>
      </c>
      <c r="W32" s="61"/>
      <c r="X32" s="63">
        <v>0</v>
      </c>
      <c r="Y32" s="63">
        <v>0</v>
      </c>
      <c r="Z32" s="63"/>
      <c r="AA32" s="63">
        <v>0</v>
      </c>
      <c r="AB32" s="65">
        <v>0</v>
      </c>
    </row>
    <row r="33" spans="1:28">
      <c r="A33" s="96" t="str">
        <f>[1]Results!B35</f>
        <v>Investment Tax Credit Adj.</v>
      </c>
      <c r="B33" s="63">
        <f>[1]Results!H35</f>
        <v>0</v>
      </c>
      <c r="C33" s="58"/>
      <c r="D33" s="63">
        <f t="shared" si="0"/>
        <v>0</v>
      </c>
      <c r="E33" s="60">
        <f t="shared" si="1"/>
        <v>0</v>
      </c>
      <c r="F33" s="61">
        <v>0</v>
      </c>
      <c r="G33" s="64">
        <v>0</v>
      </c>
      <c r="H33" s="61">
        <v>0</v>
      </c>
      <c r="I33" s="63">
        <v>0</v>
      </c>
      <c r="J33" s="64">
        <v>0</v>
      </c>
      <c r="K33" s="224">
        <v>0</v>
      </c>
      <c r="L33" s="64">
        <v>0</v>
      </c>
      <c r="M33" s="114">
        <v>0</v>
      </c>
      <c r="N33" s="224">
        <v>0</v>
      </c>
      <c r="O33" s="63">
        <v>0</v>
      </c>
      <c r="P33" s="63">
        <v>0</v>
      </c>
      <c r="Q33" s="64">
        <v>0</v>
      </c>
      <c r="R33" s="224">
        <v>0</v>
      </c>
      <c r="S33" s="63">
        <v>0</v>
      </c>
      <c r="T33" s="65">
        <v>0</v>
      </c>
      <c r="U33" s="224">
        <v>0</v>
      </c>
      <c r="V33" s="245">
        <v>0</v>
      </c>
      <c r="W33" s="61"/>
      <c r="X33" s="63">
        <v>0</v>
      </c>
      <c r="Y33" s="63">
        <v>0</v>
      </c>
      <c r="Z33" s="63"/>
      <c r="AA33" s="63">
        <v>0</v>
      </c>
      <c r="AB33" s="65">
        <v>0</v>
      </c>
    </row>
    <row r="34" spans="1:28">
      <c r="A34" s="96" t="str">
        <f>[1]Results!B36</f>
        <v>Misc Revenue &amp; Expense</v>
      </c>
      <c r="B34" s="63">
        <f>[1]Results!H36</f>
        <v>1497.2637677959865</v>
      </c>
      <c r="C34" s="58"/>
      <c r="D34" s="63">
        <f t="shared" si="0"/>
        <v>1497.2637677959865</v>
      </c>
      <c r="E34" s="60">
        <f t="shared" si="1"/>
        <v>0</v>
      </c>
      <c r="F34" s="61">
        <v>0</v>
      </c>
      <c r="G34" s="64">
        <v>0</v>
      </c>
      <c r="H34" s="61">
        <v>0</v>
      </c>
      <c r="I34" s="63">
        <v>0</v>
      </c>
      <c r="J34" s="64">
        <v>0</v>
      </c>
      <c r="K34" s="224">
        <v>0</v>
      </c>
      <c r="L34" s="64">
        <v>0</v>
      </c>
      <c r="M34" s="114">
        <v>0</v>
      </c>
      <c r="N34" s="224">
        <v>0</v>
      </c>
      <c r="O34" s="63">
        <v>0</v>
      </c>
      <c r="P34" s="63">
        <v>0</v>
      </c>
      <c r="Q34" s="64">
        <v>0</v>
      </c>
      <c r="R34" s="224">
        <v>0</v>
      </c>
      <c r="S34" s="63">
        <v>0</v>
      </c>
      <c r="T34" s="65">
        <v>0</v>
      </c>
      <c r="U34" s="224">
        <v>0</v>
      </c>
      <c r="V34" s="245">
        <v>0</v>
      </c>
      <c r="W34" s="61"/>
      <c r="X34" s="63">
        <v>0</v>
      </c>
      <c r="Y34" s="63">
        <v>0</v>
      </c>
      <c r="Z34" s="63">
        <f>[1]ContractChange!$I$97</f>
        <v>1497.2637677959865</v>
      </c>
      <c r="AA34" s="63">
        <v>0</v>
      </c>
      <c r="AB34" s="65">
        <v>0</v>
      </c>
    </row>
    <row r="35" spans="1:28">
      <c r="A35" s="96" t="str">
        <f>[1]Results!B37</f>
        <v xml:space="preserve">   Total Operating Expenses:</v>
      </c>
      <c r="B35" s="66">
        <f>[1]Results!H37</f>
        <v>-25273990.870692872</v>
      </c>
      <c r="C35" s="142"/>
      <c r="D35" s="66">
        <f t="shared" si="0"/>
        <v>-25273990.870692868</v>
      </c>
      <c r="E35" s="67">
        <f t="shared" si="1"/>
        <v>0</v>
      </c>
      <c r="F35" s="68">
        <f t="shared" ref="F35:U35" si="12">SUM(F26:F34)</f>
        <v>4340754.2884999998</v>
      </c>
      <c r="G35" s="69">
        <f t="shared" si="12"/>
        <v>-5971.9345578737912</v>
      </c>
      <c r="H35" s="68">
        <f t="shared" si="12"/>
        <v>243031.57522525641</v>
      </c>
      <c r="I35" s="66">
        <f t="shared" si="12"/>
        <v>-474857.77158206177</v>
      </c>
      <c r="J35" s="69">
        <f t="shared" si="12"/>
        <v>-397117.40025338228</v>
      </c>
      <c r="K35" s="225">
        <f t="shared" si="12"/>
        <v>0</v>
      </c>
      <c r="L35" s="69">
        <f t="shared" si="12"/>
        <v>412499.27837691235</v>
      </c>
      <c r="M35" s="115">
        <f t="shared" si="12"/>
        <v>0</v>
      </c>
      <c r="N35" s="225">
        <f t="shared" si="12"/>
        <v>0</v>
      </c>
      <c r="O35" s="66">
        <f t="shared" si="12"/>
        <v>-5638736.2665997902</v>
      </c>
      <c r="P35" s="66">
        <f t="shared" si="12"/>
        <v>-257639.2</v>
      </c>
      <c r="Q35" s="69">
        <f t="shared" si="12"/>
        <v>-20961.550999999999</v>
      </c>
      <c r="R35" s="225">
        <f t="shared" si="12"/>
        <v>0</v>
      </c>
      <c r="S35" s="66">
        <f t="shared" si="12"/>
        <v>-109263.84487549827</v>
      </c>
      <c r="T35" s="69">
        <f t="shared" si="12"/>
        <v>-1138530</v>
      </c>
      <c r="U35" s="225">
        <f t="shared" si="12"/>
        <v>0</v>
      </c>
      <c r="V35" s="246">
        <f t="shared" ref="V35:W35" si="13">SUM(V26:V34)</f>
        <v>0</v>
      </c>
      <c r="W35" s="68">
        <f t="shared" si="13"/>
        <v>1674433.1933099758</v>
      </c>
      <c r="X35" s="66">
        <f t="shared" ref="X35:Y35" si="14">SUM(X26:X34)</f>
        <v>-23550987.854138479</v>
      </c>
      <c r="Y35" s="66">
        <f t="shared" si="14"/>
        <v>-50605.556241104212</v>
      </c>
      <c r="Z35" s="66">
        <f t="shared" ref="Z35" si="15">SUM(Z26:Z34)</f>
        <v>-212028.81430229521</v>
      </c>
      <c r="AA35" s="66">
        <f t="shared" ref="AA35" si="16">SUM(AA26:AA34)</f>
        <v>0</v>
      </c>
      <c r="AB35" s="69">
        <f t="shared" ref="AB35" si="17">SUM(AB26:AB34)</f>
        <v>-88009.012554530796</v>
      </c>
    </row>
    <row r="36" spans="1:28">
      <c r="A36" s="96"/>
      <c r="B36" s="50">
        <f>[1]Results!H38</f>
        <v>0</v>
      </c>
      <c r="C36" s="58"/>
      <c r="D36" s="50">
        <f t="shared" si="0"/>
        <v>0</v>
      </c>
      <c r="E36" s="60"/>
      <c r="F36" s="54"/>
      <c r="G36" s="56"/>
      <c r="H36" s="54"/>
      <c r="I36" s="50"/>
      <c r="J36" s="56"/>
      <c r="K36" s="223"/>
      <c r="L36" s="56"/>
      <c r="M36" s="113"/>
      <c r="N36" s="223"/>
      <c r="O36" s="50"/>
      <c r="P36" s="50"/>
      <c r="Q36" s="56"/>
      <c r="R36" s="223"/>
      <c r="S36" s="50"/>
      <c r="T36" s="56"/>
      <c r="U36" s="223"/>
      <c r="V36" s="244"/>
      <c r="W36" s="54"/>
      <c r="X36" s="50"/>
      <c r="Y36" s="50"/>
      <c r="Z36" s="50"/>
      <c r="AA36" s="50"/>
      <c r="AB36" s="56"/>
    </row>
    <row r="37" spans="1:28" ht="13.5" thickBot="1">
      <c r="A37" s="96" t="str">
        <f>[1]Results!B39</f>
        <v xml:space="preserve">   Operating Rev For Return:</v>
      </c>
      <c r="B37" s="77">
        <f>[1]Results!H39</f>
        <v>-5604725.8338703178</v>
      </c>
      <c r="C37" s="144"/>
      <c r="D37" s="77">
        <f t="shared" si="0"/>
        <v>-5604725.8338703159</v>
      </c>
      <c r="E37" s="77">
        <f t="shared" si="1"/>
        <v>0</v>
      </c>
      <c r="F37" s="78">
        <f t="shared" ref="F37:U37" si="18">F13-F35</f>
        <v>8061400.8214999996</v>
      </c>
      <c r="G37" s="79">
        <f t="shared" si="18"/>
        <v>-11090.735607479899</v>
      </c>
      <c r="H37" s="78">
        <f t="shared" si="18"/>
        <v>-243031.57522525641</v>
      </c>
      <c r="I37" s="77">
        <f t="shared" si="18"/>
        <v>474857.77158206177</v>
      </c>
      <c r="J37" s="79">
        <f t="shared" si="18"/>
        <v>397117.40025338228</v>
      </c>
      <c r="K37" s="228">
        <f t="shared" si="18"/>
        <v>0</v>
      </c>
      <c r="L37" s="79">
        <f t="shared" si="18"/>
        <v>766070.08841426589</v>
      </c>
      <c r="M37" s="118">
        <f t="shared" si="18"/>
        <v>0</v>
      </c>
      <c r="N37" s="228">
        <f t="shared" si="18"/>
        <v>0</v>
      </c>
      <c r="O37" s="77">
        <f t="shared" si="18"/>
        <v>5638736.2665997902</v>
      </c>
      <c r="P37" s="77">
        <f t="shared" si="18"/>
        <v>257639.2</v>
      </c>
      <c r="Q37" s="79">
        <f t="shared" si="18"/>
        <v>20961.550999999999</v>
      </c>
      <c r="R37" s="228">
        <f t="shared" si="18"/>
        <v>0</v>
      </c>
      <c r="S37" s="77">
        <f t="shared" si="18"/>
        <v>109263.84487549827</v>
      </c>
      <c r="T37" s="79">
        <f t="shared" si="18"/>
        <v>-1861470</v>
      </c>
      <c r="U37" s="228">
        <f t="shared" si="18"/>
        <v>0</v>
      </c>
      <c r="V37" s="248">
        <f t="shared" ref="V37:AB37" si="19">V13-V35</f>
        <v>0</v>
      </c>
      <c r="W37" s="78">
        <f t="shared" si="19"/>
        <v>3109661.6447185269</v>
      </c>
      <c r="X37" s="77">
        <f t="shared" si="19"/>
        <v>-22600645.307989538</v>
      </c>
      <c r="Y37" s="77">
        <f t="shared" si="19"/>
        <v>50605.556241104212</v>
      </c>
      <c r="Z37" s="77">
        <f t="shared" ref="Z37" si="20">Z13-Z35</f>
        <v>137188.62721279578</v>
      </c>
      <c r="AA37" s="77">
        <f t="shared" si="19"/>
        <v>0</v>
      </c>
      <c r="AB37" s="79">
        <f t="shared" si="19"/>
        <v>88009.012554530796</v>
      </c>
    </row>
    <row r="38" spans="1:28" ht="13.5" thickTop="1">
      <c r="A38" s="96"/>
      <c r="B38" s="50">
        <f>[1]Results!H40</f>
        <v>0</v>
      </c>
      <c r="C38" s="58"/>
      <c r="D38" s="50">
        <f t="shared" si="0"/>
        <v>0</v>
      </c>
      <c r="E38" s="60"/>
      <c r="F38" s="54"/>
      <c r="G38" s="56"/>
      <c r="H38" s="54"/>
      <c r="I38" s="50"/>
      <c r="J38" s="56"/>
      <c r="K38" s="223"/>
      <c r="L38" s="56"/>
      <c r="M38" s="113"/>
      <c r="N38" s="223"/>
      <c r="O38" s="50"/>
      <c r="P38" s="50"/>
      <c r="Q38" s="56"/>
      <c r="R38" s="223"/>
      <c r="S38" s="50"/>
      <c r="T38" s="56"/>
      <c r="U38" s="223"/>
      <c r="V38" s="244"/>
      <c r="W38" s="54"/>
      <c r="X38" s="50"/>
      <c r="Y38" s="50"/>
      <c r="Z38" s="50"/>
      <c r="AA38" s="50"/>
      <c r="AB38" s="56"/>
    </row>
    <row r="39" spans="1:28">
      <c r="A39" s="96" t="str">
        <f>[1]Results!B41</f>
        <v xml:space="preserve">   Rate Base:</v>
      </c>
      <c r="B39" s="50">
        <f>[1]Results!H41</f>
        <v>0</v>
      </c>
      <c r="C39" s="58"/>
      <c r="D39" s="50">
        <f t="shared" si="0"/>
        <v>0</v>
      </c>
      <c r="E39" s="60"/>
      <c r="F39" s="54"/>
      <c r="G39" s="56"/>
      <c r="H39" s="54"/>
      <c r="I39" s="50"/>
      <c r="J39" s="56"/>
      <c r="K39" s="223"/>
      <c r="L39" s="56"/>
      <c r="M39" s="113"/>
      <c r="N39" s="223"/>
      <c r="O39" s="50"/>
      <c r="P39" s="50"/>
      <c r="Q39" s="56"/>
      <c r="R39" s="223"/>
      <c r="S39" s="50"/>
      <c r="T39" s="56"/>
      <c r="U39" s="223"/>
      <c r="V39" s="244"/>
      <c r="W39" s="54"/>
      <c r="X39" s="50"/>
      <c r="Y39" s="50"/>
      <c r="Z39" s="50"/>
      <c r="AA39" s="50"/>
      <c r="AB39" s="56"/>
    </row>
    <row r="40" spans="1:28">
      <c r="A40" s="96" t="str">
        <f>[1]Results!B42</f>
        <v>Electric Plant In Service</v>
      </c>
      <c r="B40" s="63">
        <f>[1]Results!H42</f>
        <v>-1161846.8837236031</v>
      </c>
      <c r="C40" s="58"/>
      <c r="D40" s="63">
        <f t="shared" si="0"/>
        <v>-1161846.8837236031</v>
      </c>
      <c r="E40" s="60">
        <f t="shared" si="1"/>
        <v>0</v>
      </c>
      <c r="F40" s="61">
        <v>0</v>
      </c>
      <c r="G40" s="64">
        <v>0</v>
      </c>
      <c r="H40" s="61">
        <v>0</v>
      </c>
      <c r="I40" s="63">
        <v>0</v>
      </c>
      <c r="J40" s="64">
        <v>0</v>
      </c>
      <c r="K40" s="224">
        <v>0</v>
      </c>
      <c r="L40" s="64">
        <v>0</v>
      </c>
      <c r="M40" s="114">
        <v>0</v>
      </c>
      <c r="N40" s="224">
        <v>0</v>
      </c>
      <c r="O40" s="63">
        <v>0</v>
      </c>
      <c r="P40" s="63">
        <v>0</v>
      </c>
      <c r="Q40" s="64">
        <v>0</v>
      </c>
      <c r="R40" s="224">
        <v>0</v>
      </c>
      <c r="S40" s="63">
        <v>0</v>
      </c>
      <c r="T40" s="65">
        <v>0</v>
      </c>
      <c r="U40" s="224">
        <v>0</v>
      </c>
      <c r="V40" s="245">
        <f>[1]ContractChange!$I$88</f>
        <v>0</v>
      </c>
      <c r="W40" s="61"/>
      <c r="X40" s="63">
        <v>0</v>
      </c>
      <c r="Y40" s="63">
        <f>SUM([1]ContractChange!$I$11:$I$16)</f>
        <v>-1067075.8250330254</v>
      </c>
      <c r="Z40" s="63">
        <f>SUM([1]ContractChange!$I$89)</f>
        <v>-94771.058690577745</v>
      </c>
      <c r="AA40" s="63">
        <v>0</v>
      </c>
      <c r="AB40" s="65">
        <v>0</v>
      </c>
    </row>
    <row r="41" spans="1:28">
      <c r="A41" s="96" t="str">
        <f>[1]Results!B43</f>
        <v>Plant Held for Future Use</v>
      </c>
      <c r="B41" s="63">
        <f>[1]Results!H43</f>
        <v>0</v>
      </c>
      <c r="C41" s="58"/>
      <c r="D41" s="63">
        <f t="shared" si="0"/>
        <v>0</v>
      </c>
      <c r="E41" s="60">
        <f t="shared" si="1"/>
        <v>0</v>
      </c>
      <c r="F41" s="61">
        <v>0</v>
      </c>
      <c r="G41" s="64">
        <v>0</v>
      </c>
      <c r="H41" s="61">
        <v>0</v>
      </c>
      <c r="I41" s="63">
        <v>0</v>
      </c>
      <c r="J41" s="64">
        <v>0</v>
      </c>
      <c r="K41" s="224">
        <v>0</v>
      </c>
      <c r="L41" s="64">
        <v>0</v>
      </c>
      <c r="M41" s="114">
        <v>0</v>
      </c>
      <c r="N41" s="224">
        <v>0</v>
      </c>
      <c r="O41" s="63">
        <v>0</v>
      </c>
      <c r="P41" s="63">
        <v>0</v>
      </c>
      <c r="Q41" s="64">
        <v>0</v>
      </c>
      <c r="R41" s="224">
        <v>0</v>
      </c>
      <c r="S41" s="63">
        <v>0</v>
      </c>
      <c r="T41" s="65">
        <v>0</v>
      </c>
      <c r="U41" s="224">
        <v>0</v>
      </c>
      <c r="V41" s="245">
        <v>0</v>
      </c>
      <c r="W41" s="61"/>
      <c r="X41" s="63">
        <v>0</v>
      </c>
      <c r="Y41" s="63">
        <v>0</v>
      </c>
      <c r="Z41" s="63">
        <v>0</v>
      </c>
      <c r="AA41" s="63">
        <v>0</v>
      </c>
      <c r="AB41" s="65">
        <v>0</v>
      </c>
    </row>
    <row r="42" spans="1:28">
      <c r="A42" s="96" t="str">
        <f>[1]Results!B44</f>
        <v>Misc Deferred Debits</v>
      </c>
      <c r="B42" s="63">
        <f>[1]Results!H44</f>
        <v>15188002.091061195</v>
      </c>
      <c r="C42" s="58"/>
      <c r="D42" s="63">
        <f t="shared" si="0"/>
        <v>15188002.091061195</v>
      </c>
      <c r="E42" s="60">
        <f t="shared" si="1"/>
        <v>0</v>
      </c>
      <c r="F42" s="61">
        <v>0</v>
      </c>
      <c r="G42" s="64">
        <v>0</v>
      </c>
      <c r="H42" s="61">
        <v>0</v>
      </c>
      <c r="I42" s="63">
        <v>0</v>
      </c>
      <c r="J42" s="64">
        <f>[1]OM!$I$451</f>
        <v>-637047.28166666592</v>
      </c>
      <c r="K42" s="224">
        <v>0</v>
      </c>
      <c r="L42" s="64">
        <v>0</v>
      </c>
      <c r="M42" s="114">
        <v>0</v>
      </c>
      <c r="N42" s="224">
        <v>0</v>
      </c>
      <c r="O42" s="63">
        <v>0</v>
      </c>
      <c r="P42" s="63">
        <v>0</v>
      </c>
      <c r="Q42" s="64">
        <v>0</v>
      </c>
      <c r="R42" s="224">
        <v>0</v>
      </c>
      <c r="S42" s="63">
        <f>SUM([1]RB!$I$388,[1]RB!$I$391:$I$392)</f>
        <v>75958.380277030345</v>
      </c>
      <c r="T42" s="65">
        <f>SUM([1]RB!$I$573:$I$574)</f>
        <v>15750000</v>
      </c>
      <c r="U42" s="224">
        <v>0</v>
      </c>
      <c r="V42" s="245">
        <v>0</v>
      </c>
      <c r="W42" s="61"/>
      <c r="X42" s="63">
        <v>0</v>
      </c>
      <c r="Y42" s="63">
        <v>0</v>
      </c>
      <c r="Z42" s="63">
        <f>[1]ContractChange!$I$92</f>
        <v>-909.00754916836752</v>
      </c>
      <c r="AA42" s="63">
        <v>0</v>
      </c>
      <c r="AB42" s="65">
        <v>0</v>
      </c>
    </row>
    <row r="43" spans="1:28">
      <c r="A43" s="96" t="str">
        <f>[1]Results!B45</f>
        <v>Elec Plant Acq Adj</v>
      </c>
      <c r="B43" s="63">
        <f>[1]Results!H45</f>
        <v>0</v>
      </c>
      <c r="C43" s="58"/>
      <c r="D43" s="63">
        <f t="shared" si="0"/>
        <v>0</v>
      </c>
      <c r="E43" s="60">
        <f t="shared" si="1"/>
        <v>0</v>
      </c>
      <c r="F43" s="61">
        <v>0</v>
      </c>
      <c r="G43" s="64">
        <v>0</v>
      </c>
      <c r="H43" s="61">
        <v>0</v>
      </c>
      <c r="I43" s="63">
        <v>0</v>
      </c>
      <c r="J43" s="64">
        <v>0</v>
      </c>
      <c r="K43" s="224">
        <v>0</v>
      </c>
      <c r="L43" s="64">
        <v>0</v>
      </c>
      <c r="M43" s="114">
        <v>0</v>
      </c>
      <c r="N43" s="224">
        <v>0</v>
      </c>
      <c r="O43" s="63">
        <v>0</v>
      </c>
      <c r="P43" s="63">
        <v>0</v>
      </c>
      <c r="Q43" s="64">
        <v>0</v>
      </c>
      <c r="R43" s="224">
        <v>0</v>
      </c>
      <c r="S43" s="63">
        <v>0</v>
      </c>
      <c r="T43" s="65">
        <v>0</v>
      </c>
      <c r="U43" s="224">
        <v>0</v>
      </c>
      <c r="V43" s="245">
        <v>0</v>
      </c>
      <c r="W43" s="61"/>
      <c r="X43" s="63">
        <v>0</v>
      </c>
      <c r="Y43" s="63">
        <v>0</v>
      </c>
      <c r="Z43" s="63">
        <v>0</v>
      </c>
      <c r="AA43" s="63">
        <v>0</v>
      </c>
      <c r="AB43" s="65">
        <v>0</v>
      </c>
    </row>
    <row r="44" spans="1:28">
      <c r="A44" s="96" t="str">
        <f>[1]Results!B46</f>
        <v>Nuclear Fuel</v>
      </c>
      <c r="B44" s="63">
        <f>[1]Results!H46</f>
        <v>0</v>
      </c>
      <c r="C44" s="58"/>
      <c r="D44" s="63">
        <f t="shared" si="0"/>
        <v>0</v>
      </c>
      <c r="E44" s="60">
        <f t="shared" si="1"/>
        <v>0</v>
      </c>
      <c r="F44" s="61">
        <v>0</v>
      </c>
      <c r="G44" s="64">
        <v>0</v>
      </c>
      <c r="H44" s="61">
        <v>0</v>
      </c>
      <c r="I44" s="63">
        <v>0</v>
      </c>
      <c r="J44" s="64">
        <v>0</v>
      </c>
      <c r="K44" s="224">
        <v>0</v>
      </c>
      <c r="L44" s="64">
        <v>0</v>
      </c>
      <c r="M44" s="114">
        <v>0</v>
      </c>
      <c r="N44" s="224">
        <v>0</v>
      </c>
      <c r="O44" s="63">
        <v>0</v>
      </c>
      <c r="P44" s="63">
        <v>0</v>
      </c>
      <c r="Q44" s="64">
        <v>0</v>
      </c>
      <c r="R44" s="224">
        <v>0</v>
      </c>
      <c r="S44" s="63">
        <v>0</v>
      </c>
      <c r="T44" s="65">
        <v>0</v>
      </c>
      <c r="U44" s="224">
        <v>0</v>
      </c>
      <c r="V44" s="245">
        <v>0</v>
      </c>
      <c r="W44" s="61"/>
      <c r="X44" s="63">
        <v>0</v>
      </c>
      <c r="Y44" s="63">
        <v>0</v>
      </c>
      <c r="Z44" s="63">
        <v>0</v>
      </c>
      <c r="AA44" s="63">
        <v>0</v>
      </c>
      <c r="AB44" s="65">
        <v>0</v>
      </c>
    </row>
    <row r="45" spans="1:28">
      <c r="A45" s="96" t="str">
        <f>[1]Results!B47</f>
        <v>Prepayments</v>
      </c>
      <c r="B45" s="63">
        <f>[1]Results!H47</f>
        <v>0</v>
      </c>
      <c r="C45" s="58"/>
      <c r="D45" s="63">
        <f t="shared" si="0"/>
        <v>0</v>
      </c>
      <c r="E45" s="60">
        <f t="shared" si="1"/>
        <v>0</v>
      </c>
      <c r="F45" s="61">
        <v>0</v>
      </c>
      <c r="G45" s="64">
        <v>0</v>
      </c>
      <c r="H45" s="61">
        <v>0</v>
      </c>
      <c r="I45" s="63">
        <v>0</v>
      </c>
      <c r="J45" s="64">
        <v>0</v>
      </c>
      <c r="K45" s="224">
        <v>0</v>
      </c>
      <c r="L45" s="64">
        <v>0</v>
      </c>
      <c r="M45" s="114">
        <v>0</v>
      </c>
      <c r="N45" s="224">
        <v>0</v>
      </c>
      <c r="O45" s="63">
        <v>0</v>
      </c>
      <c r="P45" s="63">
        <v>0</v>
      </c>
      <c r="Q45" s="64">
        <v>0</v>
      </c>
      <c r="R45" s="224">
        <v>0</v>
      </c>
      <c r="S45" s="63">
        <v>0</v>
      </c>
      <c r="T45" s="65">
        <v>0</v>
      </c>
      <c r="U45" s="224">
        <v>0</v>
      </c>
      <c r="V45" s="245">
        <v>0</v>
      </c>
      <c r="W45" s="61"/>
      <c r="X45" s="63">
        <v>0</v>
      </c>
      <c r="Y45" s="63">
        <v>0</v>
      </c>
      <c r="Z45" s="63">
        <v>0</v>
      </c>
      <c r="AA45" s="63">
        <v>0</v>
      </c>
      <c r="AB45" s="65">
        <v>0</v>
      </c>
    </row>
    <row r="46" spans="1:28">
      <c r="A46" s="96" t="str">
        <f>[1]Results!B48</f>
        <v>Fuel Stock</v>
      </c>
      <c r="B46" s="63">
        <f>[1]Results!H48</f>
        <v>-3595.335989266634</v>
      </c>
      <c r="C46" s="58"/>
      <c r="D46" s="63">
        <f t="shared" si="0"/>
        <v>-3595.335989266634</v>
      </c>
      <c r="E46" s="60">
        <f t="shared" si="1"/>
        <v>0</v>
      </c>
      <c r="F46" s="61">
        <v>0</v>
      </c>
      <c r="G46" s="64">
        <v>0</v>
      </c>
      <c r="H46" s="61">
        <v>0</v>
      </c>
      <c r="I46" s="63">
        <v>0</v>
      </c>
      <c r="J46" s="64">
        <v>0</v>
      </c>
      <c r="K46" s="224">
        <v>0</v>
      </c>
      <c r="L46" s="64">
        <v>0</v>
      </c>
      <c r="M46" s="114">
        <v>0</v>
      </c>
      <c r="N46" s="224">
        <v>0</v>
      </c>
      <c r="O46" s="63">
        <v>0</v>
      </c>
      <c r="P46" s="63">
        <v>0</v>
      </c>
      <c r="Q46" s="64">
        <v>0</v>
      </c>
      <c r="R46" s="224">
        <v>0</v>
      </c>
      <c r="S46" s="63">
        <v>0</v>
      </c>
      <c r="T46" s="65">
        <v>0</v>
      </c>
      <c r="U46" s="224">
        <v>0</v>
      </c>
      <c r="V46" s="245">
        <v>0</v>
      </c>
      <c r="W46" s="61"/>
      <c r="X46" s="63">
        <v>0</v>
      </c>
      <c r="Y46" s="63">
        <v>0</v>
      </c>
      <c r="Z46" s="63">
        <f>[1]ContractChange!$I$91</f>
        <v>-3595.335989266634</v>
      </c>
      <c r="AA46" s="63">
        <v>0</v>
      </c>
      <c r="AB46" s="65">
        <v>0</v>
      </c>
    </row>
    <row r="47" spans="1:28">
      <c r="A47" s="96" t="str">
        <f>[1]Results!B49</f>
        <v>Material &amp; Supplies</v>
      </c>
      <c r="B47" s="63">
        <f>[1]Results!H49</f>
        <v>-3545.2505568028428</v>
      </c>
      <c r="C47" s="58"/>
      <c r="D47" s="63">
        <f t="shared" si="0"/>
        <v>-3545.2505568028428</v>
      </c>
      <c r="E47" s="60">
        <f t="shared" si="1"/>
        <v>0</v>
      </c>
      <c r="F47" s="61">
        <v>0</v>
      </c>
      <c r="G47" s="64">
        <v>0</v>
      </c>
      <c r="H47" s="61">
        <v>0</v>
      </c>
      <c r="I47" s="63">
        <v>0</v>
      </c>
      <c r="J47" s="64">
        <v>0</v>
      </c>
      <c r="K47" s="224">
        <v>0</v>
      </c>
      <c r="L47" s="64">
        <v>0</v>
      </c>
      <c r="M47" s="114">
        <v>0</v>
      </c>
      <c r="N47" s="224">
        <v>0</v>
      </c>
      <c r="O47" s="63">
        <v>0</v>
      </c>
      <c r="P47" s="63">
        <v>0</v>
      </c>
      <c r="Q47" s="64">
        <v>0</v>
      </c>
      <c r="R47" s="224">
        <v>0</v>
      </c>
      <c r="S47" s="63">
        <v>0</v>
      </c>
      <c r="T47" s="65">
        <v>0</v>
      </c>
      <c r="U47" s="224">
        <v>0</v>
      </c>
      <c r="V47" s="245">
        <v>0</v>
      </c>
      <c r="W47" s="61"/>
      <c r="X47" s="63">
        <v>0</v>
      </c>
      <c r="Y47" s="63">
        <v>0</v>
      </c>
      <c r="Z47" s="63">
        <f>[1]ContractChange!$I$90</f>
        <v>-3545.2505568028428</v>
      </c>
      <c r="AA47" s="63">
        <v>0</v>
      </c>
      <c r="AB47" s="65">
        <v>0</v>
      </c>
    </row>
    <row r="48" spans="1:28">
      <c r="A48" s="96" t="str">
        <f>[1]Results!B50</f>
        <v>Working Capital</v>
      </c>
      <c r="B48" s="63">
        <f>[1]Results!H50</f>
        <v>364275.90369573049</v>
      </c>
      <c r="C48" s="58"/>
      <c r="D48" s="63">
        <f t="shared" si="0"/>
        <v>364275.90369573049</v>
      </c>
      <c r="E48" s="60">
        <f t="shared" si="1"/>
        <v>0</v>
      </c>
      <c r="F48" s="61">
        <v>0</v>
      </c>
      <c r="G48" s="64">
        <v>0</v>
      </c>
      <c r="H48" s="61">
        <v>0</v>
      </c>
      <c r="I48" s="63">
        <v>0</v>
      </c>
      <c r="J48" s="64">
        <v>0</v>
      </c>
      <c r="K48" s="224">
        <v>0</v>
      </c>
      <c r="L48" s="64">
        <v>0</v>
      </c>
      <c r="M48" s="114">
        <v>0</v>
      </c>
      <c r="N48" s="224">
        <v>0</v>
      </c>
      <c r="O48" s="63">
        <v>0</v>
      </c>
      <c r="P48" s="63">
        <v>0</v>
      </c>
      <c r="Q48" s="64">
        <v>0</v>
      </c>
      <c r="R48" s="224">
        <v>0</v>
      </c>
      <c r="S48" s="63">
        <v>0</v>
      </c>
      <c r="T48" s="65">
        <v>0</v>
      </c>
      <c r="U48" s="224">
        <v>0</v>
      </c>
      <c r="V48" s="245">
        <v>0</v>
      </c>
      <c r="W48" s="61"/>
      <c r="X48" s="63">
        <v>0</v>
      </c>
      <c r="Y48" s="63">
        <v>0</v>
      </c>
      <c r="Z48" s="63">
        <v>0</v>
      </c>
      <c r="AA48" s="63">
        <f>[1]RB!$I$633</f>
        <v>364275.90369573049</v>
      </c>
      <c r="AB48" s="65">
        <v>0</v>
      </c>
    </row>
    <row r="49" spans="1:28">
      <c r="A49" s="96" t="str">
        <f>[1]Results!B51</f>
        <v>Weatherization</v>
      </c>
      <c r="B49" s="63">
        <f>[1]Results!H51</f>
        <v>0</v>
      </c>
      <c r="C49" s="58"/>
      <c r="D49" s="63">
        <f t="shared" si="0"/>
        <v>0</v>
      </c>
      <c r="E49" s="60">
        <f t="shared" si="1"/>
        <v>0</v>
      </c>
      <c r="F49" s="61">
        <v>0</v>
      </c>
      <c r="G49" s="64">
        <v>0</v>
      </c>
      <c r="H49" s="61">
        <v>0</v>
      </c>
      <c r="I49" s="63">
        <v>0</v>
      </c>
      <c r="J49" s="64">
        <v>0</v>
      </c>
      <c r="K49" s="224">
        <v>0</v>
      </c>
      <c r="L49" s="64">
        <v>0</v>
      </c>
      <c r="M49" s="114">
        <v>0</v>
      </c>
      <c r="N49" s="224">
        <v>0</v>
      </c>
      <c r="O49" s="63">
        <v>0</v>
      </c>
      <c r="P49" s="63">
        <v>0</v>
      </c>
      <c r="Q49" s="64">
        <v>0</v>
      </c>
      <c r="R49" s="224">
        <v>0</v>
      </c>
      <c r="S49" s="63">
        <v>0</v>
      </c>
      <c r="T49" s="65">
        <v>0</v>
      </c>
      <c r="U49" s="224">
        <v>0</v>
      </c>
      <c r="V49" s="245">
        <v>0</v>
      </c>
      <c r="W49" s="61"/>
      <c r="X49" s="63">
        <v>0</v>
      </c>
      <c r="Y49" s="63">
        <v>0</v>
      </c>
      <c r="Z49" s="63">
        <v>0</v>
      </c>
      <c r="AA49" s="63">
        <v>0</v>
      </c>
      <c r="AB49" s="65">
        <v>0</v>
      </c>
    </row>
    <row r="50" spans="1:28">
      <c r="A50" s="96" t="str">
        <f>[1]Results!B52</f>
        <v xml:space="preserve">Misc Rate Base </v>
      </c>
      <c r="B50" s="63">
        <f>[1]Results!H52</f>
        <v>0</v>
      </c>
      <c r="C50" s="58"/>
      <c r="D50" s="63">
        <f t="shared" si="0"/>
        <v>0</v>
      </c>
      <c r="E50" s="60">
        <f t="shared" si="1"/>
        <v>0</v>
      </c>
      <c r="F50" s="61">
        <v>0</v>
      </c>
      <c r="G50" s="64">
        <v>0</v>
      </c>
      <c r="H50" s="61">
        <v>0</v>
      </c>
      <c r="I50" s="63">
        <v>0</v>
      </c>
      <c r="J50" s="64">
        <v>0</v>
      </c>
      <c r="K50" s="224">
        <v>0</v>
      </c>
      <c r="L50" s="64">
        <v>0</v>
      </c>
      <c r="M50" s="114">
        <v>0</v>
      </c>
      <c r="N50" s="224">
        <v>0</v>
      </c>
      <c r="O50" s="63">
        <v>0</v>
      </c>
      <c r="P50" s="63">
        <v>0</v>
      </c>
      <c r="Q50" s="64">
        <v>0</v>
      </c>
      <c r="R50" s="224">
        <v>0</v>
      </c>
      <c r="S50" s="63">
        <v>0</v>
      </c>
      <c r="T50" s="65">
        <v>0</v>
      </c>
      <c r="U50" s="224">
        <v>0</v>
      </c>
      <c r="V50" s="245">
        <v>0</v>
      </c>
      <c r="W50" s="61"/>
      <c r="X50" s="63">
        <v>0</v>
      </c>
      <c r="Y50" s="63">
        <v>0</v>
      </c>
      <c r="Z50" s="63">
        <v>0</v>
      </c>
      <c r="AA50" s="63">
        <v>0</v>
      </c>
      <c r="AB50" s="65">
        <v>0</v>
      </c>
    </row>
    <row r="51" spans="1:28">
      <c r="A51" s="96" t="str">
        <f>[1]Results!B53</f>
        <v xml:space="preserve">   Total Electric Plant:</v>
      </c>
      <c r="B51" s="80">
        <f>[1]Results!H53</f>
        <v>14383290.524487253</v>
      </c>
      <c r="C51" s="142"/>
      <c r="D51" s="80">
        <f t="shared" si="0"/>
        <v>14383290.524487253</v>
      </c>
      <c r="E51" s="67">
        <f t="shared" si="1"/>
        <v>0</v>
      </c>
      <c r="F51" s="81">
        <f t="shared" ref="F51:Q51" si="21">SUM(F40:F50)</f>
        <v>0</v>
      </c>
      <c r="G51" s="82">
        <f t="shared" si="21"/>
        <v>0</v>
      </c>
      <c r="H51" s="81">
        <f t="shared" si="21"/>
        <v>0</v>
      </c>
      <c r="I51" s="80">
        <f t="shared" si="21"/>
        <v>0</v>
      </c>
      <c r="J51" s="82">
        <f t="shared" si="21"/>
        <v>-637047.28166666592</v>
      </c>
      <c r="K51" s="229">
        <f t="shared" si="21"/>
        <v>0</v>
      </c>
      <c r="L51" s="82">
        <f t="shared" si="21"/>
        <v>0</v>
      </c>
      <c r="M51" s="119">
        <f t="shared" si="21"/>
        <v>0</v>
      </c>
      <c r="N51" s="229">
        <f t="shared" si="21"/>
        <v>0</v>
      </c>
      <c r="O51" s="80">
        <f t="shared" si="21"/>
        <v>0</v>
      </c>
      <c r="P51" s="80">
        <f t="shared" si="21"/>
        <v>0</v>
      </c>
      <c r="Q51" s="82">
        <f t="shared" si="21"/>
        <v>0</v>
      </c>
      <c r="R51" s="229">
        <f>SUM(R40:R50)</f>
        <v>0</v>
      </c>
      <c r="S51" s="80">
        <f>SUM(S40:S50)</f>
        <v>75958.380277030345</v>
      </c>
      <c r="T51" s="82">
        <f>SUM(T40:T50)</f>
        <v>15750000</v>
      </c>
      <c r="U51" s="229">
        <f>SUM(U40:U50)</f>
        <v>0</v>
      </c>
      <c r="V51" s="249">
        <f>SUM(V40:V50)</f>
        <v>0</v>
      </c>
      <c r="W51" s="81">
        <f t="shared" ref="W51" si="22">SUM(W40:W50)</f>
        <v>0</v>
      </c>
      <c r="X51" s="80">
        <f t="shared" ref="X51" si="23">SUM(X40:X50)</f>
        <v>0</v>
      </c>
      <c r="Y51" s="80">
        <f>SUM(Y40:Y50)</f>
        <v>-1067075.8250330254</v>
      </c>
      <c r="Z51" s="80">
        <f>SUM(Z40:Z50)</f>
        <v>-102820.65278581559</v>
      </c>
      <c r="AA51" s="80">
        <f>SUM(AA40:AA50)</f>
        <v>364275.90369573049</v>
      </c>
      <c r="AB51" s="82">
        <f t="shared" ref="AB51" si="24">SUM(AB40:AB50)</f>
        <v>0</v>
      </c>
    </row>
    <row r="52" spans="1:28">
      <c r="A52" s="96"/>
      <c r="B52" s="50">
        <f>[1]Results!H54</f>
        <v>0</v>
      </c>
      <c r="C52" s="58"/>
      <c r="D52" s="50">
        <f t="shared" si="0"/>
        <v>0</v>
      </c>
      <c r="E52" s="60"/>
      <c r="F52" s="54"/>
      <c r="G52" s="56"/>
      <c r="H52" s="54"/>
      <c r="I52" s="50"/>
      <c r="J52" s="56"/>
      <c r="K52" s="223"/>
      <c r="L52" s="56"/>
      <c r="M52" s="113"/>
      <c r="N52" s="223"/>
      <c r="O52" s="50"/>
      <c r="P52" s="50"/>
      <c r="Q52" s="56"/>
      <c r="R52" s="223"/>
      <c r="S52" s="50"/>
      <c r="T52" s="56"/>
      <c r="U52" s="223"/>
      <c r="V52" s="244"/>
      <c r="W52" s="54"/>
      <c r="X52" s="50"/>
      <c r="Y52" s="50"/>
      <c r="Z52" s="50"/>
      <c r="AA52" s="50"/>
      <c r="AB52" s="56"/>
    </row>
    <row r="53" spans="1:28">
      <c r="A53" s="96" t="str">
        <f>[1]Results!B55</f>
        <v>Rate Base Deductions:</v>
      </c>
      <c r="B53" s="50">
        <f>[1]Results!H55</f>
        <v>0</v>
      </c>
      <c r="C53" s="58"/>
      <c r="D53" s="50">
        <f t="shared" si="0"/>
        <v>0</v>
      </c>
      <c r="E53" s="60"/>
      <c r="F53" s="54"/>
      <c r="G53" s="56"/>
      <c r="H53" s="54"/>
      <c r="I53" s="50"/>
      <c r="J53" s="56"/>
      <c r="K53" s="223"/>
      <c r="L53" s="56"/>
      <c r="M53" s="113"/>
      <c r="N53" s="223"/>
      <c r="O53" s="50"/>
      <c r="P53" s="50"/>
      <c r="Q53" s="56"/>
      <c r="R53" s="223"/>
      <c r="S53" s="50"/>
      <c r="T53" s="56"/>
      <c r="U53" s="223"/>
      <c r="V53" s="244"/>
      <c r="W53" s="54"/>
      <c r="X53" s="50"/>
      <c r="Y53" s="50"/>
      <c r="Z53" s="50"/>
      <c r="AA53" s="50"/>
      <c r="AB53" s="56"/>
    </row>
    <row r="54" spans="1:28">
      <c r="A54" s="96" t="str">
        <f>[1]Results!B56</f>
        <v>Accum Prov For Deprec</v>
      </c>
      <c r="B54" s="63">
        <f>[1]Results!H56</f>
        <v>123289.41095567844</v>
      </c>
      <c r="C54" s="58"/>
      <c r="D54" s="63">
        <f t="shared" si="0"/>
        <v>123289.41095567844</v>
      </c>
      <c r="E54" s="60">
        <f t="shared" si="1"/>
        <v>0</v>
      </c>
      <c r="F54" s="61">
        <v>0</v>
      </c>
      <c r="G54" s="64">
        <v>0</v>
      </c>
      <c r="H54" s="61">
        <v>0</v>
      </c>
      <c r="I54" s="63">
        <v>0</v>
      </c>
      <c r="J54" s="64">
        <v>0</v>
      </c>
      <c r="K54" s="224">
        <v>0</v>
      </c>
      <c r="L54" s="64">
        <v>0</v>
      </c>
      <c r="M54" s="114">
        <f>[1]DEPR!$I$141</f>
        <v>-256078.4788596172</v>
      </c>
      <c r="N54" s="224">
        <v>0</v>
      </c>
      <c r="O54" s="63">
        <v>0</v>
      </c>
      <c r="P54" s="63">
        <v>0</v>
      </c>
      <c r="Q54" s="64">
        <v>0</v>
      </c>
      <c r="R54" s="224">
        <v>0</v>
      </c>
      <c r="S54" s="63">
        <v>0</v>
      </c>
      <c r="T54" s="65">
        <v>0</v>
      </c>
      <c r="U54" s="224">
        <v>0</v>
      </c>
      <c r="V54" s="245">
        <v>0</v>
      </c>
      <c r="W54" s="61"/>
      <c r="X54" s="63">
        <v>0</v>
      </c>
      <c r="Y54" s="63">
        <f>[1]ContractChange!$I$23</f>
        <v>337916.75424200163</v>
      </c>
      <c r="Z54" s="63">
        <f>[1]ContractChange!$I$93</f>
        <v>41451.135573294014</v>
      </c>
      <c r="AA54" s="63">
        <v>0</v>
      </c>
      <c r="AB54" s="65">
        <v>0</v>
      </c>
    </row>
    <row r="55" spans="1:28">
      <c r="A55" s="96" t="str">
        <f>[1]Results!B57</f>
        <v>Accum Prov For Amort</v>
      </c>
      <c r="B55" s="63">
        <f>[1]Results!H57</f>
        <v>0</v>
      </c>
      <c r="C55" s="58"/>
      <c r="D55" s="63">
        <f t="shared" si="0"/>
        <v>0</v>
      </c>
      <c r="E55" s="60">
        <f t="shared" si="1"/>
        <v>0</v>
      </c>
      <c r="F55" s="61">
        <v>0</v>
      </c>
      <c r="G55" s="64">
        <v>0</v>
      </c>
      <c r="H55" s="61">
        <v>0</v>
      </c>
      <c r="I55" s="63">
        <v>0</v>
      </c>
      <c r="J55" s="64">
        <v>0</v>
      </c>
      <c r="K55" s="224">
        <v>0</v>
      </c>
      <c r="L55" s="64">
        <v>0</v>
      </c>
      <c r="M55" s="114">
        <v>0</v>
      </c>
      <c r="N55" s="224">
        <v>0</v>
      </c>
      <c r="O55" s="63">
        <v>0</v>
      </c>
      <c r="P55" s="63">
        <v>0</v>
      </c>
      <c r="Q55" s="64">
        <v>0</v>
      </c>
      <c r="R55" s="224">
        <v>0</v>
      </c>
      <c r="S55" s="63">
        <v>0</v>
      </c>
      <c r="T55" s="65">
        <v>0</v>
      </c>
      <c r="U55" s="224">
        <v>0</v>
      </c>
      <c r="V55" s="245">
        <v>0</v>
      </c>
      <c r="W55" s="61"/>
      <c r="X55" s="63">
        <v>0</v>
      </c>
      <c r="Y55" s="63">
        <v>0</v>
      </c>
      <c r="Z55" s="63">
        <v>0</v>
      </c>
      <c r="AA55" s="63">
        <v>0</v>
      </c>
      <c r="AB55" s="65">
        <v>0</v>
      </c>
    </row>
    <row r="56" spans="1:28">
      <c r="A56" s="96" t="str">
        <f>[1]Results!B58</f>
        <v>Accum Def Income Tax</v>
      </c>
      <c r="B56" s="63">
        <f>[1]Results!H58</f>
        <v>-5544377.9755178178</v>
      </c>
      <c r="C56" s="58"/>
      <c r="D56" s="63">
        <f t="shared" si="0"/>
        <v>-5544377.9755178178</v>
      </c>
      <c r="E56" s="60">
        <f t="shared" si="1"/>
        <v>0</v>
      </c>
      <c r="F56" s="61">
        <v>0</v>
      </c>
      <c r="G56" s="64">
        <v>0</v>
      </c>
      <c r="H56" s="61">
        <v>0</v>
      </c>
      <c r="I56" s="63">
        <v>0</v>
      </c>
      <c r="J56" s="64">
        <f>[1]OM!$I$457+[1]OM!$I$461</f>
        <v>330670.96956528531</v>
      </c>
      <c r="K56" s="224">
        <v>0</v>
      </c>
      <c r="L56" s="64">
        <v>0</v>
      </c>
      <c r="M56" s="114">
        <v>0</v>
      </c>
      <c r="N56" s="224">
        <v>0</v>
      </c>
      <c r="O56" s="63">
        <v>0</v>
      </c>
      <c r="P56" s="63">
        <v>0</v>
      </c>
      <c r="Q56" s="64">
        <v>0</v>
      </c>
      <c r="R56" s="224">
        <v>0</v>
      </c>
      <c r="S56" s="63">
        <f>SUM([1]RB!$I$396,[1]RB!$I$401)</f>
        <v>386866.05491689674</v>
      </c>
      <c r="T56" s="65">
        <f>[1]RB!$I$579</f>
        <v>-6261915</v>
      </c>
      <c r="U56" s="224">
        <v>0</v>
      </c>
      <c r="V56" s="245">
        <v>0</v>
      </c>
      <c r="W56" s="61"/>
      <c r="X56" s="63">
        <v>0</v>
      </c>
      <c r="Y56" s="63">
        <v>0</v>
      </c>
      <c r="Z56" s="63">
        <v>0</v>
      </c>
      <c r="AA56" s="63">
        <v>0</v>
      </c>
      <c r="AB56" s="65">
        <v>0</v>
      </c>
    </row>
    <row r="57" spans="1:28">
      <c r="A57" s="96" t="str">
        <f>[1]Results!B59</f>
        <v>Unamortized ITC</v>
      </c>
      <c r="B57" s="63">
        <f>[1]Results!H59</f>
        <v>0</v>
      </c>
      <c r="C57" s="58"/>
      <c r="D57" s="63">
        <f t="shared" si="0"/>
        <v>0</v>
      </c>
      <c r="E57" s="60">
        <f t="shared" si="1"/>
        <v>0</v>
      </c>
      <c r="F57" s="61">
        <v>0</v>
      </c>
      <c r="G57" s="64">
        <v>0</v>
      </c>
      <c r="H57" s="61">
        <v>0</v>
      </c>
      <c r="I57" s="63">
        <v>0</v>
      </c>
      <c r="J57" s="64">
        <v>0</v>
      </c>
      <c r="K57" s="224">
        <v>0</v>
      </c>
      <c r="L57" s="64">
        <v>0</v>
      </c>
      <c r="M57" s="114">
        <v>0</v>
      </c>
      <c r="N57" s="224">
        <v>0</v>
      </c>
      <c r="O57" s="63">
        <v>0</v>
      </c>
      <c r="P57" s="63">
        <v>0</v>
      </c>
      <c r="Q57" s="64"/>
      <c r="R57" s="224">
        <v>0</v>
      </c>
      <c r="S57" s="63">
        <v>0</v>
      </c>
      <c r="T57" s="65">
        <v>0</v>
      </c>
      <c r="U57" s="224">
        <v>0</v>
      </c>
      <c r="V57" s="245">
        <v>0</v>
      </c>
      <c r="W57" s="61"/>
      <c r="X57" s="63">
        <v>0</v>
      </c>
      <c r="Y57" s="63">
        <v>0</v>
      </c>
      <c r="Z57" s="63">
        <v>0</v>
      </c>
      <c r="AA57" s="63">
        <v>0</v>
      </c>
      <c r="AB57" s="65">
        <v>0</v>
      </c>
    </row>
    <row r="58" spans="1:28">
      <c r="A58" s="96" t="str">
        <f>[1]Results!B60</f>
        <v>Customer Adv For Const</v>
      </c>
      <c r="B58" s="63">
        <f>[1]Results!H60</f>
        <v>0</v>
      </c>
      <c r="C58" s="58"/>
      <c r="D58" s="63">
        <f t="shared" si="0"/>
        <v>0</v>
      </c>
      <c r="E58" s="60">
        <f t="shared" si="1"/>
        <v>0</v>
      </c>
      <c r="F58" s="61">
        <v>0</v>
      </c>
      <c r="G58" s="64">
        <v>0</v>
      </c>
      <c r="H58" s="61">
        <v>0</v>
      </c>
      <c r="I58" s="63">
        <v>0</v>
      </c>
      <c r="J58" s="64">
        <v>0</v>
      </c>
      <c r="K58" s="224">
        <v>0</v>
      </c>
      <c r="L58" s="64">
        <v>0</v>
      </c>
      <c r="M58" s="114">
        <v>0</v>
      </c>
      <c r="N58" s="224">
        <v>0</v>
      </c>
      <c r="O58" s="63">
        <v>0</v>
      </c>
      <c r="P58" s="63">
        <v>0</v>
      </c>
      <c r="Q58" s="64">
        <v>0</v>
      </c>
      <c r="R58" s="224">
        <v>0</v>
      </c>
      <c r="S58" s="63">
        <v>0</v>
      </c>
      <c r="T58" s="65">
        <v>0</v>
      </c>
      <c r="U58" s="224">
        <v>0</v>
      </c>
      <c r="V58" s="245">
        <v>0</v>
      </c>
      <c r="W58" s="61"/>
      <c r="X58" s="63">
        <v>0</v>
      </c>
      <c r="Y58" s="63">
        <v>0</v>
      </c>
      <c r="Z58" s="63">
        <v>0</v>
      </c>
      <c r="AA58" s="63">
        <v>0</v>
      </c>
      <c r="AB58" s="65">
        <v>0</v>
      </c>
    </row>
    <row r="59" spans="1:28">
      <c r="A59" s="96" t="str">
        <f>[1]Results!B61</f>
        <v>Customer Service Deposits</v>
      </c>
      <c r="B59" s="63">
        <f>[1]Results!H61</f>
        <v>0</v>
      </c>
      <c r="C59" s="58"/>
      <c r="D59" s="63">
        <f t="shared" si="0"/>
        <v>0</v>
      </c>
      <c r="E59" s="60">
        <f t="shared" si="1"/>
        <v>0</v>
      </c>
      <c r="F59" s="61">
        <v>0</v>
      </c>
      <c r="G59" s="64">
        <v>0</v>
      </c>
      <c r="H59" s="61">
        <v>0</v>
      </c>
      <c r="I59" s="63">
        <v>0</v>
      </c>
      <c r="J59" s="64">
        <v>0</v>
      </c>
      <c r="K59" s="224">
        <v>0</v>
      </c>
      <c r="L59" s="64">
        <v>0</v>
      </c>
      <c r="M59" s="114">
        <v>0</v>
      </c>
      <c r="N59" s="224">
        <v>0</v>
      </c>
      <c r="O59" s="63">
        <v>0</v>
      </c>
      <c r="P59" s="63">
        <v>0</v>
      </c>
      <c r="Q59" s="64">
        <v>0</v>
      </c>
      <c r="R59" s="224">
        <v>0</v>
      </c>
      <c r="S59" s="63">
        <v>0</v>
      </c>
      <c r="T59" s="65">
        <v>0</v>
      </c>
      <c r="U59" s="224">
        <v>0</v>
      </c>
      <c r="V59" s="245">
        <v>0</v>
      </c>
      <c r="W59" s="61"/>
      <c r="X59" s="63">
        <v>0</v>
      </c>
      <c r="Y59" s="63">
        <v>0</v>
      </c>
      <c r="Z59" s="63">
        <v>0</v>
      </c>
      <c r="AA59" s="63">
        <v>0</v>
      </c>
      <c r="AB59" s="65">
        <v>0</v>
      </c>
    </row>
    <row r="60" spans="1:28">
      <c r="A60" s="96" t="str">
        <f>[1]Results!B62</f>
        <v>Misc Rate Base Deductions</v>
      </c>
      <c r="B60" s="63">
        <f>[1]Results!H62</f>
        <v>6650.0176601060666</v>
      </c>
      <c r="C60" s="58"/>
      <c r="D60" s="63">
        <f t="shared" si="0"/>
        <v>6650.0176601060666</v>
      </c>
      <c r="E60" s="60">
        <f t="shared" si="1"/>
        <v>0</v>
      </c>
      <c r="F60" s="61">
        <v>0</v>
      </c>
      <c r="G60" s="64">
        <v>0</v>
      </c>
      <c r="H60" s="61">
        <v>0</v>
      </c>
      <c r="I60" s="63">
        <v>0</v>
      </c>
      <c r="J60" s="64">
        <v>0</v>
      </c>
      <c r="K60" s="224">
        <v>0</v>
      </c>
      <c r="L60" s="64">
        <v>0</v>
      </c>
      <c r="M60" s="114">
        <v>0</v>
      </c>
      <c r="N60" s="224">
        <v>0</v>
      </c>
      <c r="O60" s="63">
        <v>0</v>
      </c>
      <c r="P60" s="63">
        <v>0</v>
      </c>
      <c r="Q60" s="64">
        <v>0</v>
      </c>
      <c r="R60" s="224">
        <v>0</v>
      </c>
      <c r="S60" s="63">
        <v>0</v>
      </c>
      <c r="T60" s="65">
        <v>0</v>
      </c>
      <c r="U60" s="224">
        <v>0</v>
      </c>
      <c r="V60" s="245">
        <v>0</v>
      </c>
      <c r="W60" s="61"/>
      <c r="X60" s="63">
        <v>0</v>
      </c>
      <c r="Y60" s="63">
        <v>0</v>
      </c>
      <c r="Z60" s="63">
        <f>[1]ContractChange!$I$98</f>
        <v>6650.0176601060666</v>
      </c>
      <c r="AA60" s="63">
        <v>0</v>
      </c>
      <c r="AB60" s="65">
        <v>0</v>
      </c>
    </row>
    <row r="61" spans="1:28">
      <c r="A61" s="96"/>
      <c r="B61" s="50">
        <f>[1]Results!H63</f>
        <v>0</v>
      </c>
      <c r="C61" s="58"/>
      <c r="D61" s="50">
        <f t="shared" si="0"/>
        <v>0</v>
      </c>
      <c r="E61" s="60"/>
      <c r="F61" s="54"/>
      <c r="G61" s="56"/>
      <c r="H61" s="54"/>
      <c r="I61" s="50"/>
      <c r="J61" s="56"/>
      <c r="K61" s="223"/>
      <c r="L61" s="56"/>
      <c r="M61" s="113"/>
      <c r="N61" s="223"/>
      <c r="O61" s="50"/>
      <c r="P61" s="50"/>
      <c r="Q61" s="56"/>
      <c r="R61" s="223"/>
      <c r="S61" s="50"/>
      <c r="T61" s="56"/>
      <c r="U61" s="223"/>
      <c r="V61" s="244"/>
      <c r="W61" s="54"/>
      <c r="X61" s="50"/>
      <c r="Y61" s="50"/>
      <c r="Z61" s="50"/>
      <c r="AA61" s="50"/>
      <c r="AB61" s="56"/>
    </row>
    <row r="62" spans="1:28">
      <c r="A62" s="96" t="str">
        <f>[1]Results!B64</f>
        <v xml:space="preserve">     Total Rate Base Deductions</v>
      </c>
      <c r="B62" s="66">
        <f>[1]Results!H64</f>
        <v>-5414438.5469020326</v>
      </c>
      <c r="C62" s="142"/>
      <c r="D62" s="66">
        <f t="shared" si="0"/>
        <v>-5414438.5469020326</v>
      </c>
      <c r="E62" s="67">
        <f t="shared" si="1"/>
        <v>0</v>
      </c>
      <c r="F62" s="68">
        <f t="shared" ref="F62:L62" si="25">SUM(F54:F61)</f>
        <v>0</v>
      </c>
      <c r="G62" s="69">
        <f t="shared" si="25"/>
        <v>0</v>
      </c>
      <c r="H62" s="68">
        <f t="shared" si="25"/>
        <v>0</v>
      </c>
      <c r="I62" s="66">
        <f t="shared" si="25"/>
        <v>0</v>
      </c>
      <c r="J62" s="69">
        <f t="shared" si="25"/>
        <v>330670.96956528531</v>
      </c>
      <c r="K62" s="225">
        <f t="shared" si="25"/>
        <v>0</v>
      </c>
      <c r="L62" s="69">
        <f t="shared" si="25"/>
        <v>0</v>
      </c>
      <c r="M62" s="115">
        <f>SUM(M54:M61)</f>
        <v>-256078.4788596172</v>
      </c>
      <c r="N62" s="225">
        <f t="shared" ref="N62:U62" si="26">SUM(N54:N61)</f>
        <v>0</v>
      </c>
      <c r="O62" s="66">
        <f t="shared" si="26"/>
        <v>0</v>
      </c>
      <c r="P62" s="66">
        <f t="shared" si="26"/>
        <v>0</v>
      </c>
      <c r="Q62" s="69">
        <f t="shared" si="26"/>
        <v>0</v>
      </c>
      <c r="R62" s="225">
        <f t="shared" si="26"/>
        <v>0</v>
      </c>
      <c r="S62" s="66">
        <f t="shared" si="26"/>
        <v>386866.05491689674</v>
      </c>
      <c r="T62" s="69">
        <f t="shared" si="26"/>
        <v>-6261915</v>
      </c>
      <c r="U62" s="225">
        <f t="shared" si="26"/>
        <v>0</v>
      </c>
      <c r="V62" s="246">
        <f t="shared" ref="V62:AB62" si="27">SUM(V54:V61)</f>
        <v>0</v>
      </c>
      <c r="W62" s="68">
        <f t="shared" si="27"/>
        <v>0</v>
      </c>
      <c r="X62" s="66">
        <f t="shared" ref="X62" si="28">SUM(X54:X61)</f>
        <v>0</v>
      </c>
      <c r="Y62" s="66">
        <f t="shared" ref="Y62:Z62" si="29">SUM(Y54:Y61)</f>
        <v>337916.75424200163</v>
      </c>
      <c r="Z62" s="66">
        <f t="shared" si="29"/>
        <v>48101.15323340008</v>
      </c>
      <c r="AA62" s="66">
        <f t="shared" si="27"/>
        <v>0</v>
      </c>
      <c r="AB62" s="69">
        <f t="shared" si="27"/>
        <v>0</v>
      </c>
    </row>
    <row r="63" spans="1:28">
      <c r="A63" s="96"/>
      <c r="B63" s="50">
        <f>[1]Results!H65</f>
        <v>0</v>
      </c>
      <c r="C63" s="58"/>
      <c r="D63" s="50">
        <f t="shared" si="0"/>
        <v>0</v>
      </c>
      <c r="E63" s="60"/>
      <c r="F63" s="54"/>
      <c r="G63" s="56"/>
      <c r="H63" s="54"/>
      <c r="I63" s="50"/>
      <c r="J63" s="56"/>
      <c r="K63" s="223"/>
      <c r="L63" s="56"/>
      <c r="M63" s="113"/>
      <c r="N63" s="223"/>
      <c r="O63" s="50"/>
      <c r="P63" s="50"/>
      <c r="Q63" s="56"/>
      <c r="R63" s="223"/>
      <c r="S63" s="50"/>
      <c r="T63" s="56"/>
      <c r="U63" s="223"/>
      <c r="V63" s="244"/>
      <c r="W63" s="54"/>
      <c r="X63" s="50"/>
      <c r="Y63" s="50"/>
      <c r="Z63" s="50"/>
      <c r="AA63" s="50"/>
      <c r="AB63" s="56"/>
    </row>
    <row r="64" spans="1:28" ht="13.5" thickBot="1">
      <c r="A64" s="96" t="str">
        <f>[1]Results!B66</f>
        <v xml:space="preserve">   Total Rate Base:</v>
      </c>
      <c r="B64" s="145">
        <f>[1]Results!H66</f>
        <v>8968851.9775852207</v>
      </c>
      <c r="C64" s="146"/>
      <c r="D64" s="145">
        <f t="shared" si="0"/>
        <v>8968851.9775852188</v>
      </c>
      <c r="E64" s="83">
        <f t="shared" si="1"/>
        <v>0</v>
      </c>
      <c r="F64" s="147">
        <f>F51+F62</f>
        <v>0</v>
      </c>
      <c r="G64" s="148">
        <f t="shared" ref="G64:U64" si="30">G51+G62</f>
        <v>0</v>
      </c>
      <c r="H64" s="147">
        <f t="shared" si="30"/>
        <v>0</v>
      </c>
      <c r="I64" s="145">
        <f t="shared" si="30"/>
        <v>0</v>
      </c>
      <c r="J64" s="148">
        <f t="shared" si="30"/>
        <v>-306376.31210138061</v>
      </c>
      <c r="K64" s="250">
        <f t="shared" si="30"/>
        <v>0</v>
      </c>
      <c r="L64" s="148">
        <f t="shared" si="30"/>
        <v>0</v>
      </c>
      <c r="M64" s="149">
        <f t="shared" si="30"/>
        <v>-256078.4788596172</v>
      </c>
      <c r="N64" s="250">
        <f t="shared" si="30"/>
        <v>0</v>
      </c>
      <c r="O64" s="145">
        <f t="shared" si="30"/>
        <v>0</v>
      </c>
      <c r="P64" s="145">
        <f t="shared" si="30"/>
        <v>0</v>
      </c>
      <c r="Q64" s="148">
        <f t="shared" si="30"/>
        <v>0</v>
      </c>
      <c r="R64" s="250">
        <f t="shared" si="30"/>
        <v>0</v>
      </c>
      <c r="S64" s="145">
        <f t="shared" si="30"/>
        <v>462824.43519392709</v>
      </c>
      <c r="T64" s="148">
        <f t="shared" si="30"/>
        <v>9488085</v>
      </c>
      <c r="U64" s="250">
        <f t="shared" si="30"/>
        <v>0</v>
      </c>
      <c r="V64" s="251">
        <f t="shared" ref="V64:AB64" si="31">V51+V62</f>
        <v>0</v>
      </c>
      <c r="W64" s="147">
        <f t="shared" si="31"/>
        <v>0</v>
      </c>
      <c r="X64" s="145">
        <f t="shared" si="31"/>
        <v>0</v>
      </c>
      <c r="Y64" s="145">
        <f t="shared" si="31"/>
        <v>-729159.07079102378</v>
      </c>
      <c r="Z64" s="145">
        <f t="shared" ref="Z64" si="32">Z51+Z62</f>
        <v>-54719.499552415509</v>
      </c>
      <c r="AA64" s="145">
        <f t="shared" si="31"/>
        <v>364275.90369573049</v>
      </c>
      <c r="AB64" s="148">
        <f t="shared" si="31"/>
        <v>0</v>
      </c>
    </row>
    <row r="65" spans="1:28" ht="13.5" thickTop="1">
      <c r="A65" s="96"/>
      <c r="B65" s="50">
        <f>[1]Results!H67</f>
        <v>0</v>
      </c>
      <c r="C65" s="58"/>
      <c r="D65" s="50">
        <f t="shared" si="0"/>
        <v>0</v>
      </c>
      <c r="E65" s="60"/>
      <c r="F65" s="54"/>
      <c r="G65" s="56"/>
      <c r="H65" s="54"/>
      <c r="I65" s="50"/>
      <c r="J65" s="56"/>
      <c r="K65" s="223"/>
      <c r="L65" s="56"/>
      <c r="M65" s="113"/>
      <c r="N65" s="223"/>
      <c r="O65" s="50"/>
      <c r="P65" s="50"/>
      <c r="Q65" s="56"/>
      <c r="R65" s="223"/>
      <c r="S65" s="50"/>
      <c r="T65" s="56"/>
      <c r="U65" s="223"/>
      <c r="V65" s="244"/>
      <c r="W65" s="54"/>
      <c r="X65" s="50"/>
      <c r="Y65" s="50"/>
      <c r="Z65" s="50"/>
      <c r="AA65" s="50"/>
      <c r="AB65" s="56"/>
    </row>
    <row r="66" spans="1:28">
      <c r="A66" s="96"/>
      <c r="B66" s="50">
        <f>[1]Results!H68</f>
        <v>0</v>
      </c>
      <c r="C66" s="58"/>
      <c r="D66" s="50">
        <f t="shared" si="0"/>
        <v>0</v>
      </c>
      <c r="E66" s="60"/>
      <c r="F66" s="54"/>
      <c r="G66" s="56"/>
      <c r="H66" s="54"/>
      <c r="I66" s="50"/>
      <c r="J66" s="56"/>
      <c r="K66" s="223"/>
      <c r="L66" s="56"/>
      <c r="M66" s="113"/>
      <c r="N66" s="223"/>
      <c r="O66" s="50"/>
      <c r="P66" s="50"/>
      <c r="Q66" s="56"/>
      <c r="R66" s="223"/>
      <c r="S66" s="50"/>
      <c r="T66" s="56"/>
      <c r="U66" s="223"/>
      <c r="V66" s="244"/>
      <c r="W66" s="54"/>
      <c r="X66" s="50"/>
      <c r="Y66" s="50"/>
      <c r="Z66" s="50"/>
      <c r="AA66" s="50"/>
      <c r="AB66" s="56"/>
    </row>
    <row r="67" spans="1:28">
      <c r="A67" s="96" t="str">
        <f>[1]Results!B69</f>
        <v>Return on Equity</v>
      </c>
      <c r="B67" s="173">
        <f>[1]Results!H69</f>
        <v>-1.504394174770831E-2</v>
      </c>
      <c r="C67" s="178"/>
      <c r="D67" s="173">
        <f t="shared" si="0"/>
        <v>-1.4908788369467366E-2</v>
      </c>
      <c r="E67" s="174">
        <f t="shared" ref="E67:E68" si="33">B67-D67</f>
        <v>-1.3515337824094448E-4</v>
      </c>
      <c r="F67" s="179">
        <f>((F37+[1]Results!$G$39)/(F64+[1]Results!$G$66)-'Capital Structure'!$G$6-'Capital Structure'!$G$7)/'Capital Structure'!$C$8-[1]Results!$G$69</f>
        <v>2.0196203494001183E-2</v>
      </c>
      <c r="G67" s="180">
        <f>((G37+[1]Results!$G$39)/(G64+[1]Results!$G$66)-'Capital Structure'!$G$6-'Capital Structure'!$G$7)/'Capital Structure'!$C$8-[1]Results!$G$69</f>
        <v>-2.7785586920514582E-5</v>
      </c>
      <c r="H67" s="179">
        <f>((H37+[1]Results!$G$39)/(H64+[1]Results!$G$66)-'Capital Structure'!$G$6-'Capital Structure'!$G$7)/'Capital Structure'!$C$8-[1]Results!$G$69</f>
        <v>-6.0886628234962242E-4</v>
      </c>
      <c r="I67" s="171">
        <f>((I37+[1]Results!$G$39)/(I64+[1]Results!$G$66)-'Capital Structure'!$G$6-'Capital Structure'!$G$7)/'Capital Structure'!$C$8-[1]Results!$G$69</f>
        <v>1.1896597623581237E-3</v>
      </c>
      <c r="J67" s="180">
        <f>((J37+[1]Results!$G$39)/(J64+[1]Results!$G$66)-'Capital Structure'!$G$6-'Capital Structure'!$G$7)/'Capital Structure'!$C$8-[1]Results!$G$69</f>
        <v>1.0355705949228258E-3</v>
      </c>
      <c r="K67" s="231">
        <f>((K37+[1]Results!$G$39)/(K64+[1]Results!$G$66)-'Capital Structure'!$G$6-'Capital Structure'!$G$7)/'Capital Structure'!$C$8-[1]Results!$G$69</f>
        <v>0</v>
      </c>
      <c r="L67" s="180">
        <f>((L37+[1]Results!$G$39)/(L64+[1]Results!$G$66)-'Capital Structure'!$G$6-'Capital Structure'!$G$7)/'Capital Structure'!$C$8-[1]Results!$G$69</f>
        <v>1.9192331133093612E-3</v>
      </c>
      <c r="M67" s="181">
        <f>((M37+[1]Results!$G$39)/(M64+[1]Results!$G$66)-'Capital Structure'!$G$6-'Capital Structure'!$G$7)/'Capital Structure'!$C$8-[1]Results!$G$69</f>
        <v>3.3661284633473842E-5</v>
      </c>
      <c r="N67" s="231">
        <f>((N37+[1]Results!$G$39)/(N64+[1]Results!$G$66)-'Capital Structure'!$G$6-'Capital Structure'!$G$7)/'Capital Structure'!$C$8-[1]Results!$G$69</f>
        <v>0</v>
      </c>
      <c r="O67" s="171">
        <f>((O37+[1]Results!$G$39)/(O64+[1]Results!$G$66)-'Capital Structure'!$G$6-'Capital Structure'!$G$7)/'Capital Structure'!$C$8-[1]Results!$G$69</f>
        <v>1.4126709192468105E-2</v>
      </c>
      <c r="P67" s="171">
        <f>((P37+[1]Results!$G$39)/(P64+[1]Results!$G$66)-'Capital Structure'!$G$6-'Capital Structure'!$G$7)/'Capital Structure'!$C$8-[1]Results!$G$69</f>
        <v>6.4546272123751358E-4</v>
      </c>
      <c r="Q67" s="180">
        <f>((Q37+[1]Results!$G$39)/(Q64+[1]Results!$G$66)-'Capital Structure'!$G$6-'Capital Structure'!$G$7)/'Capital Structure'!$C$8-[1]Results!$G$69</f>
        <v>5.2514911355959482E-5</v>
      </c>
      <c r="R67" s="231">
        <f>((R37+[1]Results!$G$39)/(R64+[1]Results!$G$66)-'Capital Structure'!$G$6-'Capital Structure'!$G$7)/'Capital Structure'!$C$8-[1]Results!$G$69</f>
        <v>0</v>
      </c>
      <c r="S67" s="171">
        <f>((S37+[1]Results!$G$39)/(S64+[1]Results!$G$66)-'Capital Structure'!$G$6-'Capital Structure'!$G$7)/'Capital Structure'!$C$8-[1]Results!$G$69</f>
        <v>2.1279231757461575E-4</v>
      </c>
      <c r="T67" s="180">
        <f>((T37+[1]Results!$G$39)/(T64+[1]Results!$G$66)-'Capital Structure'!$G$6-'Capital Structure'!$G$7)/'Capital Structure'!$C$8-[1]Results!$G$69</f>
        <v>-5.8380181345240173E-3</v>
      </c>
      <c r="U67" s="231">
        <f>((U37+[1]Results!$G$39)/(U64+[1]Results!$G$66)-'Capital Structure'!$G$6-'Capital Structure'!$G$7)/'Capital Structure'!$C$8-[1]Results!$G$69</f>
        <v>0</v>
      </c>
      <c r="V67" s="252">
        <f>((V37+[1]Results!$G$39)/(V64+[1]Results!$G$66)-'Capital Structure'!$G$6-'Capital Structure'!$G$7)/'Capital Structure'!$C$8-[1]Results!$G$69</f>
        <v>0</v>
      </c>
      <c r="W67" s="179">
        <f>((W37+'Capital Structure'!$D$16)/(Restating!W64+'Capital Structure'!$D$18)-'Capital Structure'!$G$6-'Capital Structure'!$G$7)/'Capital Structure'!$C$8-[1]Results!$C$69</f>
        <v>8.0290369404667772E-3</v>
      </c>
      <c r="X67" s="171">
        <f>((X37+[1]Results!$G$39)/(X64+[1]Results!$G$66)-'Capital Structure'!$G$6-'Capital Structure'!$G$7)/'Capital Structure'!$C$8-[1]Results!$G$69</f>
        <v>-5.6621329449162337E-2</v>
      </c>
      <c r="Y67" s="171">
        <f>((Y37+[1]Results!$G$39)/(Y64+[1]Results!$G$66)-'Capital Structure'!$G$6-'Capital Structure'!$G$7)/'Capital Structure'!$C$8-[1]Results!$G$69</f>
        <v>2.228092705001336E-4</v>
      </c>
      <c r="Z67" s="171">
        <f>((Z37+[1]Results!$G$39)/(Z64+[1]Results!$G$66)-'Capital Structure'!$G$6-'Capital Structure'!$G$7)/'Capital Structure'!$C$8-[1]Results!$G$69</f>
        <v>3.5091374753645765E-4</v>
      </c>
      <c r="AA67" s="171">
        <f>((AA37+[1]Results!$G$39)/(AA64+[1]Results!$G$66)-'Capital Structure'!$G$6-'Capital Structure'!$G$7)/'Capital Structure'!$C$8-[1]Results!$G$69</f>
        <v>-4.7844984185793638E-5</v>
      </c>
      <c r="AB67" s="180">
        <f>((AB37+[1]Results!$G$39)/(AB64+[1]Results!$G$66)-'Capital Structure'!$G$6-'Capital Structure'!$G$7)/'Capital Structure'!$C$8-[1]Results!$G$69</f>
        <v>2.2048871731038949E-4</v>
      </c>
    </row>
    <row r="68" spans="1:28">
      <c r="A68" s="96" t="s">
        <v>74</v>
      </c>
      <c r="B68" s="88"/>
      <c r="C68" s="150"/>
      <c r="D68" s="50">
        <f t="shared" si="0"/>
        <v>10248319.172744608</v>
      </c>
      <c r="E68" s="60">
        <f t="shared" si="33"/>
        <v>-10248319.172744608</v>
      </c>
      <c r="F68" s="54">
        <f>-(F37-(F64*'Capital Structure'!$G$10))*('Capital Structure'!$D$13)</f>
        <v>-13004776.44302123</v>
      </c>
      <c r="G68" s="56">
        <f>-(G37-(G64*'Capital Structure'!$G$10))*('Capital Structure'!$D$13)</f>
        <v>17891.746156481739</v>
      </c>
      <c r="H68" s="54">
        <f>-(H37-(H64*'Capital Structure'!$G$10))*('Capital Structure'!$D$13)</f>
        <v>392062.29467841587</v>
      </c>
      <c r="I68" s="50">
        <f>-(I37-(I64*'Capital Structure'!$G$10))*('Capital Structure'!$D$13)</f>
        <v>-766047.89891924534</v>
      </c>
      <c r="J68" s="56">
        <f>-(J37-(J64*'Capital Structure'!$G$10))*('Capital Structure'!$D$13)</f>
        <v>-681856.46364237822</v>
      </c>
      <c r="K68" s="223">
        <f>-(K37-(K64*'Capital Structure'!$G$10))*('Capital Structure'!$D$13)</f>
        <v>0</v>
      </c>
      <c r="L68" s="56">
        <f>-(L37-(L64*'Capital Structure'!$G$10))*('Capital Structure'!$D$13)</f>
        <v>-1235836.1108831805</v>
      </c>
      <c r="M68" s="113">
        <f>-(M37-(M64*'Capital Structure'!$G$10))*('Capital Structure'!$D$13)</f>
        <v>-34453.354095779949</v>
      </c>
      <c r="N68" s="223">
        <f>-(N37-(N64*'Capital Structure'!$G$10))*('Capital Structure'!$D$13)</f>
        <v>0</v>
      </c>
      <c r="O68" s="50">
        <f>-(O37-(O64*'Capital Structure'!$G$10))*('Capital Structure'!$D$13)</f>
        <v>-9096496.5261014886</v>
      </c>
      <c r="P68" s="50">
        <f>-(P37-(P64*'Capital Structure'!$G$10))*('Capital Structure'!$D$13)</f>
        <v>-415627.54081435123</v>
      </c>
      <c r="Q68" s="56">
        <f>-(Q37-(Q64*'Capital Structure'!$G$10))*('Capital Structure'!$D$13)</f>
        <v>-33815.498160934374</v>
      </c>
      <c r="R68" s="223">
        <f>-(R37-(R64*'Capital Structure'!$G$10))*('Capital Structure'!$D$13)</f>
        <v>0</v>
      </c>
      <c r="S68" s="50">
        <f>-(S37-(S64*'Capital Structure'!$G$10))*('Capital Structure'!$D$13)</f>
        <v>-113996.72030122725</v>
      </c>
      <c r="T68" s="56">
        <f>-(T37-(T64*'Capital Structure'!$G$10))*('Capital Structure'!$D$13)</f>
        <v>4279499.7241401561</v>
      </c>
      <c r="U68" s="223">
        <f>-(U37-(U64*'Capital Structure'!$G$10))*('Capital Structure'!$D$13)</f>
        <v>0</v>
      </c>
      <c r="V68" s="244">
        <f>-(V37-(V64*'Capital Structure'!$G$10))*('Capital Structure'!$D$13)</f>
        <v>0</v>
      </c>
      <c r="W68" s="54">
        <f>-(W37-(W64*'Capital Structure'!$G$10))*('Capital Structure'!$D$13)</f>
        <v>-5016554.2439158019</v>
      </c>
      <c r="X68" s="50">
        <f>-(X37-(X64*'Capital Structure'!$G$10))*('Capital Structure'!$D$13)</f>
        <v>36459710.440713592</v>
      </c>
      <c r="Y68" s="50">
        <f>-(Y37-(Y64*'Capital Structure'!$G$10))*('Capital Structure'!$D$13)</f>
        <v>-179740.30900347745</v>
      </c>
      <c r="Z68" s="50">
        <f>-(Z37-(Z64*'Capital Structure'!$G$10))*('Capital Structure'!$D$13)</f>
        <v>-228676.89468198238</v>
      </c>
      <c r="AA68" s="50">
        <f>-(AA37-(AA64*'Capital Structure'!$G$10))*('Capital Structure'!$D$13)</f>
        <v>49010.470362366788</v>
      </c>
      <c r="AB68" s="56">
        <f>-(AB37-(AB64*'Capital Structure'!$G$10))*('Capital Structure'!$D$13)</f>
        <v>-141977.49976532685</v>
      </c>
    </row>
    <row r="69" spans="1:28">
      <c r="A69" s="96"/>
      <c r="B69" s="153"/>
      <c r="C69" s="150"/>
      <c r="D69" s="153"/>
      <c r="E69" s="151"/>
      <c r="F69" s="152"/>
      <c r="G69" s="154"/>
      <c r="H69" s="152"/>
      <c r="I69" s="153"/>
      <c r="J69" s="154"/>
      <c r="K69" s="233"/>
      <c r="L69" s="154"/>
      <c r="M69" s="155"/>
      <c r="N69" s="233"/>
      <c r="O69" s="153"/>
      <c r="P69" s="153"/>
      <c r="Q69" s="154"/>
      <c r="R69" s="233"/>
      <c r="S69" s="153"/>
      <c r="T69" s="154"/>
      <c r="U69" s="233"/>
      <c r="V69" s="253"/>
      <c r="W69" s="152"/>
      <c r="X69" s="153"/>
      <c r="Y69" s="153"/>
      <c r="Z69" s="153"/>
      <c r="AA69" s="153"/>
      <c r="AB69" s="154"/>
    </row>
    <row r="70" spans="1:28">
      <c r="A70" s="96"/>
      <c r="B70" s="76"/>
      <c r="C70" s="58"/>
      <c r="D70" s="76">
        <f t="shared" si="0"/>
        <v>0</v>
      </c>
      <c r="E70" s="60"/>
      <c r="F70" s="86"/>
      <c r="G70" s="87"/>
      <c r="H70" s="86"/>
      <c r="I70" s="76"/>
      <c r="J70" s="87"/>
      <c r="K70" s="234"/>
      <c r="L70" s="87"/>
      <c r="M70" s="124"/>
      <c r="N70" s="234"/>
      <c r="O70" s="76"/>
      <c r="P70" s="76"/>
      <c r="Q70" s="87"/>
      <c r="R70" s="234"/>
      <c r="S70" s="76"/>
      <c r="T70" s="87"/>
      <c r="U70" s="234"/>
      <c r="V70" s="254"/>
      <c r="W70" s="86"/>
      <c r="X70" s="76"/>
      <c r="Y70" s="76"/>
      <c r="Z70" s="76"/>
      <c r="AA70" s="76"/>
      <c r="AB70" s="87"/>
    </row>
    <row r="71" spans="1:28">
      <c r="A71" s="96" t="str">
        <f>[1]Results!B71</f>
        <v>TAX CALCULATION:</v>
      </c>
      <c r="B71" s="50"/>
      <c r="C71" s="58"/>
      <c r="D71" s="50">
        <f t="shared" si="0"/>
        <v>0</v>
      </c>
      <c r="E71" s="60"/>
      <c r="F71" s="54"/>
      <c r="G71" s="56"/>
      <c r="H71" s="54"/>
      <c r="I71" s="50"/>
      <c r="J71" s="56"/>
      <c r="K71" s="223"/>
      <c r="L71" s="56"/>
      <c r="M71" s="113"/>
      <c r="N71" s="223"/>
      <c r="O71" s="50"/>
      <c r="P71" s="50"/>
      <c r="Q71" s="56"/>
      <c r="R71" s="223"/>
      <c r="S71" s="50"/>
      <c r="T71" s="56"/>
      <c r="U71" s="223"/>
      <c r="V71" s="244"/>
      <c r="W71" s="54"/>
      <c r="X71" s="50"/>
      <c r="Y71" s="50"/>
      <c r="Z71" s="50"/>
      <c r="AA71" s="50"/>
      <c r="AB71" s="56"/>
    </row>
    <row r="72" spans="1:28">
      <c r="A72" s="96" t="str">
        <f>[1]Results!B72</f>
        <v>Operating Revenue</v>
      </c>
      <c r="B72" s="50">
        <f>[1]Results!$H$72</f>
        <v>-17482922.000049364</v>
      </c>
      <c r="C72" s="58"/>
      <c r="D72" s="50">
        <f t="shared" si="0"/>
        <v>-17482922.000049371</v>
      </c>
      <c r="E72" s="60">
        <f t="shared" ref="E72:E83" si="34">B72-D72</f>
        <v>0</v>
      </c>
      <c r="F72" s="54">
        <f t="shared" ref="F72:W72" si="35">F13-F26-F27-F28-F29-F34</f>
        <v>12402155.109999999</v>
      </c>
      <c r="G72" s="56">
        <f t="shared" si="35"/>
        <v>-17062.670165353691</v>
      </c>
      <c r="H72" s="54">
        <f t="shared" si="35"/>
        <v>-373894.73111577908</v>
      </c>
      <c r="I72" s="50">
        <f t="shared" si="35"/>
        <v>776572.64858778729</v>
      </c>
      <c r="J72" s="56">
        <f t="shared" si="35"/>
        <v>637047.3400000002</v>
      </c>
      <c r="K72" s="223">
        <f t="shared" si="35"/>
        <v>0</v>
      </c>
      <c r="L72" s="56">
        <f t="shared" si="35"/>
        <v>1178569.3667911782</v>
      </c>
      <c r="M72" s="113">
        <f t="shared" si="35"/>
        <v>0</v>
      </c>
      <c r="N72" s="223">
        <f t="shared" si="35"/>
        <v>0</v>
      </c>
      <c r="O72" s="50">
        <f t="shared" si="35"/>
        <v>0</v>
      </c>
      <c r="P72" s="50">
        <f t="shared" si="35"/>
        <v>396368</v>
      </c>
      <c r="Q72" s="56">
        <f t="shared" si="35"/>
        <v>32248.54</v>
      </c>
      <c r="R72" s="223">
        <f t="shared" si="35"/>
        <v>0</v>
      </c>
      <c r="S72" s="50">
        <f t="shared" si="35"/>
        <v>182288.98018681514</v>
      </c>
      <c r="T72" s="56">
        <f t="shared" si="35"/>
        <v>-3000000</v>
      </c>
      <c r="U72" s="223">
        <f t="shared" si="35"/>
        <v>0</v>
      </c>
      <c r="V72" s="244">
        <f t="shared" si="35"/>
        <v>0</v>
      </c>
      <c r="W72" s="54">
        <f t="shared" si="35"/>
        <v>4784094.8380285027</v>
      </c>
      <c r="X72" s="50">
        <f t="shared" ref="X72:Z72" si="36">X13-X26-X27-X28-X29-X34</f>
        <v>-34770223.550753132</v>
      </c>
      <c r="Y72" s="50">
        <f t="shared" si="36"/>
        <v>77854.701909391093</v>
      </c>
      <c r="Z72" s="50">
        <f t="shared" si="36"/>
        <v>211059.42648122425</v>
      </c>
      <c r="AA72" s="50">
        <f t="shared" ref="AA72" si="37">AA13-AA26-AA27-AA28-AA29-AA34</f>
        <v>0</v>
      </c>
      <c r="AB72" s="56">
        <f t="shared" ref="AB72" si="38">AB13-AB26-AB27-AB28-AB29-AB34</f>
        <v>0</v>
      </c>
    </row>
    <row r="73" spans="1:28">
      <c r="A73" s="96" t="str">
        <f>[1]Results!B73</f>
        <v>Other Deductions</v>
      </c>
      <c r="B73" s="50"/>
      <c r="C73" s="58"/>
      <c r="D73" s="50">
        <f t="shared" si="0"/>
        <v>0</v>
      </c>
      <c r="E73" s="60">
        <f t="shared" si="34"/>
        <v>0</v>
      </c>
      <c r="F73" s="54"/>
      <c r="G73" s="56"/>
      <c r="H73" s="54"/>
      <c r="I73" s="50"/>
      <c r="J73" s="56"/>
      <c r="K73" s="223"/>
      <c r="L73" s="56"/>
      <c r="M73" s="113"/>
      <c r="N73" s="223"/>
      <c r="O73" s="50"/>
      <c r="P73" s="50"/>
      <c r="Q73" s="56"/>
      <c r="R73" s="223"/>
      <c r="S73" s="50"/>
      <c r="T73" s="56"/>
      <c r="U73" s="223"/>
      <c r="V73" s="244"/>
      <c r="W73" s="54"/>
      <c r="X73" s="50"/>
      <c r="Y73" s="50"/>
      <c r="Z73" s="50"/>
      <c r="AA73" s="50"/>
      <c r="AB73" s="56"/>
    </row>
    <row r="74" spans="1:28">
      <c r="A74" s="96" t="str">
        <f>[1]Results!B74</f>
        <v>Interest (AFUDC)</v>
      </c>
      <c r="B74" s="59"/>
      <c r="C74" s="156"/>
      <c r="D74" s="59">
        <f t="shared" ref="D74:D83" si="39">SUM(F74:AB74)</f>
        <v>0</v>
      </c>
      <c r="E74" s="60">
        <f t="shared" si="34"/>
        <v>0</v>
      </c>
      <c r="F74" s="62">
        <v>0</v>
      </c>
      <c r="G74" s="65">
        <v>0</v>
      </c>
      <c r="H74" s="62">
        <v>0</v>
      </c>
      <c r="I74" s="59">
        <v>0</v>
      </c>
      <c r="J74" s="65">
        <v>0</v>
      </c>
      <c r="K74" s="226">
        <v>0</v>
      </c>
      <c r="L74" s="65">
        <v>0</v>
      </c>
      <c r="M74" s="117">
        <v>0</v>
      </c>
      <c r="N74" s="226">
        <v>0</v>
      </c>
      <c r="O74" s="59">
        <v>0</v>
      </c>
      <c r="P74" s="59">
        <v>0</v>
      </c>
      <c r="Q74" s="65">
        <v>0</v>
      </c>
      <c r="R74" s="226">
        <v>0</v>
      </c>
      <c r="S74" s="59">
        <v>0</v>
      </c>
      <c r="T74" s="65">
        <v>0</v>
      </c>
      <c r="U74" s="226">
        <v>0</v>
      </c>
      <c r="V74" s="245">
        <v>0</v>
      </c>
      <c r="W74" s="62"/>
      <c r="X74" s="59">
        <v>0</v>
      </c>
      <c r="Y74" s="59">
        <v>0</v>
      </c>
      <c r="Z74" s="59">
        <v>0</v>
      </c>
      <c r="AA74" s="59">
        <v>0</v>
      </c>
      <c r="AB74" s="65">
        <v>0</v>
      </c>
    </row>
    <row r="75" spans="1:28">
      <c r="A75" s="96" t="str">
        <f>[1]Results!B75</f>
        <v>Interest</v>
      </c>
      <c r="B75" s="59">
        <f>[1]Results!$H$75</f>
        <v>251454.32158437371</v>
      </c>
      <c r="C75" s="58"/>
      <c r="D75" s="59">
        <f t="shared" si="39"/>
        <v>251454.32158437371</v>
      </c>
      <c r="E75" s="60">
        <f t="shared" si="34"/>
        <v>0</v>
      </c>
      <c r="F75" s="62">
        <v>0</v>
      </c>
      <c r="G75" s="65">
        <v>0</v>
      </c>
      <c r="H75" s="62">
        <v>0</v>
      </c>
      <c r="I75" s="59">
        <v>0</v>
      </c>
      <c r="J75" s="65">
        <v>0</v>
      </c>
      <c r="K75" s="226">
        <v>0</v>
      </c>
      <c r="L75" s="65">
        <v>0</v>
      </c>
      <c r="M75" s="117">
        <v>0</v>
      </c>
      <c r="N75" s="226">
        <v>0</v>
      </c>
      <c r="O75" s="59">
        <v>0</v>
      </c>
      <c r="P75" s="59">
        <v>0</v>
      </c>
      <c r="Q75" s="65">
        <v>0</v>
      </c>
      <c r="R75" s="226">
        <v>0</v>
      </c>
      <c r="S75" s="59">
        <v>0</v>
      </c>
      <c r="T75" s="65">
        <v>0</v>
      </c>
      <c r="U75" s="226">
        <v>0</v>
      </c>
      <c r="V75" s="245">
        <v>0</v>
      </c>
      <c r="W75" s="62"/>
      <c r="X75" s="59">
        <v>0</v>
      </c>
      <c r="Y75" s="59">
        <v>0</v>
      </c>
      <c r="Z75" s="59">
        <v>0</v>
      </c>
      <c r="AA75" s="59">
        <v>0</v>
      </c>
      <c r="AB75" s="65">
        <f>[1]TAX!$I$13</f>
        <v>251454.32158437371</v>
      </c>
    </row>
    <row r="76" spans="1:28">
      <c r="A76" s="96" t="str">
        <f>[1]Results!B76</f>
        <v>Schedule "M" Additions</v>
      </c>
      <c r="B76" s="59">
        <f>[1]Results!$H$76</f>
        <v>2050306.5331223095</v>
      </c>
      <c r="C76" s="34"/>
      <c r="D76" s="59">
        <f t="shared" si="39"/>
        <v>2050306.5331223093</v>
      </c>
      <c r="E76" s="60">
        <f t="shared" si="34"/>
        <v>0</v>
      </c>
      <c r="F76" s="62">
        <v>0</v>
      </c>
      <c r="G76" s="65">
        <v>0</v>
      </c>
      <c r="H76" s="62">
        <v>0</v>
      </c>
      <c r="I76" s="59">
        <v>0</v>
      </c>
      <c r="J76" s="65">
        <f>[1]OM!$I$455</f>
        <v>-637047</v>
      </c>
      <c r="K76" s="226">
        <v>0</v>
      </c>
      <c r="L76" s="65">
        <v>0</v>
      </c>
      <c r="M76" s="117"/>
      <c r="N76" s="226">
        <v>0</v>
      </c>
      <c r="O76" s="59">
        <v>0</v>
      </c>
      <c r="P76" s="59">
        <v>0</v>
      </c>
      <c r="Q76" s="65">
        <v>0</v>
      </c>
      <c r="R76" s="226">
        <v>0</v>
      </c>
      <c r="S76" s="59">
        <f>SUM([1]RB!$I$394,[1]RB!$I$399)</f>
        <v>-312646.46687769075</v>
      </c>
      <c r="T76" s="65">
        <f>[1]RB!$I$577</f>
        <v>3000000</v>
      </c>
      <c r="U76" s="226">
        <v>0</v>
      </c>
      <c r="V76" s="245">
        <v>0</v>
      </c>
      <c r="W76" s="62"/>
      <c r="X76" s="59">
        <v>0</v>
      </c>
      <c r="Y76" s="59">
        <v>0</v>
      </c>
      <c r="Z76" s="59">
        <v>0</v>
      </c>
      <c r="AA76" s="59">
        <v>0</v>
      </c>
      <c r="AB76" s="65">
        <v>0</v>
      </c>
    </row>
    <row r="77" spans="1:28">
      <c r="A77" s="96" t="str">
        <f>[1]Results!B77</f>
        <v>Schedule "M" Deductions</v>
      </c>
      <c r="B77" s="59">
        <f>[1]Results!$H$77</f>
        <v>951489.50999993121</v>
      </c>
      <c r="C77" s="34"/>
      <c r="D77" s="59">
        <f t="shared" si="39"/>
        <v>951489.50999993121</v>
      </c>
      <c r="E77" s="60">
        <f t="shared" si="34"/>
        <v>0</v>
      </c>
      <c r="F77" s="54">
        <v>0</v>
      </c>
      <c r="G77" s="56">
        <v>0</v>
      </c>
      <c r="H77" s="54">
        <v>0</v>
      </c>
      <c r="I77" s="59">
        <f>[1]OM!$I$204</f>
        <v>1013713</v>
      </c>
      <c r="J77" s="65">
        <f>[1]OM!$I$459</f>
        <v>-62223.490000068792</v>
      </c>
      <c r="K77" s="223">
        <v>0</v>
      </c>
      <c r="L77" s="56">
        <v>0</v>
      </c>
      <c r="M77" s="113">
        <v>0</v>
      </c>
      <c r="N77" s="223">
        <v>0</v>
      </c>
      <c r="O77" s="50">
        <v>0</v>
      </c>
      <c r="P77" s="50">
        <v>0</v>
      </c>
      <c r="Q77" s="56">
        <v>0</v>
      </c>
      <c r="R77" s="223">
        <v>0</v>
      </c>
      <c r="S77" s="50">
        <v>0</v>
      </c>
      <c r="T77" s="56">
        <v>0</v>
      </c>
      <c r="U77" s="223">
        <v>0</v>
      </c>
      <c r="V77" s="244">
        <v>0</v>
      </c>
      <c r="W77" s="54"/>
      <c r="X77" s="50">
        <v>0</v>
      </c>
      <c r="Y77" s="50">
        <v>0</v>
      </c>
      <c r="Z77" s="50">
        <v>0</v>
      </c>
      <c r="AA77" s="50">
        <v>0</v>
      </c>
      <c r="AB77" s="56">
        <v>0</v>
      </c>
    </row>
    <row r="78" spans="1:28">
      <c r="A78" s="96" t="str">
        <f>[1]Results!B78</f>
        <v>Income Before Tax</v>
      </c>
      <c r="B78" s="158">
        <f>[1]Results!$H$78</f>
        <v>-16635559.29851136</v>
      </c>
      <c r="C78" s="157"/>
      <c r="D78" s="158">
        <f t="shared" si="39"/>
        <v>-16635559.298511362</v>
      </c>
      <c r="E78" s="60">
        <f t="shared" si="34"/>
        <v>0</v>
      </c>
      <c r="F78" s="159">
        <f t="shared" ref="F78:U78" si="40">F72-F74-F75+F76-F77</f>
        <v>12402155.109999999</v>
      </c>
      <c r="G78" s="160">
        <f t="shared" si="40"/>
        <v>-17062.670165353691</v>
      </c>
      <c r="H78" s="159">
        <f t="shared" si="40"/>
        <v>-373894.73111577908</v>
      </c>
      <c r="I78" s="158">
        <f t="shared" si="40"/>
        <v>-237140.35141221271</v>
      </c>
      <c r="J78" s="160">
        <f t="shared" si="40"/>
        <v>62223.830000068992</v>
      </c>
      <c r="K78" s="255">
        <f t="shared" si="40"/>
        <v>0</v>
      </c>
      <c r="L78" s="160">
        <f t="shared" si="40"/>
        <v>1178569.3667911782</v>
      </c>
      <c r="M78" s="161">
        <f t="shared" si="40"/>
        <v>0</v>
      </c>
      <c r="N78" s="255">
        <f t="shared" si="40"/>
        <v>0</v>
      </c>
      <c r="O78" s="158"/>
      <c r="P78" s="158">
        <f t="shared" si="40"/>
        <v>396368</v>
      </c>
      <c r="Q78" s="160">
        <f t="shared" si="40"/>
        <v>32248.54</v>
      </c>
      <c r="R78" s="255">
        <f t="shared" si="40"/>
        <v>0</v>
      </c>
      <c r="S78" s="158">
        <f t="shared" si="40"/>
        <v>-130357.48669087561</v>
      </c>
      <c r="T78" s="160">
        <f t="shared" si="40"/>
        <v>0</v>
      </c>
      <c r="U78" s="255">
        <f t="shared" si="40"/>
        <v>0</v>
      </c>
      <c r="V78" s="256">
        <f t="shared" ref="V78:AB78" si="41">V72-V74-V75+V76-V77</f>
        <v>0</v>
      </c>
      <c r="W78" s="159">
        <f t="shared" si="41"/>
        <v>4784094.8380285027</v>
      </c>
      <c r="X78" s="158">
        <f t="shared" si="41"/>
        <v>-34770223.550753132</v>
      </c>
      <c r="Y78" s="158">
        <f t="shared" si="41"/>
        <v>77854.701909391093</v>
      </c>
      <c r="Z78" s="158">
        <f t="shared" ref="Z78" si="42">Z72-Z74-Z75+Z76-Z77</f>
        <v>211059.42648122425</v>
      </c>
      <c r="AA78" s="158">
        <f t="shared" si="41"/>
        <v>0</v>
      </c>
      <c r="AB78" s="160">
        <f t="shared" si="41"/>
        <v>-251454.32158437371</v>
      </c>
    </row>
    <row r="79" spans="1:28">
      <c r="A79" s="96"/>
      <c r="B79" s="50"/>
      <c r="C79" s="157"/>
      <c r="D79" s="50">
        <f t="shared" si="39"/>
        <v>0</v>
      </c>
      <c r="E79" s="60"/>
      <c r="F79" s="54"/>
      <c r="G79" s="56"/>
      <c r="H79" s="54"/>
      <c r="I79" s="50"/>
      <c r="J79" s="56"/>
      <c r="K79" s="223"/>
      <c r="L79" s="56"/>
      <c r="M79" s="113"/>
      <c r="N79" s="223"/>
      <c r="O79" s="50"/>
      <c r="P79" s="50"/>
      <c r="Q79" s="56"/>
      <c r="R79" s="223"/>
      <c r="S79" s="50"/>
      <c r="T79" s="56"/>
      <c r="U79" s="223"/>
      <c r="V79" s="244"/>
      <c r="W79" s="54"/>
      <c r="X79" s="50"/>
      <c r="Y79" s="50"/>
      <c r="Z79" s="50"/>
      <c r="AA79" s="50"/>
      <c r="AB79" s="56"/>
    </row>
    <row r="80" spans="1:28">
      <c r="A80" s="96" t="str">
        <f>[1]Results!B80</f>
        <v>State Income Taxes</v>
      </c>
      <c r="B80" s="50">
        <f>[1]Results!H82</f>
        <v>0</v>
      </c>
      <c r="C80" s="96"/>
      <c r="D80" s="50">
        <f t="shared" si="39"/>
        <v>0</v>
      </c>
      <c r="E80" s="60">
        <f t="shared" si="34"/>
        <v>0</v>
      </c>
      <c r="F80" s="54">
        <v>0</v>
      </c>
      <c r="G80" s="56">
        <v>0</v>
      </c>
      <c r="H80" s="54">
        <v>0</v>
      </c>
      <c r="I80" s="50">
        <v>0</v>
      </c>
      <c r="J80" s="56">
        <v>0</v>
      </c>
      <c r="K80" s="223">
        <v>0</v>
      </c>
      <c r="L80" s="56">
        <v>0</v>
      </c>
      <c r="M80" s="113">
        <v>0</v>
      </c>
      <c r="N80" s="223">
        <v>0</v>
      </c>
      <c r="O80" s="50">
        <v>0</v>
      </c>
      <c r="P80" s="50">
        <v>0</v>
      </c>
      <c r="Q80" s="56">
        <v>0</v>
      </c>
      <c r="R80" s="223">
        <v>0</v>
      </c>
      <c r="S80" s="50">
        <v>0</v>
      </c>
      <c r="T80" s="56">
        <v>0</v>
      </c>
      <c r="U80" s="223">
        <v>0</v>
      </c>
      <c r="V80" s="244">
        <v>0</v>
      </c>
      <c r="W80" s="54"/>
      <c r="X80" s="50">
        <v>0</v>
      </c>
      <c r="Y80" s="50">
        <v>0</v>
      </c>
      <c r="Z80" s="50">
        <v>0</v>
      </c>
      <c r="AA80" s="50">
        <v>0</v>
      </c>
      <c r="AB80" s="56">
        <v>0</v>
      </c>
    </row>
    <row r="81" spans="1:28">
      <c r="A81" s="96" t="str">
        <f>[1]Results!B81</f>
        <v>Taxable Income</v>
      </c>
      <c r="B81" s="50">
        <f>[1]Results!$H$81</f>
        <v>-16635559.29851136</v>
      </c>
      <c r="C81" s="58"/>
      <c r="D81" s="50">
        <f t="shared" si="39"/>
        <v>-16635559.298511362</v>
      </c>
      <c r="E81" s="60">
        <f t="shared" si="34"/>
        <v>0</v>
      </c>
      <c r="F81" s="54">
        <f>F78-F80</f>
        <v>12402155.109999999</v>
      </c>
      <c r="G81" s="56">
        <f t="shared" ref="G81:W81" si="43">G78-G80</f>
        <v>-17062.670165353691</v>
      </c>
      <c r="H81" s="54">
        <f t="shared" si="43"/>
        <v>-373894.73111577908</v>
      </c>
      <c r="I81" s="50">
        <f t="shared" si="43"/>
        <v>-237140.35141221271</v>
      </c>
      <c r="J81" s="56">
        <f t="shared" si="43"/>
        <v>62223.830000068992</v>
      </c>
      <c r="K81" s="223">
        <f t="shared" si="43"/>
        <v>0</v>
      </c>
      <c r="L81" s="56">
        <f t="shared" si="43"/>
        <v>1178569.3667911782</v>
      </c>
      <c r="M81" s="113">
        <f t="shared" si="43"/>
        <v>0</v>
      </c>
      <c r="N81" s="223">
        <f t="shared" si="43"/>
        <v>0</v>
      </c>
      <c r="O81" s="50">
        <f t="shared" si="43"/>
        <v>0</v>
      </c>
      <c r="P81" s="50">
        <f t="shared" si="43"/>
        <v>396368</v>
      </c>
      <c r="Q81" s="56">
        <f t="shared" si="43"/>
        <v>32248.54</v>
      </c>
      <c r="R81" s="223">
        <f t="shared" si="43"/>
        <v>0</v>
      </c>
      <c r="S81" s="50">
        <f t="shared" si="43"/>
        <v>-130357.48669087561</v>
      </c>
      <c r="T81" s="56">
        <f t="shared" si="43"/>
        <v>0</v>
      </c>
      <c r="U81" s="223">
        <f t="shared" si="43"/>
        <v>0</v>
      </c>
      <c r="V81" s="244">
        <f t="shared" si="43"/>
        <v>0</v>
      </c>
      <c r="W81" s="54">
        <f t="shared" si="43"/>
        <v>4784094.8380285027</v>
      </c>
      <c r="X81" s="50">
        <f t="shared" ref="X81:Z81" si="44">X78-X80</f>
        <v>-34770223.550753132</v>
      </c>
      <c r="Y81" s="50">
        <f t="shared" si="44"/>
        <v>77854.701909391093</v>
      </c>
      <c r="Z81" s="50">
        <f t="shared" si="44"/>
        <v>211059.42648122425</v>
      </c>
      <c r="AA81" s="50">
        <f t="shared" ref="AA81" si="45">AA78-AA80</f>
        <v>0</v>
      </c>
      <c r="AB81" s="56">
        <f t="shared" ref="AB81" si="46">AB78-AB80</f>
        <v>-251454.32158437371</v>
      </c>
    </row>
    <row r="82" spans="1:28">
      <c r="A82" s="96"/>
      <c r="B82" s="50">
        <f>[1]Results!H84</f>
        <v>0</v>
      </c>
      <c r="C82" s="34"/>
      <c r="D82" s="50">
        <f t="shared" si="39"/>
        <v>0</v>
      </c>
      <c r="E82" s="60"/>
      <c r="F82" s="54"/>
      <c r="G82" s="56"/>
      <c r="H82" s="54"/>
      <c r="I82" s="50"/>
      <c r="J82" s="56"/>
      <c r="K82" s="223"/>
      <c r="L82" s="56"/>
      <c r="M82" s="113"/>
      <c r="N82" s="223"/>
      <c r="O82" s="50"/>
      <c r="P82" s="50"/>
      <c r="Q82" s="56"/>
      <c r="R82" s="223"/>
      <c r="S82" s="50"/>
      <c r="T82" s="56"/>
      <c r="U82" s="223"/>
      <c r="V82" s="244"/>
      <c r="W82" s="54"/>
      <c r="X82" s="50"/>
      <c r="Y82" s="50"/>
      <c r="Z82" s="50"/>
      <c r="AA82" s="50"/>
      <c r="AB82" s="56"/>
    </row>
    <row r="83" spans="1:28" s="92" customFormat="1" ht="13.5" thickBot="1">
      <c r="A83" s="96" t="str">
        <f>[1]Results!B83</f>
        <v>Federal Income Taxes + Other</v>
      </c>
      <c r="B83" s="50">
        <f>[1]Results!$H$83</f>
        <v>-11461182.021078767</v>
      </c>
      <c r="C83" s="157"/>
      <c r="D83" s="50">
        <f t="shared" si="39"/>
        <v>-11461182.021078765</v>
      </c>
      <c r="E83" s="60">
        <f t="shared" si="34"/>
        <v>0</v>
      </c>
      <c r="F83" s="167">
        <f>(F78*0.35)+F80</f>
        <v>4340754.2884999998</v>
      </c>
      <c r="G83" s="169">
        <f t="shared" ref="G83:W83" si="47">(G78*0.35)+G80</f>
        <v>-5971.9345578737912</v>
      </c>
      <c r="H83" s="167">
        <f t="shared" si="47"/>
        <v>-130863.15589052267</v>
      </c>
      <c r="I83" s="168">
        <f t="shared" si="47"/>
        <v>-82999.122994274439</v>
      </c>
      <c r="J83" s="169">
        <f t="shared" si="47"/>
        <v>21778.340500024147</v>
      </c>
      <c r="K83" s="257">
        <f t="shared" si="47"/>
        <v>0</v>
      </c>
      <c r="L83" s="169">
        <f t="shared" si="47"/>
        <v>412499.27837691235</v>
      </c>
      <c r="M83" s="170">
        <f t="shared" si="47"/>
        <v>0</v>
      </c>
      <c r="N83" s="257">
        <f t="shared" si="47"/>
        <v>0</v>
      </c>
      <c r="O83" s="168">
        <f>[1]TAX!$I$135</f>
        <v>-5638736.2665997902</v>
      </c>
      <c r="P83" s="168">
        <f t="shared" si="47"/>
        <v>138728.79999999999</v>
      </c>
      <c r="Q83" s="169">
        <f t="shared" si="47"/>
        <v>11286.989</v>
      </c>
      <c r="R83" s="257">
        <f t="shared" si="47"/>
        <v>0</v>
      </c>
      <c r="S83" s="168">
        <f t="shared" si="47"/>
        <v>-45625.120341806462</v>
      </c>
      <c r="T83" s="169">
        <f t="shared" si="47"/>
        <v>0</v>
      </c>
      <c r="U83" s="257">
        <f t="shared" si="47"/>
        <v>0</v>
      </c>
      <c r="V83" s="258">
        <f t="shared" si="47"/>
        <v>0</v>
      </c>
      <c r="W83" s="167">
        <f t="shared" si="47"/>
        <v>1674433.1933099758</v>
      </c>
      <c r="X83" s="168">
        <f t="shared" ref="X83:Z83" si="48">(X78*0.35)+X80</f>
        <v>-12169578.242763596</v>
      </c>
      <c r="Y83" s="168">
        <f t="shared" si="48"/>
        <v>27249.145668286881</v>
      </c>
      <c r="Z83" s="168">
        <f t="shared" si="48"/>
        <v>73870.799268428484</v>
      </c>
      <c r="AA83" s="168">
        <f t="shared" ref="AA83" si="49">(AA78*0.35)+AA80</f>
        <v>0</v>
      </c>
      <c r="AB83" s="169">
        <f t="shared" ref="AB83" si="50">(AB78*0.35)+AB80</f>
        <v>-88009.012554530796</v>
      </c>
    </row>
    <row r="84" spans="1:28" s="92" customFormat="1">
      <c r="A84" s="96"/>
      <c r="B84" s="50"/>
      <c r="C84" s="96"/>
      <c r="D84" s="50"/>
      <c r="E84" s="6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</row>
    <row r="85" spans="1:28" s="92" customFormat="1">
      <c r="A85" s="96"/>
      <c r="B85" s="50"/>
      <c r="C85" s="96"/>
      <c r="D85" s="50"/>
      <c r="E85" s="96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</row>
    <row r="86" spans="1:28" s="92" customFormat="1">
      <c r="A86" s="129"/>
      <c r="B86" s="50"/>
      <c r="C86" s="96"/>
      <c r="D86" s="50"/>
      <c r="E86" s="96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 t="s">
        <v>93</v>
      </c>
      <c r="X86" s="50">
        <f>56747051</f>
        <v>56747051</v>
      </c>
      <c r="Y86" s="50"/>
      <c r="Z86" s="50"/>
      <c r="AA86" s="50"/>
      <c r="AB86" s="50"/>
    </row>
    <row r="87" spans="1:28" s="92" customFormat="1">
      <c r="A87" s="96"/>
      <c r="B87" s="50"/>
      <c r="C87" s="96"/>
      <c r="D87" s="50"/>
      <c r="E87" s="96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>
        <f>SUM(W68:AB68)</f>
        <v>30941771.963709369</v>
      </c>
      <c r="Y87" s="50"/>
      <c r="Z87" s="50"/>
      <c r="AA87" s="50"/>
      <c r="AB87" s="50"/>
    </row>
    <row r="88" spans="1:28" s="92" customFormat="1">
      <c r="A88" s="96"/>
      <c r="C88" s="157"/>
      <c r="X88" s="92">
        <f>SUM(Restating!AM68:AS68)</f>
        <v>6865161.3553905841</v>
      </c>
    </row>
    <row r="89" spans="1:28" s="92" customFormat="1">
      <c r="A89" s="162"/>
      <c r="X89" s="157">
        <f>X86+X87+X88</f>
        <v>94553984.319099948</v>
      </c>
    </row>
    <row r="90" spans="1:28" s="92" customFormat="1"/>
  </sheetData>
  <phoneticPr fontId="2" type="noConversion"/>
  <pageMargins left="0.75" right="0.5" top="0.5" bottom="0.5" header="0.5" footer="0.5"/>
  <pageSetup scale="58" fitToWidth="6" orientation="portrait" r:id="rId1"/>
  <headerFooter alignWithMargins="0"/>
  <colBreaks count="2" manualBreakCount="2">
    <brk id="10" max="1048575" man="1"/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B2:H24"/>
  <sheetViews>
    <sheetView showGridLines="0" workbookViewId="0">
      <selection activeCell="G8" sqref="G8"/>
    </sheetView>
  </sheetViews>
  <sheetFormatPr defaultRowHeight="12.75"/>
  <cols>
    <col min="2" max="2" width="14.85546875" bestFit="1" customWidth="1"/>
    <col min="3" max="3" width="14.5703125" bestFit="1" customWidth="1"/>
    <col min="4" max="4" width="16" bestFit="1" customWidth="1"/>
  </cols>
  <sheetData>
    <row r="2" spans="2:8" ht="13.5" thickBot="1">
      <c r="B2" s="269" t="s">
        <v>38</v>
      </c>
      <c r="C2" s="269"/>
      <c r="D2" s="269"/>
      <c r="E2" s="269"/>
      <c r="F2" s="269"/>
      <c r="G2" s="269"/>
      <c r="H2" s="1"/>
    </row>
    <row r="3" spans="2:8" ht="13.5" thickTop="1">
      <c r="B3" s="1"/>
      <c r="C3" s="1"/>
      <c r="D3" s="1"/>
      <c r="E3" s="1"/>
      <c r="F3" s="1"/>
      <c r="G3" s="1"/>
      <c r="H3" s="1"/>
    </row>
    <row r="4" spans="2:8">
      <c r="B4" s="15"/>
      <c r="C4" s="14" t="s">
        <v>39</v>
      </c>
      <c r="D4" s="266" t="s">
        <v>40</v>
      </c>
      <c r="E4" s="267"/>
      <c r="F4" s="268" t="s">
        <v>41</v>
      </c>
      <c r="G4" s="267"/>
      <c r="H4" s="1"/>
    </row>
    <row r="5" spans="2:8">
      <c r="B5" s="10"/>
      <c r="C5" s="10"/>
      <c r="D5" s="3"/>
      <c r="E5" s="4"/>
      <c r="F5" s="2"/>
      <c r="G5" s="4"/>
      <c r="H5" s="1"/>
    </row>
    <row r="6" spans="2:8">
      <c r="B6" s="10" t="s">
        <v>42</v>
      </c>
      <c r="C6" s="12">
        <f>[1]Variables!$O$3</f>
        <v>0.47599999999999998</v>
      </c>
      <c r="D6" s="3"/>
      <c r="E6" s="5">
        <f>[1]Variables!$O$7</f>
        <v>5.8900000000000001E-2</v>
      </c>
      <c r="F6" s="2"/>
      <c r="G6" s="5">
        <f>C6*E6</f>
        <v>2.80364E-2</v>
      </c>
      <c r="H6" s="1"/>
    </row>
    <row r="7" spans="2:8">
      <c r="B7" s="10" t="s">
        <v>43</v>
      </c>
      <c r="C7" s="12">
        <f>[1]Variables!$O$4</f>
        <v>3.0000000000000001E-3</v>
      </c>
      <c r="D7" s="3"/>
      <c r="E7" s="5">
        <f>[1]Variables!$O$8</f>
        <v>5.4100000000000002E-2</v>
      </c>
      <c r="F7" s="2"/>
      <c r="G7" s="5">
        <f>C7*E7</f>
        <v>1.6230000000000001E-4</v>
      </c>
      <c r="H7" s="1"/>
    </row>
    <row r="8" spans="2:8">
      <c r="B8" s="11" t="s">
        <v>44</v>
      </c>
      <c r="C8" s="13">
        <f>[1]Variables!$O$5</f>
        <v>0.52100000000000002</v>
      </c>
      <c r="D8" s="6"/>
      <c r="E8" s="8">
        <f>[1]Variables!$O$9</f>
        <v>0.106</v>
      </c>
      <c r="F8" s="7"/>
      <c r="G8" s="8">
        <f>C8*E8</f>
        <v>5.5225999999999997E-2</v>
      </c>
      <c r="H8" s="1"/>
    </row>
    <row r="9" spans="2:8">
      <c r="B9" s="1"/>
      <c r="C9" s="1"/>
      <c r="D9" s="1"/>
      <c r="E9" s="1"/>
      <c r="F9" s="1"/>
      <c r="G9" s="1"/>
      <c r="H9" s="1"/>
    </row>
    <row r="10" spans="2:8">
      <c r="B10" s="1"/>
      <c r="C10" s="1"/>
      <c r="D10" s="1"/>
      <c r="E10" s="1"/>
      <c r="F10" s="1"/>
      <c r="G10" s="26">
        <f>ROUND(SUM(G6:G8),4)</f>
        <v>8.3400000000000002E-2</v>
      </c>
      <c r="H10" s="1"/>
    </row>
    <row r="13" spans="2:8">
      <c r="C13" s="24" t="s">
        <v>45</v>
      </c>
      <c r="D13" s="25">
        <f>1/[1]!NetToGross</f>
        <v>1.6132154610569789</v>
      </c>
    </row>
    <row r="16" spans="2:8">
      <c r="B16" s="9" t="s">
        <v>77</v>
      </c>
      <c r="C16" s="21"/>
      <c r="D16" s="16">
        <f>[1]Results!$C$39</f>
        <v>46232661.73507905</v>
      </c>
    </row>
    <row r="17" spans="2:4">
      <c r="B17" s="19"/>
      <c r="C17" s="20"/>
      <c r="D17" s="23"/>
    </row>
    <row r="18" spans="2:4">
      <c r="B18" s="17" t="s">
        <v>46</v>
      </c>
      <c r="C18" s="22"/>
      <c r="D18" s="16">
        <f>[1]Results!$C$66</f>
        <v>751399886.74508774</v>
      </c>
    </row>
    <row r="19" spans="2:4">
      <c r="B19" s="17"/>
      <c r="C19" s="22"/>
      <c r="D19" s="18"/>
    </row>
    <row r="20" spans="2:4">
      <c r="B20" s="17"/>
      <c r="C20" s="22"/>
      <c r="D20" s="23"/>
    </row>
    <row r="21" spans="2:4">
      <c r="B21" s="9" t="s">
        <v>47</v>
      </c>
      <c r="C21" s="21"/>
      <c r="D21" s="16">
        <f>[1]Results!$E$39</f>
        <v>40184285.381845117</v>
      </c>
    </row>
    <row r="22" spans="2:4">
      <c r="B22" s="19"/>
      <c r="C22" s="20"/>
      <c r="D22" s="23"/>
    </row>
    <row r="23" spans="2:4">
      <c r="B23" s="17" t="s">
        <v>48</v>
      </c>
      <c r="C23" s="22"/>
      <c r="D23" s="18">
        <f>[1]!T1RateBase</f>
        <v>766131032.57946646</v>
      </c>
    </row>
    <row r="24" spans="2:4">
      <c r="B24" s="19"/>
      <c r="C24" s="20"/>
      <c r="D24" s="20"/>
    </row>
  </sheetData>
  <mergeCells count="3">
    <mergeCell ref="D4:E4"/>
    <mergeCell ref="F4:G4"/>
    <mergeCell ref="B2:G2"/>
  </mergeCells>
  <phoneticPr fontId="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2010-12-17T08:00:00+00:00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0D76F4F-034C-42ED-ACD7-EE81553A43CF}"/>
</file>

<file path=customXml/itemProps2.xml><?xml version="1.0" encoding="utf-8"?>
<ds:datastoreItem xmlns:ds="http://schemas.openxmlformats.org/officeDocument/2006/customXml" ds:itemID="{0AE79E4C-0F66-48DD-81F7-60304827EDF3}"/>
</file>

<file path=customXml/itemProps3.xml><?xml version="1.0" encoding="utf-8"?>
<ds:datastoreItem xmlns:ds="http://schemas.openxmlformats.org/officeDocument/2006/customXml" ds:itemID="{0C98EDC0-4691-4A36-9A17-1E3D71B6409F}"/>
</file>

<file path=customXml/itemProps4.xml><?xml version="1.0" encoding="utf-8"?>
<ds:datastoreItem xmlns:ds="http://schemas.openxmlformats.org/officeDocument/2006/customXml" ds:itemID="{45F35F98-CB85-4264-A721-9AA35FE201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</vt:lpstr>
      <vt:lpstr>Restating</vt:lpstr>
      <vt:lpstr>Pro Forma</vt:lpstr>
      <vt:lpstr>Capital Structure</vt:lpstr>
      <vt:lpstr>'Pro Forma'!Print_Area</vt:lpstr>
      <vt:lpstr>Restating!Print_Area</vt:lpstr>
      <vt:lpstr>'Pro Forma'!Print_Titles</vt:lpstr>
      <vt:lpstr>Restating!Print_Titles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SUNDARAM</dc:creator>
  <cp:lastModifiedBy>R. Bryce Dalley</cp:lastModifiedBy>
  <cp:lastPrinted>2010-04-28T18:59:17Z</cp:lastPrinted>
  <dcterms:created xsi:type="dcterms:W3CDTF">2009-02-17T19:17:29Z</dcterms:created>
  <dcterms:modified xsi:type="dcterms:W3CDTF">2010-12-10T19:18:20Z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