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'Sheet1'!$C:$I,'Sheet1'!$3:$14</definedName>
    <definedName name="Rate_Base">'Sheet1'!$E$56:$R$88</definedName>
  </definedNames>
  <calcPr fullCalcOnLoad="1"/>
</workbook>
</file>

<file path=xl/sharedStrings.xml><?xml version="1.0" encoding="utf-8"?>
<sst xmlns="http://schemas.openxmlformats.org/spreadsheetml/2006/main" count="217" uniqueCount="194">
  <si>
    <t>Interstate Revenue</t>
  </si>
  <si>
    <t>WUTC Revenue</t>
  </si>
  <si>
    <t>Other</t>
  </si>
  <si>
    <t>Total Present Revenue</t>
  </si>
  <si>
    <t>Salaries &amp; Wages</t>
  </si>
  <si>
    <t>Mat'ls &amp; Supplies</t>
  </si>
  <si>
    <t>One Time Maintenance</t>
  </si>
  <si>
    <t>Admin./Mgmnt Fee</t>
  </si>
  <si>
    <t>Transitition Amtz.</t>
  </si>
  <si>
    <t>Fuel &amp; Power</t>
  </si>
  <si>
    <t>Oil Losses</t>
  </si>
  <si>
    <t>Rate Case Amtz. - 1/5</t>
  </si>
  <si>
    <t>Rentals</t>
  </si>
  <si>
    <t>Depr. &amp; Amtz.</t>
  </si>
  <si>
    <t>Insurance</t>
  </si>
  <si>
    <t>Casualty Losses</t>
  </si>
  <si>
    <t>Pipeline Taxes</t>
  </si>
  <si>
    <t>Amtz. of Def'd Return</t>
  </si>
  <si>
    <t>Amtz. of AFUDC</t>
  </si>
  <si>
    <t>Federal Income Taxes</t>
  </si>
  <si>
    <t>Allowed Return</t>
  </si>
  <si>
    <t>incl'd above</t>
  </si>
  <si>
    <t>Allowed Return / Net Operating Income</t>
  </si>
  <si>
    <t>Line No.</t>
  </si>
  <si>
    <t>Total Operating Expenses</t>
  </si>
  <si>
    <t>Revenue Deficiency / (Excess)</t>
  </si>
  <si>
    <t>Olympic Pipe Line Company</t>
  </si>
  <si>
    <t>Results of Operations</t>
  </si>
  <si>
    <t>Rate Base</t>
  </si>
  <si>
    <t>Plant in Service</t>
  </si>
  <si>
    <t>Land</t>
  </si>
  <si>
    <t>AFUDC</t>
  </si>
  <si>
    <t>Net Write Up of SRB</t>
  </si>
  <si>
    <t>Net Def'd Return</t>
  </si>
  <si>
    <t>Working Capital</t>
  </si>
  <si>
    <t>Less:</t>
  </si>
  <si>
    <t>Accum. Depreciation</t>
  </si>
  <si>
    <t>Accum. Amtz. AFUDC</t>
  </si>
  <si>
    <t>Accum. Def'd Fed. Income Tax</t>
  </si>
  <si>
    <t>Sub Total</t>
  </si>
  <si>
    <t>Rate of Return - %</t>
  </si>
  <si>
    <t>Interstate</t>
  </si>
  <si>
    <t>WUTC</t>
  </si>
  <si>
    <t>(A)</t>
  </si>
  <si>
    <t>(B)</t>
  </si>
  <si>
    <t>(D)</t>
  </si>
  <si>
    <t>(Sum LL 1-3)</t>
  </si>
  <si>
    <t>Total Cost of Service Comparisons</t>
  </si>
  <si>
    <t>and Rate Base Comparisons</t>
  </si>
  <si>
    <t>Description</t>
  </si>
  <si>
    <t>Cause TO-011472</t>
  </si>
  <si>
    <t>Source</t>
  </si>
  <si>
    <t>(Sum LL 55 - 57)</t>
  </si>
  <si>
    <t xml:space="preserve">   Bayview</t>
  </si>
  <si>
    <t xml:space="preserve">  Bayview</t>
  </si>
  <si>
    <t xml:space="preserve">  End of Period Adj.</t>
  </si>
  <si>
    <t xml:space="preserve">  SeaTac</t>
  </si>
  <si>
    <t xml:space="preserve">  EOY Rate Base</t>
  </si>
  <si>
    <t xml:space="preserve">  EOY CWIP</t>
  </si>
  <si>
    <t>Sched. 22.2, L 32</t>
  </si>
  <si>
    <t>Sched. 22.2, L 33</t>
  </si>
  <si>
    <t xml:space="preserve">  Ex. 728C, WkPpr 2, L 4</t>
  </si>
  <si>
    <t xml:space="preserve">  Ex. 728C, WkPpr 2, L 5</t>
  </si>
  <si>
    <t>Remediation</t>
  </si>
  <si>
    <t>Sched 21, L 1 + L 9</t>
  </si>
  <si>
    <t>Sched 21, L 2 + L 10</t>
  </si>
  <si>
    <t xml:space="preserve">  Ex. 728C, WkPpr 2, L 7</t>
  </si>
  <si>
    <t xml:space="preserve"> Sched 21.5, L 11</t>
  </si>
  <si>
    <t xml:space="preserve"> Sched 21.5, L 14</t>
  </si>
  <si>
    <t xml:space="preserve"> Sched 21.5, L 12</t>
  </si>
  <si>
    <t xml:space="preserve"> Sched 21.5, L 13</t>
  </si>
  <si>
    <t>Sched 21, L 4</t>
  </si>
  <si>
    <t>Sched 21, L 5</t>
  </si>
  <si>
    <t>Sched 21, L 12 + L 6</t>
  </si>
  <si>
    <t>Sched 21, L 7 + L 18</t>
  </si>
  <si>
    <t>Sched 21, L 13</t>
  </si>
  <si>
    <t xml:space="preserve"> Sched 21, L 15</t>
  </si>
  <si>
    <t xml:space="preserve"> Sched 21, L 17</t>
  </si>
  <si>
    <t xml:space="preserve">Sched 1, L 6 </t>
  </si>
  <si>
    <t>Sched 1, L 5</t>
  </si>
  <si>
    <t>Sched 1, L 2</t>
  </si>
  <si>
    <t>Sched 3, L 14</t>
  </si>
  <si>
    <t xml:space="preserve"> Sched 21.5, L 8</t>
  </si>
  <si>
    <t xml:space="preserve">  </t>
  </si>
  <si>
    <t xml:space="preserve"> L 5 x 60.6% (Ex 2402, Sched. 25, L 33)</t>
  </si>
  <si>
    <t>L 5 x  39.4% (Ex 2402, Sched. 25, L 34)</t>
  </si>
  <si>
    <t xml:space="preserve">Sum LL 1 - 3 and Ex. 2412, L 8 </t>
  </si>
  <si>
    <t>Sched 21, L 2 +  L 10</t>
  </si>
  <si>
    <t>Sched 21, L 12</t>
  </si>
  <si>
    <t>Sched 21, L 8 + L 18</t>
  </si>
  <si>
    <t>Tesoro Rebuttal</t>
  </si>
  <si>
    <t>Rate Base Not Provided</t>
  </si>
  <si>
    <t>By Individual Element</t>
  </si>
  <si>
    <t>Sched 21.5, L16 &amp; Sched 21, L 3 + L 11</t>
  </si>
  <si>
    <t>Ex. 1904, P1, Col. F, L 1</t>
  </si>
  <si>
    <t>Ex. 1904, P1, Col. F, L 2</t>
  </si>
  <si>
    <t>Ex. 1904, P1, Col. F, L 3</t>
  </si>
  <si>
    <t>Ex. 2003C, P 9, L 9 - L 19</t>
  </si>
  <si>
    <t>Rate Case Litigation - Annualized</t>
  </si>
  <si>
    <t>Ex. 1906, P1, Col. P-2, L 30</t>
  </si>
  <si>
    <t>Ex. 1906, P2, Col. P-9, L 30</t>
  </si>
  <si>
    <t>Ex. 1906, P2, Col. P-11 L 30</t>
  </si>
  <si>
    <t>Ex. 1906, P2, Col. P-13 L 30</t>
  </si>
  <si>
    <t>Ex, 703C, Sched. 5, L 2</t>
  </si>
  <si>
    <t xml:space="preserve">Ex. 1904, P1, Col. F, L 31  </t>
  </si>
  <si>
    <t xml:space="preserve">Ex. 1904, P1, Col. F, L 33 </t>
  </si>
  <si>
    <t xml:space="preserve">Ex. 1904, P1, Col. D, L 34  </t>
  </si>
  <si>
    <t>Ex. 1906, P1, Col. P-2, L 34</t>
  </si>
  <si>
    <t>Ex. 1906, P2, Col. P-9, L 34</t>
  </si>
  <si>
    <t>Ex. 1906, P2, Col. P-11 L 34</t>
  </si>
  <si>
    <t>Ex. 1906, P2, Col. P-13 L 34</t>
  </si>
  <si>
    <t xml:space="preserve">Ex. 1904, P1, Col. H, L 35 </t>
  </si>
  <si>
    <t xml:space="preserve">Ex. 1904, P1, Col. D, L 36  </t>
  </si>
  <si>
    <t>Ex. 1906, P2, Col. P-11 L 36</t>
  </si>
  <si>
    <t xml:space="preserve">Ex. 1904, P1, Col. H, L 36  </t>
  </si>
  <si>
    <t xml:space="preserve">Ex. 1904, P1, Col. F, Ln 39  </t>
  </si>
  <si>
    <t>Sched 5, L 1 Average</t>
  </si>
  <si>
    <t>Sched 5, L 3 Average</t>
  </si>
  <si>
    <t>Sched 5, L 16 Average</t>
  </si>
  <si>
    <t>Sched 5, L 12 Average</t>
  </si>
  <si>
    <t>Sched 5, L 5 Average</t>
  </si>
  <si>
    <t>Sched 5, L 6 Average</t>
  </si>
  <si>
    <t>Sched 5, L 13 Average</t>
  </si>
  <si>
    <t>Cost of Service</t>
  </si>
  <si>
    <t>Total Revenue Requirement /</t>
  </si>
  <si>
    <t>Sched 21, L 15</t>
  </si>
  <si>
    <t>Sched 5, L 15 Average</t>
  </si>
  <si>
    <t>Sched 5, L 2 Average</t>
  </si>
  <si>
    <t>(L 31 - L 4)</t>
  </si>
  <si>
    <t>(Sum LL 40 - 49)</t>
  </si>
  <si>
    <t>(L 71)</t>
  </si>
  <si>
    <t>L 15 - L 9 - L 10</t>
  </si>
  <si>
    <t>Ex. 1904, P1, Col. D, L 30 - $577,000 L 46  (Land)</t>
  </si>
  <si>
    <t xml:space="preserve">Sum LL 40-49 and Ex. 1904, P1, Col. F, L 32 </t>
  </si>
  <si>
    <t>(Sum LL 55 - 59) and Ex. 1904, P1, Col. H, L 34</t>
  </si>
  <si>
    <t>(L 60 + Ln 61 + L 64)</t>
  </si>
  <si>
    <t>per Ex. 1904, Ex. 1906, Ex. 2003C &amp; Ex. 2010</t>
  </si>
  <si>
    <t>Estimated  L 71 / L 69</t>
  </si>
  <si>
    <t>per Ex. 703C &amp; Ex. 728C</t>
  </si>
  <si>
    <t>Olympic's Rebuttal Case</t>
  </si>
  <si>
    <t xml:space="preserve"> (L 71)</t>
  </si>
  <si>
    <t>(E)</t>
  </si>
  <si>
    <t>Outside Services</t>
  </si>
  <si>
    <t>Total Outside Services</t>
  </si>
  <si>
    <t xml:space="preserve">(Sum LL 24 - 29   &amp; </t>
  </si>
  <si>
    <t xml:space="preserve">       Sched 1, L 7)</t>
  </si>
  <si>
    <t>(L 67 x L  69  &amp;</t>
  </si>
  <si>
    <t xml:space="preserve">      Sched 1, L 1)</t>
  </si>
  <si>
    <t xml:space="preserve">     Ex 2412, L 7)</t>
  </si>
  <si>
    <t xml:space="preserve">  Ex. 2412, L 4</t>
  </si>
  <si>
    <t>Sched. 3, L 14;  Also Ex. 402, P 1</t>
  </si>
  <si>
    <t>Tosco</t>
  </si>
  <si>
    <t>Although Tosco proposed</t>
  </si>
  <si>
    <t>specific adjustments for specific</t>
  </si>
  <si>
    <t>items, it did not present any final</t>
  </si>
  <si>
    <t>recommendations on Cost of Service</t>
  </si>
  <si>
    <t>or Rate Base</t>
  </si>
  <si>
    <t>Ex. 2412, L 1)</t>
  </si>
  <si>
    <t>(Actual - as booked)</t>
  </si>
  <si>
    <t xml:space="preserve">Ex. 1904, P1, Col. H, L  25  </t>
  </si>
  <si>
    <t>Ex. 1904, P1, Col. H, L 26</t>
  </si>
  <si>
    <t>Ex. 1904, P1, Col. H, L 29,</t>
  </si>
  <si>
    <t>(Sum LL 24 - 29  &amp;</t>
  </si>
  <si>
    <t>(L 67 x L 69  &amp;</t>
  </si>
  <si>
    <t xml:space="preserve">     Ex. 1904, P 1, Col. H, L29)</t>
  </si>
  <si>
    <t>(L 50 + L 52 - L 65  &amp;   Ex. 1904, P 1, Col. H, L 38)</t>
  </si>
  <si>
    <t>(L 50 + L 52 - L 65   &amp;</t>
  </si>
  <si>
    <t xml:space="preserve">   Ex. 703C, Sched. 5, P2, L 19)</t>
  </si>
  <si>
    <t xml:space="preserve"> Ex. 2412, L 5</t>
  </si>
  <si>
    <t xml:space="preserve"> Ex. 2412, L 2</t>
  </si>
  <si>
    <t>Tesoro's Case per Ex. 2402 &amp; Ex. 2412</t>
  </si>
  <si>
    <t xml:space="preserve">  Commission Staff's Case</t>
  </si>
  <si>
    <t>(Sum LL 40 - 44) &amp; Ex. 1904, P1, Col. H, L 30 + Land</t>
  </si>
  <si>
    <t>(C)</t>
  </si>
  <si>
    <t>Sum LL 8-14 &amp; Sched 21, L 3 + L 11</t>
  </si>
  <si>
    <t xml:space="preserve"> &amp; Ex. 2412 L 3 + L 4</t>
  </si>
  <si>
    <t xml:space="preserve"> $ (1,491,279)    -6.40%            L 34 - L 37</t>
  </si>
  <si>
    <t>Table 2, Col  C, L 3 + Ex. 1904, P1, Col. F, L 21</t>
  </si>
  <si>
    <t>Sum LL 6+ 7+ 15 + LL 16 - 23</t>
  </si>
  <si>
    <t xml:space="preserve"> &amp; Sched 21, L 20</t>
  </si>
  <si>
    <t xml:space="preserve">Sum LL 6+ 7+ 15 + LL 16 - 23 </t>
  </si>
  <si>
    <t>(Sum LL 24 - 29)</t>
  </si>
  <si>
    <t xml:space="preserve"> $  161,662         1.12%             Ex. 1901T at 2: 16 - 20</t>
  </si>
  <si>
    <t xml:space="preserve">                                                          and TR 4601: 5-7</t>
  </si>
  <si>
    <t>Ex. 1904, P1, Col. H, L 5 + L 13</t>
  </si>
  <si>
    <t>Ex. 1904, P1, Col. H, L 6 + L 14</t>
  </si>
  <si>
    <t>Ex. 1904, P1, Col. H, L 7 + L 15</t>
  </si>
  <si>
    <t>Ex. 1904, P1, Col. H, L 10 + L  16</t>
  </si>
  <si>
    <t>Ex. 1904, P1, Col. H, L 11 + L  22</t>
  </si>
  <si>
    <t xml:space="preserve">Ex. 1904, P1, Col. H, L 17  </t>
  </si>
  <si>
    <t xml:space="preserve">Ex. 1904, P1, Col. H, L 19  </t>
  </si>
  <si>
    <t xml:space="preserve">Ex. 1904, P1, Col. H, L 8 + 2,463,137 - 125,105 (Ex. 2010) </t>
  </si>
  <si>
    <t xml:space="preserve"> - 2,379,100 + 259,372 (Ex. 2003C, P 29)</t>
  </si>
  <si>
    <t>Ex. 2003C, P 36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</si>
</sst>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??_);_(@_)"/>
    <numFmt numFmtId="170" formatCode="0.0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167" fontId="0" fillId="0" borderId="0" xfId="15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7" fontId="0" fillId="0" borderId="1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7" fontId="0" fillId="0" borderId="0" xfId="15" applyNumberFormat="1" applyFont="1" applyAlignment="1" quotePrefix="1">
      <alignment horizontal="center"/>
    </xf>
    <xf numFmtId="167" fontId="0" fillId="0" borderId="0" xfId="15" applyNumberFormat="1" applyBorder="1" applyAlignment="1">
      <alignment/>
    </xf>
    <xf numFmtId="16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7" applyNumberFormat="1" applyBorder="1" applyAlignment="1">
      <alignment/>
    </xf>
    <xf numFmtId="0" fontId="0" fillId="0" borderId="0" xfId="0" applyAlignment="1" quotePrefix="1">
      <alignment horizontal="left" indent="2"/>
    </xf>
    <xf numFmtId="10" fontId="0" fillId="0" borderId="0" xfId="19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left"/>
    </xf>
    <xf numFmtId="165" fontId="0" fillId="0" borderId="0" xfId="17" applyNumberFormat="1" applyFont="1" applyAlignment="1" quotePrefix="1">
      <alignment/>
    </xf>
    <xf numFmtId="167" fontId="0" fillId="0" borderId="0" xfId="0" applyNumberFormat="1" applyFont="1" applyAlignment="1" quotePrefix="1">
      <alignment/>
    </xf>
    <xf numFmtId="167" fontId="0" fillId="0" borderId="0" xfId="0" applyNumberFormat="1" applyAlignment="1" quotePrefix="1">
      <alignment/>
    </xf>
    <xf numFmtId="167" fontId="0" fillId="0" borderId="1" xfId="0" applyNumberFormat="1" applyBorder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7" fontId="0" fillId="0" borderId="0" xfId="15" applyNumberFormat="1" applyFill="1" applyAlignment="1">
      <alignment/>
    </xf>
    <xf numFmtId="167" fontId="0" fillId="0" borderId="0" xfId="0" applyNumberFormat="1" applyBorder="1" applyAlignment="1" quotePrefix="1">
      <alignment/>
    </xf>
    <xf numFmtId="165" fontId="0" fillId="0" borderId="0" xfId="17" applyNumberFormat="1" applyFont="1" applyAlignment="1">
      <alignment/>
    </xf>
    <xf numFmtId="167" fontId="0" fillId="0" borderId="0" xfId="15" applyNumberFormat="1" applyFont="1" applyAlignment="1" quotePrefix="1">
      <alignment horizontal="left"/>
    </xf>
    <xf numFmtId="167" fontId="0" fillId="0" borderId="0" xfId="15" applyNumberFormat="1" applyFont="1" applyFill="1" applyAlignment="1" quotePrefix="1">
      <alignment horizontal="left"/>
    </xf>
    <xf numFmtId="167" fontId="0" fillId="0" borderId="0" xfId="0" applyNumberFormat="1" applyFill="1" applyAlignment="1" quotePrefix="1">
      <alignment horizontal="left"/>
    </xf>
    <xf numFmtId="167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165" fontId="2" fillId="0" borderId="0" xfId="17" applyNumberFormat="1" applyFont="1" applyAlignment="1">
      <alignment/>
    </xf>
    <xf numFmtId="0" fontId="0" fillId="2" borderId="0" xfId="0" applyFill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167" fontId="0" fillId="2" borderId="0" xfId="0" applyNumberFormat="1" applyFill="1" applyBorder="1" applyAlignment="1" quotePrefix="1">
      <alignment horizontal="left"/>
    </xf>
    <xf numFmtId="10" fontId="0" fillId="0" borderId="0" xfId="19" applyNumberFormat="1" applyBorder="1" applyAlignment="1">
      <alignment horizontal="left"/>
    </xf>
    <xf numFmtId="0" fontId="0" fillId="0" borderId="0" xfId="0" applyAlignment="1">
      <alignment horizontal="left" indent="2"/>
    </xf>
    <xf numFmtId="167" fontId="0" fillId="0" borderId="4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left"/>
    </xf>
    <xf numFmtId="168" fontId="0" fillId="0" borderId="0" xfId="19" applyNumberFormat="1" applyFont="1" applyFill="1" applyAlignment="1" quotePrefix="1">
      <alignment horizontal="left"/>
    </xf>
    <xf numFmtId="168" fontId="0" fillId="0" borderId="0" xfId="19" applyNumberFormat="1" applyFont="1" applyFill="1" applyAlignment="1">
      <alignment horizontal="left"/>
    </xf>
    <xf numFmtId="167" fontId="0" fillId="0" borderId="0" xfId="15" applyNumberFormat="1" applyFont="1" applyFill="1" applyAlignment="1">
      <alignment/>
    </xf>
    <xf numFmtId="167" fontId="0" fillId="0" borderId="0" xfId="15" applyNumberFormat="1" applyFont="1" applyFill="1" applyBorder="1" applyAlignment="1">
      <alignment/>
    </xf>
    <xf numFmtId="167" fontId="0" fillId="0" borderId="0" xfId="15" applyNumberFormat="1" applyFont="1" applyFill="1" applyBorder="1" applyAlignment="1" quotePrefix="1">
      <alignment horizontal="left"/>
    </xf>
    <xf numFmtId="0" fontId="0" fillId="0" borderId="0" xfId="0" applyFill="1" applyAlignment="1" quotePrefix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65" fontId="0" fillId="0" borderId="0" xfId="17" applyNumberForma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165" fontId="0" fillId="0" borderId="1" xfId="17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1" xfId="15" applyNumberFormat="1" applyFill="1" applyBorder="1" applyAlignment="1">
      <alignment/>
    </xf>
    <xf numFmtId="167" fontId="0" fillId="0" borderId="0" xfId="15" applyNumberFormat="1" applyFill="1" applyBorder="1" applyAlignment="1">
      <alignment/>
    </xf>
    <xf numFmtId="167" fontId="0" fillId="0" borderId="0" xfId="15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 quotePrefix="1">
      <alignment horizontal="center"/>
    </xf>
    <xf numFmtId="167" fontId="3" fillId="0" borderId="0" xfId="15" applyNumberFormat="1" applyFont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165" fontId="0" fillId="2" borderId="0" xfId="17" applyNumberFormat="1" applyFont="1" applyFill="1" applyBorder="1" applyAlignment="1" quotePrefix="1">
      <alignment horizontal="left"/>
    </xf>
    <xf numFmtId="165" fontId="0" fillId="0" borderId="5" xfId="17" applyNumberFormat="1" applyBorder="1" applyAlignment="1">
      <alignment/>
    </xf>
    <xf numFmtId="0" fontId="0" fillId="0" borderId="4" xfId="0" applyBorder="1" applyAlignment="1">
      <alignment/>
    </xf>
    <xf numFmtId="167" fontId="0" fillId="2" borderId="6" xfId="15" applyNumberFormat="1" applyFill="1" applyBorder="1" applyAlignment="1">
      <alignment/>
    </xf>
    <xf numFmtId="0" fontId="0" fillId="0" borderId="7" xfId="0" applyBorder="1" applyAlignment="1" quotePrefix="1">
      <alignment horizontal="left" indent="1"/>
    </xf>
    <xf numFmtId="0" fontId="0" fillId="0" borderId="8" xfId="0" applyBorder="1" applyAlignment="1">
      <alignment/>
    </xf>
    <xf numFmtId="10" fontId="0" fillId="0" borderId="9" xfId="19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91"/>
  <sheetViews>
    <sheetView tabSelected="1" zoomScale="75" zoomScaleNormal="75" workbookViewId="0" topLeftCell="G67">
      <selection activeCell="J17" sqref="J17:O88"/>
    </sheetView>
  </sheetViews>
  <sheetFormatPr defaultColWidth="9.140625" defaultRowHeight="12.75"/>
  <cols>
    <col min="4" max="4" width="2.8515625" style="0" customWidth="1"/>
    <col min="8" max="9" width="2.7109375" style="0" customWidth="1"/>
    <col min="10" max="10" width="13.00390625" style="0" customWidth="1"/>
    <col min="11" max="11" width="22.421875" style="0" customWidth="1"/>
    <col min="12" max="12" width="2.8515625" style="0" customWidth="1"/>
    <col min="13" max="13" width="14.00390625" style="0" customWidth="1"/>
    <col min="14" max="14" width="40.7109375" style="0" customWidth="1"/>
    <col min="15" max="15" width="4.140625" style="0" customWidth="1"/>
    <col min="16" max="16" width="13.421875" style="0" customWidth="1"/>
    <col min="17" max="17" width="32.421875" style="0" customWidth="1"/>
    <col min="18" max="18" width="3.28125" style="0" customWidth="1"/>
    <col min="20" max="20" width="29.7109375" style="0" customWidth="1"/>
    <col min="23" max="23" width="13.421875" style="0" customWidth="1"/>
    <col min="24" max="24" width="32.421875" style="0" customWidth="1"/>
  </cols>
  <sheetData>
    <row r="3" ht="12.75">
      <c r="E3" t="s">
        <v>26</v>
      </c>
    </row>
    <row r="4" ht="12.75">
      <c r="E4" s="1" t="s">
        <v>47</v>
      </c>
    </row>
    <row r="5" ht="12.75">
      <c r="E5" s="1" t="s">
        <v>48</v>
      </c>
    </row>
    <row r="6" ht="12.75">
      <c r="E6" s="1"/>
    </row>
    <row r="7" ht="12.75">
      <c r="E7" t="s">
        <v>50</v>
      </c>
    </row>
    <row r="8" ht="12.75">
      <c r="E8" s="1"/>
    </row>
    <row r="10" spans="10:20" ht="12.75">
      <c r="J10" s="83" t="s">
        <v>139</v>
      </c>
      <c r="K10" s="83"/>
      <c r="M10" s="82" t="s">
        <v>171</v>
      </c>
      <c r="N10" s="83"/>
      <c r="T10" s="22" t="s">
        <v>151</v>
      </c>
    </row>
    <row r="11" spans="10:20" ht="12.75">
      <c r="J11" s="81" t="s">
        <v>138</v>
      </c>
      <c r="K11" s="81"/>
      <c r="M11" s="84" t="s">
        <v>136</v>
      </c>
      <c r="N11" s="84"/>
      <c r="P11" s="81" t="s">
        <v>170</v>
      </c>
      <c r="Q11" s="81"/>
      <c r="T11" s="20"/>
    </row>
    <row r="12" spans="3:17" ht="12.75">
      <c r="C12" s="20" t="s">
        <v>23</v>
      </c>
      <c r="D12" s="22"/>
      <c r="E12" s="84" t="s">
        <v>49</v>
      </c>
      <c r="F12" s="84"/>
      <c r="J12" s="44"/>
      <c r="M12" s="23"/>
      <c r="P12" s="22"/>
      <c r="Q12" s="12" t="s">
        <v>83</v>
      </c>
    </row>
    <row r="13" spans="5:20" ht="12.75">
      <c r="E13" s="85" t="s">
        <v>43</v>
      </c>
      <c r="F13" s="85"/>
      <c r="J13" s="22" t="s">
        <v>44</v>
      </c>
      <c r="K13" s="31" t="s">
        <v>51</v>
      </c>
      <c r="M13" s="68" t="s">
        <v>173</v>
      </c>
      <c r="N13" s="31" t="s">
        <v>51</v>
      </c>
      <c r="P13" s="21" t="s">
        <v>45</v>
      </c>
      <c r="Q13" s="31" t="s">
        <v>51</v>
      </c>
      <c r="T13" s="67" t="s">
        <v>141</v>
      </c>
    </row>
    <row r="14" spans="10:17" ht="12.75">
      <c r="J14" s="21"/>
      <c r="M14" s="21"/>
      <c r="P14" s="22"/>
      <c r="Q14" s="12"/>
    </row>
    <row r="15" spans="5:10" ht="12.75">
      <c r="E15" s="16" t="s">
        <v>27</v>
      </c>
      <c r="J15" s="12"/>
    </row>
    <row r="17" spans="3:20" ht="12.75">
      <c r="C17" s="12">
        <v>1</v>
      </c>
      <c r="D17" s="12"/>
      <c r="E17" t="s">
        <v>0</v>
      </c>
      <c r="J17" s="2">
        <v>20954618</v>
      </c>
      <c r="K17" s="43" t="s">
        <v>59</v>
      </c>
      <c r="M17" s="2">
        <v>23296389</v>
      </c>
      <c r="N17" s="1" t="s">
        <v>94</v>
      </c>
      <c r="P17" s="2">
        <f>42257000*0.606</f>
        <v>25607742</v>
      </c>
      <c r="Q17" s="51" t="s">
        <v>84</v>
      </c>
      <c r="T17" s="40" t="s">
        <v>152</v>
      </c>
    </row>
    <row r="18" spans="3:20" ht="12.75">
      <c r="C18" s="12">
        <v>2</v>
      </c>
      <c r="D18" s="12"/>
      <c r="E18" t="s">
        <v>1</v>
      </c>
      <c r="J18" s="3">
        <v>14501931</v>
      </c>
      <c r="K18" s="43" t="s">
        <v>60</v>
      </c>
      <c r="M18" s="3">
        <v>14424872</v>
      </c>
      <c r="N18" s="1" t="s">
        <v>95</v>
      </c>
      <c r="P18" s="3">
        <f>42257000*0.394</f>
        <v>16649258</v>
      </c>
      <c r="Q18" s="52" t="s">
        <v>85</v>
      </c>
      <c r="T18" s="40" t="s">
        <v>153</v>
      </c>
    </row>
    <row r="19" spans="3:20" ht="12.75">
      <c r="C19" s="12">
        <v>3</v>
      </c>
      <c r="D19" s="12"/>
      <c r="E19" t="s">
        <v>2</v>
      </c>
      <c r="J19" s="4">
        <v>0</v>
      </c>
      <c r="M19" s="4">
        <v>348230</v>
      </c>
      <c r="N19" s="1" t="s">
        <v>96</v>
      </c>
      <c r="P19" s="4">
        <v>0</v>
      </c>
      <c r="Q19" s="14"/>
      <c r="T19" t="s">
        <v>154</v>
      </c>
    </row>
    <row r="20" spans="3:20" ht="12.75">
      <c r="C20" s="12">
        <v>4</v>
      </c>
      <c r="D20" s="12"/>
      <c r="E20" s="1" t="s">
        <v>3</v>
      </c>
      <c r="J20" s="3">
        <f>SUM(J17:J19)</f>
        <v>35456549</v>
      </c>
      <c r="K20" s="7" t="s">
        <v>46</v>
      </c>
      <c r="M20" s="3">
        <f>SUM(M17:M19)</f>
        <v>38069491</v>
      </c>
      <c r="N20" s="7" t="s">
        <v>46</v>
      </c>
      <c r="O20" s="3"/>
      <c r="P20" s="3">
        <f>SUM(P17:P19)</f>
        <v>42257000</v>
      </c>
      <c r="Q20" s="36" t="s">
        <v>86</v>
      </c>
      <c r="T20" t="s">
        <v>155</v>
      </c>
    </row>
    <row r="21" spans="3:22" ht="12.75">
      <c r="C21" s="12">
        <v>5</v>
      </c>
      <c r="D21" s="12"/>
      <c r="T21" t="s">
        <v>156</v>
      </c>
      <c r="V21" s="1"/>
    </row>
    <row r="22" spans="3:20" ht="12.75">
      <c r="C22" s="12">
        <v>6</v>
      </c>
      <c r="D22" s="12"/>
      <c r="E22" t="s">
        <v>4</v>
      </c>
      <c r="J22" s="5">
        <f>5101750+1400713</f>
        <v>6502463</v>
      </c>
      <c r="K22" s="36" t="s">
        <v>64</v>
      </c>
      <c r="M22" s="3">
        <f>4857238+1333581</f>
        <v>6190819</v>
      </c>
      <c r="N22" s="1" t="s">
        <v>184</v>
      </c>
      <c r="P22" s="5">
        <f>5790255+1589745</f>
        <v>7380000</v>
      </c>
      <c r="Q22" s="36" t="s">
        <v>64</v>
      </c>
      <c r="T22" s="1"/>
    </row>
    <row r="23" spans="3:20" ht="12.75">
      <c r="C23" s="12">
        <v>7</v>
      </c>
      <c r="D23" s="12"/>
      <c r="E23" t="s">
        <v>5</v>
      </c>
      <c r="J23" s="5">
        <f>230915+562071</f>
        <v>792986</v>
      </c>
      <c r="K23" s="36" t="s">
        <v>65</v>
      </c>
      <c r="M23" s="3">
        <f>510418+209694</f>
        <v>720112</v>
      </c>
      <c r="N23" s="1" t="s">
        <v>185</v>
      </c>
      <c r="P23" s="5">
        <f>1271661</f>
        <v>1271661</v>
      </c>
      <c r="Q23" s="36" t="s">
        <v>87</v>
      </c>
      <c r="T23" s="1"/>
    </row>
    <row r="24" spans="3:17" ht="12.75">
      <c r="C24" s="12">
        <v>8</v>
      </c>
      <c r="D24" s="12"/>
      <c r="E24" s="7" t="s">
        <v>142</v>
      </c>
      <c r="J24" s="5">
        <v>6963956</v>
      </c>
      <c r="K24" s="32" t="s">
        <v>61</v>
      </c>
      <c r="M24" s="3">
        <f>5785538-M25</f>
        <v>5337350</v>
      </c>
      <c r="N24" s="1" t="s">
        <v>131</v>
      </c>
      <c r="P24" s="5">
        <v>1047834</v>
      </c>
      <c r="Q24" s="1" t="s">
        <v>82</v>
      </c>
    </row>
    <row r="25" spans="3:20" ht="12.75">
      <c r="C25" s="12">
        <v>9</v>
      </c>
      <c r="D25" s="12"/>
      <c r="E25" s="6" t="s">
        <v>6</v>
      </c>
      <c r="J25" s="5">
        <v>5008743</v>
      </c>
      <c r="K25" s="32" t="s">
        <v>62</v>
      </c>
      <c r="M25" s="33">
        <f>3295502-2847314</f>
        <v>448188</v>
      </c>
      <c r="N25" s="66" t="s">
        <v>97</v>
      </c>
      <c r="P25" s="5">
        <v>0</v>
      </c>
      <c r="T25" s="1"/>
    </row>
    <row r="26" spans="3:20" ht="12.75">
      <c r="C26" s="12">
        <v>10</v>
      </c>
      <c r="D26" s="12"/>
      <c r="E26" s="6" t="s">
        <v>7</v>
      </c>
      <c r="J26" s="5">
        <v>1069041</v>
      </c>
      <c r="K26" s="50" t="s">
        <v>66</v>
      </c>
      <c r="M26" s="3">
        <v>1048000</v>
      </c>
      <c r="N26" s="50" t="s">
        <v>193</v>
      </c>
      <c r="P26" s="13" t="s">
        <v>21</v>
      </c>
      <c r="T26" s="12"/>
    </row>
    <row r="27" spans="3:20" ht="12.75">
      <c r="C27" s="12">
        <v>11</v>
      </c>
      <c r="D27" s="12"/>
      <c r="E27" s="7" t="s">
        <v>8</v>
      </c>
      <c r="J27" s="5">
        <v>455047</v>
      </c>
      <c r="K27" s="1" t="s">
        <v>67</v>
      </c>
      <c r="M27" s="3">
        <v>0</v>
      </c>
      <c r="P27" s="5">
        <v>0</v>
      </c>
      <c r="T27" s="12"/>
    </row>
    <row r="28" spans="3:20" ht="12.75">
      <c r="C28" s="12">
        <v>12</v>
      </c>
      <c r="D28" s="12"/>
      <c r="E28" s="7" t="s">
        <v>63</v>
      </c>
      <c r="J28" s="5">
        <v>735281</v>
      </c>
      <c r="K28" s="1" t="s">
        <v>68</v>
      </c>
      <c r="M28" s="3">
        <v>0</v>
      </c>
      <c r="P28" s="5">
        <v>0</v>
      </c>
      <c r="T28" s="12"/>
    </row>
    <row r="29" spans="3:20" ht="12.75">
      <c r="C29" s="12">
        <v>13</v>
      </c>
      <c r="D29" s="12"/>
      <c r="E29" s="7" t="s">
        <v>98</v>
      </c>
      <c r="J29" s="5">
        <v>-1618953</v>
      </c>
      <c r="K29" s="1" t="s">
        <v>69</v>
      </c>
      <c r="M29" s="12" t="s">
        <v>21</v>
      </c>
      <c r="N29" s="1" t="s">
        <v>158</v>
      </c>
      <c r="P29" s="5">
        <v>0</v>
      </c>
      <c r="T29" s="12"/>
    </row>
    <row r="30" spans="3:20" ht="12.75">
      <c r="C30" s="12">
        <v>14</v>
      </c>
      <c r="D30" s="12"/>
      <c r="E30" s="7" t="s">
        <v>11</v>
      </c>
      <c r="J30" s="10">
        <v>524687</v>
      </c>
      <c r="K30" s="1" t="s">
        <v>70</v>
      </c>
      <c r="M30" s="4">
        <v>0</v>
      </c>
      <c r="P30" s="10">
        <v>201000</v>
      </c>
      <c r="Q30" s="1" t="s">
        <v>67</v>
      </c>
      <c r="T30" s="12"/>
    </row>
    <row r="31" spans="3:20" ht="12.75">
      <c r="C31" s="12">
        <v>15</v>
      </c>
      <c r="D31" s="12"/>
      <c r="E31" s="1" t="s">
        <v>143</v>
      </c>
      <c r="J31" s="5">
        <f>SUM(J24:J30)</f>
        <v>13137802</v>
      </c>
      <c r="K31" s="69" t="s">
        <v>174</v>
      </c>
      <c r="M31" s="3">
        <f>SUM(M24:M30)</f>
        <v>6833538</v>
      </c>
      <c r="N31" s="1" t="s">
        <v>186</v>
      </c>
      <c r="P31" s="5">
        <f>SUM(P24:P30)</f>
        <v>1248834</v>
      </c>
      <c r="Q31" s="36" t="s">
        <v>93</v>
      </c>
      <c r="T31" s="40"/>
    </row>
    <row r="32" spans="3:20" ht="12.75">
      <c r="C32" s="12">
        <v>16</v>
      </c>
      <c r="D32" s="12"/>
      <c r="E32" t="s">
        <v>9</v>
      </c>
      <c r="J32" s="5">
        <v>8885949</v>
      </c>
      <c r="K32" s="37" t="s">
        <v>71</v>
      </c>
      <c r="M32" s="3">
        <f>7200050+2287038</f>
        <v>9487088</v>
      </c>
      <c r="N32" s="70" t="s">
        <v>191</v>
      </c>
      <c r="P32" s="54">
        <v>9367587</v>
      </c>
      <c r="Q32" s="55" t="s">
        <v>71</v>
      </c>
      <c r="T32" s="40"/>
    </row>
    <row r="33" spans="3:20" ht="12.75">
      <c r="C33" s="12">
        <v>17</v>
      </c>
      <c r="D33" s="12"/>
      <c r="E33" t="s">
        <v>10</v>
      </c>
      <c r="J33" s="5">
        <v>6694</v>
      </c>
      <c r="K33" s="36" t="s">
        <v>72</v>
      </c>
      <c r="M33" s="3">
        <v>0</v>
      </c>
      <c r="N33" s="71" t="s">
        <v>192</v>
      </c>
      <c r="O33" s="5"/>
      <c r="P33" s="5">
        <v>550000</v>
      </c>
      <c r="Q33" s="36" t="s">
        <v>72</v>
      </c>
      <c r="R33" s="1"/>
      <c r="T33" s="12"/>
    </row>
    <row r="34" spans="3:20" ht="12.75">
      <c r="C34" s="12">
        <v>18</v>
      </c>
      <c r="D34" s="12"/>
      <c r="E34" t="s">
        <v>12</v>
      </c>
      <c r="J34" s="5">
        <v>822218</v>
      </c>
      <c r="K34" s="36" t="s">
        <v>73</v>
      </c>
      <c r="M34" s="3">
        <v>545392</v>
      </c>
      <c r="N34" s="1" t="s">
        <v>187</v>
      </c>
      <c r="P34" s="5">
        <v>540234</v>
      </c>
      <c r="Q34" s="36" t="s">
        <v>88</v>
      </c>
      <c r="T34" s="40"/>
    </row>
    <row r="35" spans="3:20" ht="12.75">
      <c r="C35" s="12">
        <v>19</v>
      </c>
      <c r="D35" s="12"/>
      <c r="E35" t="s">
        <v>2</v>
      </c>
      <c r="J35" s="5">
        <f>668468+3632</f>
        <v>672100</v>
      </c>
      <c r="K35" s="37" t="s">
        <v>74</v>
      </c>
      <c r="M35" s="3">
        <f>1037596+5638</f>
        <v>1043234</v>
      </c>
      <c r="N35" s="1" t="s">
        <v>188</v>
      </c>
      <c r="P35" s="53">
        <v>1821552</v>
      </c>
      <c r="Q35" s="37" t="s">
        <v>89</v>
      </c>
      <c r="T35" s="40"/>
    </row>
    <row r="36" spans="3:20" ht="12.75">
      <c r="C36" s="12">
        <v>20</v>
      </c>
      <c r="D36" s="12"/>
      <c r="E36" t="s">
        <v>13</v>
      </c>
      <c r="J36" s="5">
        <v>2797689</v>
      </c>
      <c r="K36" s="36" t="s">
        <v>75</v>
      </c>
      <c r="M36" s="3">
        <v>2276310</v>
      </c>
      <c r="N36" s="1" t="s">
        <v>189</v>
      </c>
      <c r="P36" s="5">
        <v>2798000</v>
      </c>
      <c r="Q36" s="1" t="s">
        <v>149</v>
      </c>
      <c r="T36" s="40"/>
    </row>
    <row r="37" spans="3:20" ht="12.75">
      <c r="C37" s="12">
        <v>21</v>
      </c>
      <c r="D37" s="12"/>
      <c r="E37" t="s">
        <v>14</v>
      </c>
      <c r="J37" s="5">
        <v>908960</v>
      </c>
      <c r="K37" s="37" t="s">
        <v>125</v>
      </c>
      <c r="M37" s="3">
        <v>1102205</v>
      </c>
      <c r="N37" s="1" t="s">
        <v>190</v>
      </c>
      <c r="P37" s="53">
        <v>1102206</v>
      </c>
      <c r="Q37" s="37" t="s">
        <v>76</v>
      </c>
      <c r="T37" s="40"/>
    </row>
    <row r="38" spans="3:17" ht="12.75">
      <c r="C38" s="12">
        <v>22</v>
      </c>
      <c r="D38" s="12"/>
      <c r="E38" t="s">
        <v>15</v>
      </c>
      <c r="J38" s="5">
        <v>0</v>
      </c>
      <c r="K38" s="5"/>
      <c r="M38" s="3">
        <v>0</v>
      </c>
      <c r="P38" s="5">
        <v>0</v>
      </c>
      <c r="Q38" s="5"/>
    </row>
    <row r="39" spans="3:20" ht="12.75">
      <c r="C39" s="12">
        <v>23</v>
      </c>
      <c r="D39" s="12"/>
      <c r="E39" t="s">
        <v>16</v>
      </c>
      <c r="J39" s="4">
        <v>1717277</v>
      </c>
      <c r="K39" s="36" t="s">
        <v>77</v>
      </c>
      <c r="M39" s="4">
        <v>1811062</v>
      </c>
      <c r="N39" s="50" t="s">
        <v>177</v>
      </c>
      <c r="P39" s="10">
        <v>1900000</v>
      </c>
      <c r="Q39" s="36" t="s">
        <v>77</v>
      </c>
      <c r="T39" s="40"/>
    </row>
    <row r="40" spans="3:20" ht="12.75">
      <c r="C40" s="12">
        <v>24</v>
      </c>
      <c r="D40" s="12"/>
      <c r="E40" s="6" t="s">
        <v>24</v>
      </c>
      <c r="J40" s="8">
        <f>J22+J23+SUM(J31:J39)</f>
        <v>36244138</v>
      </c>
      <c r="K40" s="38" t="s">
        <v>178</v>
      </c>
      <c r="M40" s="8">
        <f>M22+M23+SUM(M31:M39)</f>
        <v>30009760</v>
      </c>
      <c r="N40" s="38" t="s">
        <v>178</v>
      </c>
      <c r="P40" s="8">
        <f>P22+P23+SUM(P31:P39)</f>
        <v>27980074</v>
      </c>
      <c r="Q40" s="38" t="s">
        <v>180</v>
      </c>
      <c r="T40" s="40"/>
    </row>
    <row r="41" spans="3:17" ht="12.75">
      <c r="C41" s="12">
        <v>25</v>
      </c>
      <c r="D41" s="12"/>
      <c r="E41" s="7"/>
      <c r="J41" s="8"/>
      <c r="K41" s="38" t="s">
        <v>179</v>
      </c>
      <c r="M41" s="8"/>
      <c r="N41" s="38"/>
      <c r="Q41" s="1" t="s">
        <v>175</v>
      </c>
    </row>
    <row r="42" spans="3:20" ht="12.75">
      <c r="C42" s="12">
        <v>26</v>
      </c>
      <c r="D42" s="12"/>
      <c r="E42" t="s">
        <v>17</v>
      </c>
      <c r="J42" s="8">
        <v>859000</v>
      </c>
      <c r="K42" s="39" t="s">
        <v>78</v>
      </c>
      <c r="M42" s="3">
        <v>0</v>
      </c>
      <c r="P42" s="8">
        <v>0</v>
      </c>
      <c r="Q42" s="8"/>
      <c r="T42" s="40"/>
    </row>
    <row r="43" spans="3:20" ht="12.75">
      <c r="C43" s="12">
        <v>27</v>
      </c>
      <c r="D43" s="12"/>
      <c r="E43" s="1" t="s">
        <v>18</v>
      </c>
      <c r="J43" s="8">
        <v>255000</v>
      </c>
      <c r="K43" s="39" t="s">
        <v>79</v>
      </c>
      <c r="M43" s="3">
        <v>80913</v>
      </c>
      <c r="N43" s="1" t="s">
        <v>159</v>
      </c>
      <c r="P43" s="8">
        <v>314000</v>
      </c>
      <c r="Q43" s="1" t="s">
        <v>168</v>
      </c>
      <c r="T43" s="1"/>
    </row>
    <row r="44" spans="3:20" ht="12.75">
      <c r="C44" s="12">
        <v>28</v>
      </c>
      <c r="D44" s="12"/>
      <c r="E44" t="s">
        <v>19</v>
      </c>
      <c r="J44" s="8">
        <v>6864000</v>
      </c>
      <c r="K44" s="39" t="s">
        <v>80</v>
      </c>
      <c r="M44" s="3">
        <v>2097419</v>
      </c>
      <c r="N44" s="50" t="s">
        <v>160</v>
      </c>
      <c r="P44" s="8">
        <v>2005000</v>
      </c>
      <c r="Q44" s="1" t="s">
        <v>169</v>
      </c>
      <c r="R44" s="12"/>
      <c r="S44" s="12"/>
      <c r="T44" s="40"/>
    </row>
    <row r="45" spans="3:20" ht="12.75">
      <c r="C45" s="12">
        <v>29</v>
      </c>
      <c r="D45" s="12"/>
      <c r="E45" s="1" t="s">
        <v>22</v>
      </c>
      <c r="J45" s="9">
        <f>J87</f>
        <v>12312419.2</v>
      </c>
      <c r="K45" s="7" t="s">
        <v>130</v>
      </c>
      <c r="M45" s="4">
        <f>M87</f>
        <v>4551780.7</v>
      </c>
      <c r="N45" s="1" t="s">
        <v>161</v>
      </c>
      <c r="P45" s="9">
        <v>5998000</v>
      </c>
      <c r="Q45" s="1" t="s">
        <v>140</v>
      </c>
      <c r="R45" s="12"/>
      <c r="S45" s="12"/>
      <c r="T45" s="1"/>
    </row>
    <row r="46" spans="3:16" ht="12.75">
      <c r="C46" s="12">
        <v>30</v>
      </c>
      <c r="D46" s="12"/>
      <c r="J46" s="15"/>
      <c r="P46" s="15"/>
    </row>
    <row r="47" spans="3:20" ht="12.75">
      <c r="C47" s="12">
        <v>31</v>
      </c>
      <c r="D47" s="12"/>
      <c r="E47" s="1" t="s">
        <v>124</v>
      </c>
      <c r="J47" s="2">
        <f>SUM(J40:J45)</f>
        <v>56534557.2</v>
      </c>
      <c r="K47" s="7" t="s">
        <v>144</v>
      </c>
      <c r="M47" s="8">
        <f>SUM(M40:M45)</f>
        <v>36739872.7</v>
      </c>
      <c r="N47" s="7" t="s">
        <v>181</v>
      </c>
      <c r="P47" s="2">
        <f>SUM(P40:P45)</f>
        <v>36297074</v>
      </c>
      <c r="Q47" s="7" t="s">
        <v>162</v>
      </c>
      <c r="T47" s="1"/>
    </row>
    <row r="48" spans="3:17" ht="12.75">
      <c r="C48" s="12">
        <v>32</v>
      </c>
      <c r="D48" s="12"/>
      <c r="E48" s="40" t="s">
        <v>123</v>
      </c>
      <c r="K48" s="32" t="s">
        <v>145</v>
      </c>
      <c r="N48" s="1"/>
      <c r="Q48" s="43" t="s">
        <v>148</v>
      </c>
    </row>
    <row r="49" spans="3:17" ht="13.5" thickBot="1">
      <c r="C49" s="12">
        <v>33</v>
      </c>
      <c r="D49" s="12"/>
      <c r="K49" s="32"/>
      <c r="N49" s="1"/>
      <c r="Q49" s="43"/>
    </row>
    <row r="50" spans="3:19" ht="13.5" thickBot="1">
      <c r="C50" s="12">
        <v>34</v>
      </c>
      <c r="D50" s="12"/>
      <c r="E50" s="1" t="s">
        <v>25</v>
      </c>
      <c r="J50" s="17">
        <f>J47-J20</f>
        <v>21078008.200000003</v>
      </c>
      <c r="K50" s="7" t="s">
        <v>128</v>
      </c>
      <c r="M50" s="74">
        <f>M47-M20</f>
        <v>-1329618.299999997</v>
      </c>
      <c r="N50" s="77" t="s">
        <v>128</v>
      </c>
      <c r="O50" s="78"/>
      <c r="P50" s="17">
        <f>P47-P20</f>
        <v>-5959926</v>
      </c>
      <c r="Q50" s="7" t="s">
        <v>128</v>
      </c>
      <c r="R50" s="12"/>
      <c r="S50" s="12"/>
    </row>
    <row r="51" spans="3:17" ht="13.5" thickTop="1">
      <c r="C51" s="12">
        <v>35</v>
      </c>
      <c r="D51" s="12"/>
      <c r="M51" s="48"/>
      <c r="N51" s="72"/>
      <c r="O51" s="25"/>
      <c r="Q51" s="45"/>
    </row>
    <row r="52" spans="3:19" ht="12.75">
      <c r="C52" s="12">
        <v>36</v>
      </c>
      <c r="D52" s="12"/>
      <c r="E52" s="7"/>
      <c r="M52" s="26" t="s">
        <v>41</v>
      </c>
      <c r="N52" s="73" t="s">
        <v>176</v>
      </c>
      <c r="O52" s="25"/>
      <c r="Q52" s="43"/>
      <c r="R52" s="46"/>
      <c r="S52" s="12"/>
    </row>
    <row r="53" spans="3:19" ht="12.75">
      <c r="C53" s="12">
        <v>37</v>
      </c>
      <c r="D53" s="12"/>
      <c r="E53" s="16" t="s">
        <v>28</v>
      </c>
      <c r="M53" s="75" t="s">
        <v>42</v>
      </c>
      <c r="N53" s="73" t="s">
        <v>182</v>
      </c>
      <c r="O53" s="25"/>
      <c r="Q53" s="12"/>
      <c r="R53" s="46"/>
      <c r="S53" s="12"/>
    </row>
    <row r="54" spans="3:19" ht="13.5" thickBot="1">
      <c r="C54" s="12">
        <v>38</v>
      </c>
      <c r="D54" s="12"/>
      <c r="E54" s="16"/>
      <c r="M54" s="76"/>
      <c r="N54" s="79" t="s">
        <v>183</v>
      </c>
      <c r="O54" s="80"/>
      <c r="Q54" s="12"/>
      <c r="R54" s="12"/>
      <c r="S54" s="12"/>
    </row>
    <row r="55" spans="3:18" ht="12.75">
      <c r="C55" s="12">
        <v>39</v>
      </c>
      <c r="D55" s="12"/>
      <c r="Q55" s="11"/>
      <c r="R55" s="12"/>
    </row>
    <row r="56" spans="3:17" ht="12.75">
      <c r="C56" s="12">
        <v>40</v>
      </c>
      <c r="D56" s="12"/>
      <c r="E56" t="s">
        <v>29</v>
      </c>
      <c r="J56" s="2">
        <f>(110687000+116174000)/2</f>
        <v>113430500</v>
      </c>
      <c r="K56" s="1" t="s">
        <v>116</v>
      </c>
      <c r="M56" s="35">
        <f>113384228-577000</f>
        <v>112807228</v>
      </c>
      <c r="N56" s="1" t="s">
        <v>132</v>
      </c>
      <c r="P56" s="42" t="s">
        <v>90</v>
      </c>
      <c r="Q56" s="27"/>
    </row>
    <row r="57" spans="3:17" ht="12.75">
      <c r="C57" s="12">
        <v>41</v>
      </c>
      <c r="D57" s="12"/>
      <c r="E57" s="32" t="s">
        <v>53</v>
      </c>
      <c r="J57" s="2"/>
      <c r="M57" s="60">
        <v>-23160449</v>
      </c>
      <c r="N57" s="61" t="s">
        <v>99</v>
      </c>
      <c r="P57" s="42" t="s">
        <v>91</v>
      </c>
      <c r="Q57" s="27"/>
    </row>
    <row r="58" spans="3:17" ht="12.75">
      <c r="C58" s="12">
        <v>42</v>
      </c>
      <c r="D58" s="12"/>
      <c r="E58" s="32" t="s">
        <v>57</v>
      </c>
      <c r="J58" s="2"/>
      <c r="M58" s="60">
        <v>8197866</v>
      </c>
      <c r="N58" s="61" t="s">
        <v>100</v>
      </c>
      <c r="P58" s="42" t="s">
        <v>92</v>
      </c>
      <c r="Q58" s="27"/>
    </row>
    <row r="59" spans="3:17" ht="12.75">
      <c r="C59" s="12">
        <v>43</v>
      </c>
      <c r="D59" s="12"/>
      <c r="E59" s="32" t="s">
        <v>56</v>
      </c>
      <c r="J59" s="2"/>
      <c r="M59" s="60">
        <v>-6814365</v>
      </c>
      <c r="N59" s="61" t="s">
        <v>101</v>
      </c>
      <c r="P59" s="2"/>
      <c r="Q59" s="27"/>
    </row>
    <row r="60" spans="3:17" ht="12.75">
      <c r="C60" s="12">
        <v>44</v>
      </c>
      <c r="D60" s="12"/>
      <c r="E60" s="32" t="s">
        <v>58</v>
      </c>
      <c r="J60" s="2"/>
      <c r="M60" s="62">
        <v>23550326</v>
      </c>
      <c r="N60" s="61" t="s">
        <v>102</v>
      </c>
      <c r="P60" s="2"/>
      <c r="Q60" s="27"/>
    </row>
    <row r="61" spans="3:17" ht="12.75">
      <c r="C61" s="12">
        <v>45</v>
      </c>
      <c r="D61" s="12"/>
      <c r="E61" s="56" t="s">
        <v>39</v>
      </c>
      <c r="J61" s="2"/>
      <c r="M61" s="60">
        <f>SUM(M56:M60)</f>
        <v>114580606</v>
      </c>
      <c r="N61" s="61" t="s">
        <v>172</v>
      </c>
      <c r="P61" s="2"/>
      <c r="Q61" s="27"/>
    </row>
    <row r="62" spans="3:17" ht="12.75">
      <c r="C62" s="12">
        <v>46</v>
      </c>
      <c r="D62" s="12"/>
      <c r="E62" t="s">
        <v>30</v>
      </c>
      <c r="J62" s="8">
        <f>(577000+577000)/2</f>
        <v>577000</v>
      </c>
      <c r="K62" s="1" t="s">
        <v>127</v>
      </c>
      <c r="M62" s="63">
        <v>577000</v>
      </c>
      <c r="N62" s="57" t="s">
        <v>103</v>
      </c>
      <c r="P62" s="2"/>
      <c r="Q62" s="27"/>
    </row>
    <row r="63" spans="3:17" ht="12.75">
      <c r="C63" s="12">
        <v>47</v>
      </c>
      <c r="D63" s="12"/>
      <c r="E63" t="s">
        <v>31</v>
      </c>
      <c r="J63" s="8">
        <f>(8081000+12557000)/2</f>
        <v>10319000</v>
      </c>
      <c r="K63" s="1" t="s">
        <v>117</v>
      </c>
      <c r="M63" s="3">
        <v>4439791</v>
      </c>
      <c r="N63" s="1" t="s">
        <v>104</v>
      </c>
      <c r="P63" s="2"/>
      <c r="Q63" s="28"/>
    </row>
    <row r="64" spans="3:17" ht="12.75">
      <c r="C64" s="12">
        <v>48</v>
      </c>
      <c r="D64" s="12"/>
      <c r="E64" t="s">
        <v>32</v>
      </c>
      <c r="J64" s="8">
        <f>(7405000+5709000)/2</f>
        <v>6557000</v>
      </c>
      <c r="K64" s="1" t="s">
        <v>118</v>
      </c>
      <c r="M64" s="3">
        <v>0</v>
      </c>
      <c r="P64" s="8">
        <v>0</v>
      </c>
      <c r="Q64" s="8">
        <v>0</v>
      </c>
    </row>
    <row r="65" spans="3:17" ht="12.75">
      <c r="C65" s="12">
        <v>49</v>
      </c>
      <c r="D65" s="12"/>
      <c r="E65" t="s">
        <v>33</v>
      </c>
      <c r="J65" s="9">
        <f>(23655000+23852000)/2</f>
        <v>23753500</v>
      </c>
      <c r="K65" s="1" t="s">
        <v>126</v>
      </c>
      <c r="M65" s="4">
        <v>0</v>
      </c>
      <c r="P65" s="9">
        <v>0</v>
      </c>
      <c r="Q65" s="9">
        <v>0</v>
      </c>
    </row>
    <row r="66" spans="3:17" ht="12.75">
      <c r="C66" s="12">
        <v>50</v>
      </c>
      <c r="D66" s="12"/>
      <c r="E66" s="7" t="s">
        <v>39</v>
      </c>
      <c r="J66" s="8">
        <f>SUM(J56:J65)</f>
        <v>154637000</v>
      </c>
      <c r="K66" s="18" t="s">
        <v>129</v>
      </c>
      <c r="M66" s="8">
        <f>+SUM(M61:M65)</f>
        <v>119597397</v>
      </c>
      <c r="N66" s="1" t="s">
        <v>133</v>
      </c>
      <c r="P66" s="8">
        <f>SUM(P56:P65)</f>
        <v>0</v>
      </c>
      <c r="Q66" s="18" t="s">
        <v>129</v>
      </c>
    </row>
    <row r="67" spans="3:17" ht="12.75">
      <c r="C67" s="12">
        <v>51</v>
      </c>
      <c r="D67" s="12"/>
      <c r="J67" s="8"/>
      <c r="P67" s="8"/>
      <c r="Q67" s="8"/>
    </row>
    <row r="68" spans="3:17" ht="12.75">
      <c r="C68" s="12">
        <v>52</v>
      </c>
      <c r="D68" s="12"/>
      <c r="E68" t="s">
        <v>34</v>
      </c>
      <c r="J68" s="8">
        <f>(1711000+1996000)/2</f>
        <v>1853500</v>
      </c>
      <c r="K68" s="1" t="s">
        <v>119</v>
      </c>
      <c r="M68" s="8">
        <v>1816358</v>
      </c>
      <c r="N68" s="1" t="s">
        <v>105</v>
      </c>
      <c r="P68" s="24"/>
      <c r="Q68" s="28"/>
    </row>
    <row r="69" spans="3:17" ht="12.75">
      <c r="C69" s="12">
        <v>53</v>
      </c>
      <c r="D69" s="12"/>
      <c r="J69" s="8"/>
      <c r="P69" s="8"/>
      <c r="Q69" s="8"/>
    </row>
    <row r="70" spans="3:17" ht="12.75">
      <c r="C70" s="12">
        <v>54</v>
      </c>
      <c r="D70" s="12"/>
      <c r="E70" s="1" t="s">
        <v>35</v>
      </c>
      <c r="J70" s="8"/>
      <c r="P70" s="8"/>
      <c r="Q70" s="8"/>
    </row>
    <row r="71" spans="3:17" ht="12.75">
      <c r="C71" s="12">
        <v>55</v>
      </c>
      <c r="D71" s="12"/>
      <c r="E71" t="s">
        <v>36</v>
      </c>
      <c r="J71" s="8">
        <f>(48880000+55844000)/2</f>
        <v>52362000</v>
      </c>
      <c r="K71" s="1" t="s">
        <v>120</v>
      </c>
      <c r="M71" s="3">
        <v>48303666</v>
      </c>
      <c r="N71" s="1" t="s">
        <v>106</v>
      </c>
      <c r="P71" s="24"/>
      <c r="Q71" s="28"/>
    </row>
    <row r="72" spans="3:17" ht="12.75">
      <c r="C72" s="12">
        <v>56</v>
      </c>
      <c r="D72" s="12"/>
      <c r="E72" s="57" t="s">
        <v>54</v>
      </c>
      <c r="J72" s="8"/>
      <c r="M72" s="33">
        <v>-2627740</v>
      </c>
      <c r="N72" s="50" t="s">
        <v>107</v>
      </c>
      <c r="P72" s="24"/>
      <c r="Q72" s="28"/>
    </row>
    <row r="73" spans="3:17" ht="12.75">
      <c r="C73" s="12">
        <v>57</v>
      </c>
      <c r="D73" s="12"/>
      <c r="E73" s="57" t="s">
        <v>55</v>
      </c>
      <c r="J73" s="8"/>
      <c r="M73" s="33">
        <v>1438523</v>
      </c>
      <c r="N73" s="50" t="s">
        <v>108</v>
      </c>
      <c r="P73" s="24"/>
      <c r="Q73" s="28"/>
    </row>
    <row r="74" spans="3:17" ht="12.75">
      <c r="C74" s="12">
        <v>58</v>
      </c>
      <c r="D74" s="12"/>
      <c r="E74" s="57" t="s">
        <v>56</v>
      </c>
      <c r="J74" s="8"/>
      <c r="M74" s="33">
        <v>4185635</v>
      </c>
      <c r="N74" s="50" t="s">
        <v>109</v>
      </c>
      <c r="P74" s="24"/>
      <c r="Q74" s="28"/>
    </row>
    <row r="75" spans="3:17" ht="12.75">
      <c r="C75" s="12">
        <v>59</v>
      </c>
      <c r="D75" s="12"/>
      <c r="E75" s="57" t="s">
        <v>58</v>
      </c>
      <c r="J75" s="8"/>
      <c r="M75" s="64">
        <v>533229</v>
      </c>
      <c r="N75" s="50" t="s">
        <v>110</v>
      </c>
      <c r="P75" s="24"/>
      <c r="Q75" s="28"/>
    </row>
    <row r="76" spans="3:17" ht="12.75">
      <c r="C76" s="12">
        <v>60</v>
      </c>
      <c r="D76" s="12"/>
      <c r="E76" s="58" t="s">
        <v>39</v>
      </c>
      <c r="J76" s="8"/>
      <c r="M76" s="33">
        <f>SUM(M71:M75)</f>
        <v>51833313</v>
      </c>
      <c r="N76" s="50" t="s">
        <v>134</v>
      </c>
      <c r="P76" s="24"/>
      <c r="Q76" s="28"/>
    </row>
    <row r="77" spans="3:17" ht="12.75">
      <c r="C77" s="12">
        <v>61</v>
      </c>
      <c r="D77" s="12"/>
      <c r="E77" t="s">
        <v>37</v>
      </c>
      <c r="J77" s="8">
        <f>(865000+1119000)/2</f>
        <v>992000</v>
      </c>
      <c r="K77" s="1" t="s">
        <v>121</v>
      </c>
      <c r="M77" s="3">
        <v>346815</v>
      </c>
      <c r="N77" s="1" t="s">
        <v>111</v>
      </c>
      <c r="P77" s="8"/>
      <c r="Q77" s="29"/>
    </row>
    <row r="78" spans="3:17" ht="12.75">
      <c r="C78" s="12">
        <v>62</v>
      </c>
      <c r="D78" s="12"/>
      <c r="E78" t="s">
        <v>38</v>
      </c>
      <c r="J78" s="15">
        <f>(10111000+10734000)/2</f>
        <v>10422500</v>
      </c>
      <c r="K78" s="1" t="s">
        <v>122</v>
      </c>
      <c r="M78" s="14">
        <v>9034180</v>
      </c>
      <c r="N78" s="1" t="s">
        <v>112</v>
      </c>
      <c r="P78" s="9"/>
      <c r="Q78" s="30"/>
    </row>
    <row r="79" spans="3:17" ht="12.75">
      <c r="C79" s="12">
        <v>63</v>
      </c>
      <c r="D79" s="12"/>
      <c r="E79" s="32" t="s">
        <v>56</v>
      </c>
      <c r="J79" s="9"/>
      <c r="M79" s="65">
        <v>-1311103</v>
      </c>
      <c r="N79" s="50" t="s">
        <v>113</v>
      </c>
      <c r="P79" s="15"/>
      <c r="Q79" s="34"/>
    </row>
    <row r="80" spans="3:17" ht="12.75">
      <c r="C80" s="12">
        <v>64</v>
      </c>
      <c r="D80" s="12"/>
      <c r="E80" s="59" t="s">
        <v>39</v>
      </c>
      <c r="J80" s="15"/>
      <c r="M80" s="65">
        <f>SUM(M78:M79)</f>
        <v>7723077</v>
      </c>
      <c r="N80" s="50" t="s">
        <v>114</v>
      </c>
      <c r="P80" s="15"/>
      <c r="Q80" s="34"/>
    </row>
    <row r="81" spans="3:17" ht="12.75">
      <c r="C81" s="12">
        <v>65</v>
      </c>
      <c r="D81" s="12"/>
      <c r="E81" s="47" t="s">
        <v>39</v>
      </c>
      <c r="J81" s="8">
        <f>SUM(J71:J78)</f>
        <v>63776500</v>
      </c>
      <c r="K81" s="18" t="s">
        <v>52</v>
      </c>
      <c r="M81" s="8">
        <f>+M76+M77+M80</f>
        <v>59903205</v>
      </c>
      <c r="N81" s="18" t="s">
        <v>135</v>
      </c>
      <c r="P81" s="8">
        <f>SUM(P71:P78)</f>
        <v>0</v>
      </c>
      <c r="Q81" s="18"/>
    </row>
    <row r="82" spans="3:17" ht="12.75">
      <c r="C82" s="12">
        <v>66</v>
      </c>
      <c r="D82" s="12"/>
      <c r="J82" s="8"/>
      <c r="P82" s="8"/>
      <c r="Q82" s="8"/>
    </row>
    <row r="83" spans="3:20" ht="13.5" thickBot="1">
      <c r="C83" s="12">
        <v>67</v>
      </c>
      <c r="D83" s="12"/>
      <c r="E83" t="s">
        <v>28</v>
      </c>
      <c r="J83" s="17">
        <f>J66+J68-J81</f>
        <v>92714000</v>
      </c>
      <c r="K83" s="1" t="s">
        <v>166</v>
      </c>
      <c r="M83" s="17">
        <f>M66+M68-M81</f>
        <v>61510550</v>
      </c>
      <c r="N83" s="1" t="s">
        <v>165</v>
      </c>
      <c r="P83" s="17">
        <f>P87/P85</f>
        <v>59563058.58987091</v>
      </c>
      <c r="Q83" s="41" t="s">
        <v>137</v>
      </c>
      <c r="T83" s="49"/>
    </row>
    <row r="84" spans="3:11" ht="13.5" thickTop="1">
      <c r="C84" s="12">
        <v>68</v>
      </c>
      <c r="D84" s="12"/>
      <c r="K84" t="s">
        <v>167</v>
      </c>
    </row>
    <row r="85" spans="3:17" ht="12.75">
      <c r="C85" s="12">
        <v>69</v>
      </c>
      <c r="D85" s="12"/>
      <c r="E85" s="1" t="s">
        <v>40</v>
      </c>
      <c r="J85" s="19">
        <v>0.1328</v>
      </c>
      <c r="K85" s="1" t="s">
        <v>81</v>
      </c>
      <c r="M85" s="19">
        <v>0.074</v>
      </c>
      <c r="N85" s="1" t="s">
        <v>115</v>
      </c>
      <c r="P85" s="19">
        <v>0.1007</v>
      </c>
      <c r="Q85" s="1" t="s">
        <v>150</v>
      </c>
    </row>
    <row r="86" spans="3:4" ht="12.75">
      <c r="C86" s="12">
        <v>70</v>
      </c>
      <c r="D86" s="12"/>
    </row>
    <row r="87" spans="3:17" ht="12.75">
      <c r="C87" s="12">
        <v>71</v>
      </c>
      <c r="D87" s="12"/>
      <c r="E87" t="s">
        <v>20</v>
      </c>
      <c r="J87" s="2">
        <f>J83*J85</f>
        <v>12312419.2</v>
      </c>
      <c r="K87" s="7" t="s">
        <v>146</v>
      </c>
      <c r="M87" s="8">
        <f>M85*M83</f>
        <v>4551780.7</v>
      </c>
      <c r="N87" s="7" t="s">
        <v>163</v>
      </c>
      <c r="P87" s="2">
        <v>5998000</v>
      </c>
      <c r="Q87" s="7" t="s">
        <v>146</v>
      </c>
    </row>
    <row r="88" spans="3:17" ht="12.75">
      <c r="C88" s="12"/>
      <c r="D88" s="12"/>
      <c r="K88" s="1" t="s">
        <v>147</v>
      </c>
      <c r="N88" s="40" t="s">
        <v>164</v>
      </c>
      <c r="Q88" s="7" t="s">
        <v>157</v>
      </c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</sheetData>
  <mergeCells count="7">
    <mergeCell ref="E13:F13"/>
    <mergeCell ref="E12:F12"/>
    <mergeCell ref="J11:K11"/>
    <mergeCell ref="P11:Q11"/>
    <mergeCell ref="M10:N10"/>
    <mergeCell ref="J10:K10"/>
    <mergeCell ref="M11:N11"/>
  </mergeCells>
  <printOptions horizontalCentered="1" verticalCentered="1"/>
  <pageMargins left="0.48" right="0.53" top="1" bottom="1" header="0.5" footer="0.5"/>
  <pageSetup fitToHeight="1" fitToWidth="1" horizontalDpi="600" verticalDpi="600" orientation="portrait" scale="32" r:id="rId1"/>
  <headerFooter alignWithMargins="0">
    <oddHeader>&amp;CTABLE 1&amp;RPage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Mike Sommerville</cp:lastModifiedBy>
  <cp:lastPrinted>2002-08-21T18:35:03Z</cp:lastPrinted>
  <dcterms:created xsi:type="dcterms:W3CDTF">2002-07-31T15:38:12Z</dcterms:created>
  <dcterms:modified xsi:type="dcterms:W3CDTF">2002-08-22T14:52:31Z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Brief</vt:lpwstr>
  </property>
  <property fmtid="{D5CDD505-2E9C-101B-9397-08002B2CF9AE}" pid="4" name="IsHighlyConfidenti">
    <vt:lpwstr>0</vt:lpwstr>
  </property>
  <property fmtid="{D5CDD505-2E9C-101B-9397-08002B2CF9AE}" pid="5" name="DocketNumb">
    <vt:lpwstr>011472</vt:lpwstr>
  </property>
  <property fmtid="{D5CDD505-2E9C-101B-9397-08002B2CF9AE}" pid="6" name="IsConfidenti">
    <vt:lpwstr>0</vt:lpwstr>
  </property>
  <property fmtid="{D5CDD505-2E9C-101B-9397-08002B2CF9AE}" pid="7" name="Dat">
    <vt:lpwstr>2002-08-21T00:00:00Z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2001-10-31T00:00:00Z</vt:lpwstr>
  </property>
  <property fmtid="{D5CDD505-2E9C-101B-9397-08002B2CF9AE}" pid="10" name="Pref">
    <vt:lpwstr>TO</vt:lpwstr>
  </property>
  <property fmtid="{D5CDD505-2E9C-101B-9397-08002B2CF9AE}" pid="11" name="CaseCompanyNam">
    <vt:lpwstr>Olympic Pipe Line Company</vt:lpwstr>
  </property>
  <property fmtid="{D5CDD505-2E9C-101B-9397-08002B2CF9AE}" pid="12" name="IndustryCo">
    <vt:lpwstr>223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