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300" tabRatio="831"/>
  </bookViews>
  <sheets>
    <sheet name="Exh JDT-5 (Rate Spread)" sheetId="1" r:id="rId1"/>
    <sheet name="Exh JDT-5 (Rate Des Sum)" sheetId="2" r:id="rId2"/>
    <sheet name="Exh JDT-5 (RES_RD)" sheetId="3" r:id="rId3"/>
    <sheet name="Exh JDT-5 (C&amp;I-RD)" sheetId="4" r:id="rId4"/>
    <sheet name="Exh JDT-5 (INTRPL-RD)" sheetId="5" r:id="rId5"/>
    <sheet name="Exh JDT-5 (MYRP)" sheetId="6" r:id="rId6"/>
    <sheet name="Exh JDT-5 (MYRP-SUM)" sheetId="7" r:id="rId7"/>
    <sheet name="Exh JDT-5 (Balancing)" sheetId="8" r:id="rId8"/>
    <sheet name="Exh JDT-5 (Procmnt Chrg)" sheetId="9" r:id="rId9"/>
  </sheets>
  <externalReferences>
    <externalReference r:id="rId10"/>
  </externalReferences>
  <definedNames>
    <definedName name="Alloc_Factor_Name">'[1]Input-Allocators'!$B$32:$B$87</definedName>
    <definedName name="Check_Limit">'[1]General Inputs'!$D$32</definedName>
    <definedName name="Class_Factor_Names">'[1]Input-Allocators'!$B$19:$B$24</definedName>
    <definedName name="Func_Factor_Name">'[1]Input-Allocators'!$B$9:$B$16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7">'Exh JDT-5 (Balancing)'!$B$1:$M$21</definedName>
    <definedName name="_xlnm.Print_Area" localSheetId="5">'Exh JDT-5 (MYRP)'!$B$1:$U$256</definedName>
    <definedName name="_xlnm.Print_Area" localSheetId="6">'Exh JDT-5 (MYRP-SUM)'!$A$1:$S$23</definedName>
    <definedName name="_xlnm.Print_Area" localSheetId="8">'Exh JDT-5 (Procmnt Chrg)'!$B$2:$I$26</definedName>
    <definedName name="_xlnm.Print_Titles" localSheetId="3">'Exh JDT-5 (C&amp;I-RD)'!$1:$8</definedName>
    <definedName name="_xlnm.Print_Titles" localSheetId="4">'Exh JDT-5 (INTRPL-RD)'!$1:$8</definedName>
    <definedName name="_xlnm.Print_Titles" localSheetId="5">'Exh JDT-5 (MYRP)'!$B:$B,'Exh JDT-5 (MYRP)'!$1:$8</definedName>
    <definedName name="_xlnm.Print_Titles" localSheetId="6">'Exh JDT-5 (MYRP-SUM)'!$A:$B,'Exh JDT-5 (MYRP-SUM)'!$1:$8</definedName>
    <definedName name="_xlnm.Print_Titles" localSheetId="1">'Exh JDT-5 (Rate Des Sum)'!$A:$C</definedName>
    <definedName name="_xlnm.Print_Titles" localSheetId="0">'Exh JDT-5 (Rate Spread)'!$1:$8</definedName>
    <definedName name="ROR_System">'[1]General Inputs'!$D$19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9" l="1"/>
  <c r="G16" i="9"/>
  <c r="B5" i="8"/>
  <c r="R25" i="7"/>
  <c r="H25" i="7"/>
  <c r="M25" i="7"/>
  <c r="A12" i="7"/>
  <c r="A13" i="7" s="1"/>
  <c r="A14" i="7" s="1"/>
  <c r="A15" i="7" s="1"/>
  <c r="A16" i="7" s="1"/>
  <c r="A17" i="7" s="1"/>
  <c r="A18" i="7" s="1"/>
  <c r="A20" i="7" s="1"/>
  <c r="A21" i="7" s="1"/>
  <c r="A22" i="7" s="1"/>
  <c r="A11" i="7"/>
  <c r="O252" i="6"/>
  <c r="B213" i="6"/>
  <c r="Q209" i="6"/>
  <c r="R200" i="6"/>
  <c r="L200" i="6"/>
  <c r="F200" i="6"/>
  <c r="B193" i="6"/>
  <c r="E191" i="6"/>
  <c r="Q191" i="6"/>
  <c r="Q173" i="6" s="1"/>
  <c r="K191" i="6"/>
  <c r="R182" i="6"/>
  <c r="L182" i="6"/>
  <c r="F182" i="6"/>
  <c r="Q181" i="6"/>
  <c r="B170" i="6"/>
  <c r="K166" i="6"/>
  <c r="B154" i="6"/>
  <c r="E152" i="6"/>
  <c r="E146" i="6" s="1"/>
  <c r="R147" i="6"/>
  <c r="L147" i="6"/>
  <c r="F147" i="6"/>
  <c r="C145" i="6"/>
  <c r="L145" i="6" s="1"/>
  <c r="B135" i="6"/>
  <c r="R125" i="6"/>
  <c r="L125" i="6"/>
  <c r="F125" i="6"/>
  <c r="B118" i="6"/>
  <c r="B98" i="6"/>
  <c r="Q93" i="6"/>
  <c r="K93" i="6"/>
  <c r="R87" i="6"/>
  <c r="E86" i="6"/>
  <c r="B81" i="6"/>
  <c r="D75" i="6"/>
  <c r="G75" i="6" s="1"/>
  <c r="Q77" i="6"/>
  <c r="Q78" i="6" s="1"/>
  <c r="E77" i="6"/>
  <c r="Q70" i="6"/>
  <c r="E70" i="6"/>
  <c r="F70" i="6" s="1"/>
  <c r="K70" i="6"/>
  <c r="B60" i="6"/>
  <c r="B50" i="6"/>
  <c r="Q47" i="6"/>
  <c r="Q39" i="6"/>
  <c r="B36" i="6"/>
  <c r="E10" i="6"/>
  <c r="B28" i="6"/>
  <c r="R24" i="6"/>
  <c r="B20" i="6"/>
  <c r="K10" i="6"/>
  <c r="D149" i="5"/>
  <c r="D141" i="5"/>
  <c r="C208" i="6"/>
  <c r="L208" i="6" s="1"/>
  <c r="C207" i="6"/>
  <c r="R207" i="6" s="1"/>
  <c r="F132" i="5"/>
  <c r="F151" i="5" s="1"/>
  <c r="F131" i="5"/>
  <c r="F150" i="5" s="1"/>
  <c r="C206" i="6"/>
  <c r="C204" i="6"/>
  <c r="L204" i="6" s="1"/>
  <c r="C203" i="6"/>
  <c r="R203" i="6" s="1"/>
  <c r="L125" i="5"/>
  <c r="I125" i="5"/>
  <c r="C198" i="6"/>
  <c r="R198" i="6" s="1"/>
  <c r="F123" i="5"/>
  <c r="C190" i="6"/>
  <c r="F115" i="5"/>
  <c r="C189" i="6"/>
  <c r="F114" i="5"/>
  <c r="F113" i="5"/>
  <c r="C188" i="6"/>
  <c r="R188" i="6" s="1"/>
  <c r="C186" i="6"/>
  <c r="F110" i="5"/>
  <c r="C185" i="6"/>
  <c r="I107" i="5"/>
  <c r="K107" i="5" s="1"/>
  <c r="L107" i="5" s="1"/>
  <c r="D94" i="5"/>
  <c r="D81" i="5"/>
  <c r="E17" i="8" s="1"/>
  <c r="H80" i="5"/>
  <c r="D165" i="6" s="1"/>
  <c r="C165" i="6"/>
  <c r="F79" i="5"/>
  <c r="C164" i="6"/>
  <c r="L164" i="6" s="1"/>
  <c r="I76" i="5"/>
  <c r="K76" i="5" s="1"/>
  <c r="L76" i="5" s="1"/>
  <c r="C160" i="6"/>
  <c r="L160" i="6" s="1"/>
  <c r="I74" i="5"/>
  <c r="H74" i="5"/>
  <c r="D159" i="6" s="1"/>
  <c r="G159" i="6" s="1"/>
  <c r="C159" i="6"/>
  <c r="F74" i="5"/>
  <c r="I66" i="5"/>
  <c r="H66" i="5"/>
  <c r="D151" i="6" s="1"/>
  <c r="S151" i="6" s="1"/>
  <c r="C151" i="6"/>
  <c r="R151" i="6" s="1"/>
  <c r="H65" i="5"/>
  <c r="F65" i="5"/>
  <c r="C150" i="6"/>
  <c r="L150" i="6" s="1"/>
  <c r="I62" i="5"/>
  <c r="H61" i="5"/>
  <c r="D146" i="6" s="1"/>
  <c r="H60" i="5"/>
  <c r="F60" i="5"/>
  <c r="H59" i="5"/>
  <c r="D144" i="6" s="1"/>
  <c r="G144" i="6" s="1"/>
  <c r="F59" i="5"/>
  <c r="F88" i="5" s="1"/>
  <c r="C144" i="6"/>
  <c r="R144" i="6" s="1"/>
  <c r="D88" i="5"/>
  <c r="D36" i="5"/>
  <c r="E15" i="8" s="1"/>
  <c r="G15" i="8" s="1"/>
  <c r="F35" i="5"/>
  <c r="C130" i="6"/>
  <c r="L130" i="6" s="1"/>
  <c r="D51" i="5"/>
  <c r="C129" i="6"/>
  <c r="C128" i="6"/>
  <c r="L128" i="6" s="1"/>
  <c r="I30" i="5"/>
  <c r="K30" i="5" s="1"/>
  <c r="L30" i="5" s="1"/>
  <c r="C124" i="6"/>
  <c r="H28" i="5"/>
  <c r="D123" i="6" s="1"/>
  <c r="M123" i="6" s="1"/>
  <c r="F28" i="5"/>
  <c r="C123" i="6"/>
  <c r="L123" i="6" s="1"/>
  <c r="D43" i="5"/>
  <c r="F20" i="5"/>
  <c r="F51" i="5" s="1"/>
  <c r="C115" i="6"/>
  <c r="C113" i="6"/>
  <c r="K15" i="5"/>
  <c r="L15" i="5" s="1"/>
  <c r="I15" i="5"/>
  <c r="F110" i="6"/>
  <c r="F13" i="5"/>
  <c r="F12" i="5"/>
  <c r="B5" i="5"/>
  <c r="F81" i="4"/>
  <c r="D76" i="4"/>
  <c r="F65" i="4"/>
  <c r="C92" i="6"/>
  <c r="L92" i="6" s="1"/>
  <c r="I64" i="4"/>
  <c r="H64" i="4"/>
  <c r="D91" i="6" s="1"/>
  <c r="S91" i="6" s="1"/>
  <c r="C91" i="6"/>
  <c r="C90" i="6"/>
  <c r="F60" i="4"/>
  <c r="C87" i="6"/>
  <c r="C86" i="6"/>
  <c r="C76" i="6"/>
  <c r="F48" i="4"/>
  <c r="C75" i="6"/>
  <c r="F75" i="6" s="1"/>
  <c r="I47" i="4"/>
  <c r="H46" i="4"/>
  <c r="D74" i="6" s="1"/>
  <c r="C74" i="6"/>
  <c r="D49" i="4"/>
  <c r="F43" i="4"/>
  <c r="H42" i="4"/>
  <c r="D70" i="6" s="1"/>
  <c r="M70" i="6" s="1"/>
  <c r="C70" i="6"/>
  <c r="F41" i="4"/>
  <c r="D31" i="4"/>
  <c r="F23" i="4"/>
  <c r="C55" i="6"/>
  <c r="F55" i="6" s="1"/>
  <c r="E11" i="8"/>
  <c r="C46" i="6"/>
  <c r="E19" i="9"/>
  <c r="F12" i="4"/>
  <c r="B5" i="4"/>
  <c r="F28" i="3"/>
  <c r="F32" i="3" s="1"/>
  <c r="C32" i="6"/>
  <c r="L32" i="6" s="1"/>
  <c r="L34" i="6" s="1"/>
  <c r="C25" i="6"/>
  <c r="C24" i="6"/>
  <c r="L24" i="6" s="1"/>
  <c r="F20" i="3"/>
  <c r="C17" i="6"/>
  <c r="D37" i="3"/>
  <c r="C16" i="6"/>
  <c r="L16" i="6" s="1"/>
  <c r="B5" i="3"/>
  <c r="D50" i="2"/>
  <c r="D49" i="2"/>
  <c r="D48" i="2"/>
  <c r="D47" i="2"/>
  <c r="D46" i="2"/>
  <c r="P45" i="2"/>
  <c r="O45" i="2"/>
  <c r="L45" i="2"/>
  <c r="G45" i="2"/>
  <c r="D45" i="2"/>
  <c r="D43" i="2"/>
  <c r="D42" i="2"/>
  <c r="D41" i="2"/>
  <c r="D40" i="2"/>
  <c r="D39" i="2"/>
  <c r="P38" i="2"/>
  <c r="M38" i="2"/>
  <c r="L38" i="2"/>
  <c r="G38" i="2"/>
  <c r="D38" i="2"/>
  <c r="D36" i="2"/>
  <c r="P35" i="2"/>
  <c r="O35" i="2"/>
  <c r="L35" i="2"/>
  <c r="I35" i="2"/>
  <c r="H35" i="2"/>
  <c r="G35" i="2"/>
  <c r="D35" i="2"/>
  <c r="F33" i="2"/>
  <c r="E33" i="2"/>
  <c r="D33" i="2"/>
  <c r="P32" i="2"/>
  <c r="O32" i="2"/>
  <c r="N32" i="2"/>
  <c r="H23" i="9" s="1"/>
  <c r="M32" i="2"/>
  <c r="L32" i="2"/>
  <c r="I32" i="2"/>
  <c r="H32" i="2"/>
  <c r="G32" i="2"/>
  <c r="E32" i="2"/>
  <c r="F32" i="2" s="1"/>
  <c r="D32" i="2"/>
  <c r="D30" i="2"/>
  <c r="P28" i="2"/>
  <c r="O28" i="2"/>
  <c r="L28" i="2"/>
  <c r="H28" i="2"/>
  <c r="I28" i="2" s="1"/>
  <c r="G28" i="2"/>
  <c r="D28" i="2"/>
  <c r="D26" i="2"/>
  <c r="D25" i="2"/>
  <c r="P24" i="2"/>
  <c r="M24" i="2"/>
  <c r="L24" i="2"/>
  <c r="G24" i="2"/>
  <c r="D24" i="2"/>
  <c r="D22" i="2"/>
  <c r="E21" i="2"/>
  <c r="P20" i="2"/>
  <c r="O20" i="2"/>
  <c r="J20" i="2"/>
  <c r="G20" i="2"/>
  <c r="D20" i="2"/>
  <c r="D18" i="2"/>
  <c r="E17" i="2"/>
  <c r="D17" i="2"/>
  <c r="F17" i="2" s="1"/>
  <c r="M16" i="2"/>
  <c r="K16" i="2"/>
  <c r="L16" i="2" s="1"/>
  <c r="J16" i="2"/>
  <c r="G16" i="2"/>
  <c r="E16" i="2"/>
  <c r="F16" i="2" s="1"/>
  <c r="D16" i="2"/>
  <c r="R14" i="2"/>
  <c r="L14" i="2"/>
  <c r="G14" i="2"/>
  <c r="D14" i="2"/>
  <c r="R13" i="2"/>
  <c r="M13" i="2"/>
  <c r="L13" i="2"/>
  <c r="G13" i="2"/>
  <c r="D13" i="2"/>
  <c r="R11" i="2"/>
  <c r="L11" i="2"/>
  <c r="G11" i="2"/>
  <c r="F11" i="2"/>
  <c r="R10" i="2"/>
  <c r="L10" i="2"/>
  <c r="G10" i="2"/>
  <c r="R9" i="2"/>
  <c r="L9" i="2"/>
  <c r="D9" i="2"/>
  <c r="D77" i="1"/>
  <c r="D76" i="1"/>
  <c r="N35" i="7"/>
  <c r="I35" i="7"/>
  <c r="D72" i="1"/>
  <c r="D71" i="1"/>
  <c r="A71" i="1"/>
  <c r="D67" i="1"/>
  <c r="A67" i="1"/>
  <c r="D63" i="1"/>
  <c r="A63" i="1"/>
  <c r="D59" i="1"/>
  <c r="D58" i="1"/>
  <c r="A58" i="1"/>
  <c r="D55" i="1"/>
  <c r="A55" i="1"/>
  <c r="D54" i="1"/>
  <c r="L48" i="1"/>
  <c r="K48" i="1"/>
  <c r="H48" i="1"/>
  <c r="G48" i="1"/>
  <c r="C48" i="1"/>
  <c r="L46" i="1"/>
  <c r="L47" i="1" s="1"/>
  <c r="D37" i="1"/>
  <c r="D36" i="1"/>
  <c r="A36" i="1"/>
  <c r="L32" i="1"/>
  <c r="K32" i="1"/>
  <c r="I32" i="1"/>
  <c r="I48" i="1" s="1"/>
  <c r="H32" i="1"/>
  <c r="G32" i="1"/>
  <c r="C32" i="1"/>
  <c r="D29" i="1"/>
  <c r="D28" i="1"/>
  <c r="A28" i="1"/>
  <c r="D26" i="1"/>
  <c r="A26" i="1"/>
  <c r="J32" i="1"/>
  <c r="J48" i="1" s="1"/>
  <c r="D22" i="1"/>
  <c r="L16" i="1"/>
  <c r="K23" i="1"/>
  <c r="J23" i="1"/>
  <c r="I23" i="1"/>
  <c r="H16" i="1"/>
  <c r="G23" i="1"/>
  <c r="F23" i="1"/>
  <c r="D21" i="1"/>
  <c r="D20" i="1"/>
  <c r="D19" i="1"/>
  <c r="D18" i="1"/>
  <c r="A18" i="1"/>
  <c r="I16" i="1"/>
  <c r="D14" i="1"/>
  <c r="F168" i="5"/>
  <c r="J15" i="1"/>
  <c r="J27" i="1" s="1"/>
  <c r="I15" i="1"/>
  <c r="I27" i="1" s="1"/>
  <c r="D13" i="1"/>
  <c r="L15" i="1"/>
  <c r="K15" i="1"/>
  <c r="K27" i="1" s="1"/>
  <c r="H15" i="1"/>
  <c r="H27" i="1" s="1"/>
  <c r="G15" i="1"/>
  <c r="G27" i="1" s="1"/>
  <c r="C15" i="1"/>
  <c r="D11" i="1"/>
  <c r="A11" i="1"/>
  <c r="K56" i="1"/>
  <c r="J56" i="1"/>
  <c r="I56" i="1"/>
  <c r="H56" i="1"/>
  <c r="G56" i="1"/>
  <c r="F56" i="1"/>
  <c r="D10" i="1"/>
  <c r="A10" i="1"/>
  <c r="D9" i="1"/>
  <c r="G57" i="1" l="1"/>
  <c r="G73" i="1" s="1"/>
  <c r="I39" i="6" s="1"/>
  <c r="I25" i="1"/>
  <c r="I24" i="1"/>
  <c r="C56" i="1"/>
  <c r="D56" i="1" s="1"/>
  <c r="H57" i="1"/>
  <c r="H74" i="1" s="1"/>
  <c r="O63" i="6" s="1"/>
  <c r="F25" i="1"/>
  <c r="J24" i="1"/>
  <c r="J25" i="1"/>
  <c r="G25" i="1"/>
  <c r="G24" i="1"/>
  <c r="K25" i="1"/>
  <c r="K24" i="1"/>
  <c r="I168" i="5"/>
  <c r="L49" i="1"/>
  <c r="L50" i="1" s="1"/>
  <c r="L51" i="1"/>
  <c r="F19" i="9"/>
  <c r="D50" i="4"/>
  <c r="F15" i="1"/>
  <c r="F27" i="1" s="1"/>
  <c r="C27" i="1" s="1"/>
  <c r="C16" i="1"/>
  <c r="C17" i="1" s="1"/>
  <c r="C52" i="1" s="1"/>
  <c r="C23" i="1"/>
  <c r="H23" i="1"/>
  <c r="E219" i="6"/>
  <c r="D12" i="1"/>
  <c r="F16" i="1"/>
  <c r="F17" i="1" s="1"/>
  <c r="F52" i="1" s="1"/>
  <c r="J16" i="1"/>
  <c r="J17" i="1" s="1"/>
  <c r="J52" i="1" s="1"/>
  <c r="F32" i="1"/>
  <c r="G74" i="1"/>
  <c r="O39" i="6" s="1"/>
  <c r="D21" i="2"/>
  <c r="F21" i="2" s="1"/>
  <c r="D29" i="2"/>
  <c r="E36" i="2"/>
  <c r="F36" i="2" s="1"/>
  <c r="F12" i="3"/>
  <c r="F13" i="3"/>
  <c r="F21" i="3"/>
  <c r="F22" i="3" s="1"/>
  <c r="F24" i="3" s="1"/>
  <c r="F13" i="4"/>
  <c r="F32" i="4" s="1"/>
  <c r="I22" i="4"/>
  <c r="F47" i="4"/>
  <c r="K47" i="4" s="1"/>
  <c r="L47" i="4" s="1"/>
  <c r="C85" i="6"/>
  <c r="F85" i="6" s="1"/>
  <c r="H58" i="4"/>
  <c r="D79" i="4"/>
  <c r="D66" i="4"/>
  <c r="F18" i="5"/>
  <c r="D44" i="5"/>
  <c r="F29" i="5"/>
  <c r="F44" i="5" s="1"/>
  <c r="F34" i="5"/>
  <c r="I60" i="5"/>
  <c r="K62" i="5"/>
  <c r="L62" i="5" s="1"/>
  <c r="I91" i="5"/>
  <c r="K91" i="5" s="1"/>
  <c r="L91" i="5" s="1"/>
  <c r="F94" i="5"/>
  <c r="C180" i="6"/>
  <c r="F32" i="6"/>
  <c r="F34" i="6" s="1"/>
  <c r="L23" i="1"/>
  <c r="F17" i="6"/>
  <c r="R17" i="6"/>
  <c r="L25" i="6"/>
  <c r="L26" i="6" s="1"/>
  <c r="R25" i="6"/>
  <c r="F25" i="6"/>
  <c r="F31" i="4"/>
  <c r="C71" i="6"/>
  <c r="F71" i="6" s="1"/>
  <c r="D74" i="4"/>
  <c r="D75" i="4" s="1"/>
  <c r="D59" i="4"/>
  <c r="F58" i="4"/>
  <c r="R91" i="6"/>
  <c r="F91" i="6"/>
  <c r="R129" i="6"/>
  <c r="F129" i="6"/>
  <c r="D145" i="6"/>
  <c r="H75" i="5"/>
  <c r="I75" i="5" s="1"/>
  <c r="K74" i="5"/>
  <c r="G165" i="6"/>
  <c r="M165" i="6"/>
  <c r="R26" i="6"/>
  <c r="F92" i="6"/>
  <c r="G16" i="1"/>
  <c r="G17" i="1" s="1"/>
  <c r="G52" i="1" s="1"/>
  <c r="K16" i="1"/>
  <c r="K17" i="1" s="1"/>
  <c r="K52" i="1" s="1"/>
  <c r="D10" i="2"/>
  <c r="Q32" i="2"/>
  <c r="R32" i="2" s="1"/>
  <c r="B5" i="7"/>
  <c r="B5" i="6"/>
  <c r="C54" i="6"/>
  <c r="L54" i="6" s="1"/>
  <c r="H22" i="4"/>
  <c r="D42" i="4"/>
  <c r="I58" i="4"/>
  <c r="F76" i="4"/>
  <c r="I80" i="4"/>
  <c r="F43" i="5"/>
  <c r="G21" i="9"/>
  <c r="C109" i="6"/>
  <c r="L113" i="6"/>
  <c r="F113" i="6"/>
  <c r="C114" i="6"/>
  <c r="F114" i="6" s="1"/>
  <c r="D150" i="6"/>
  <c r="H79" i="5"/>
  <c r="I79" i="5" s="1"/>
  <c r="K79" i="5" s="1"/>
  <c r="L79" i="5" s="1"/>
  <c r="I80" i="5"/>
  <c r="C179" i="6"/>
  <c r="L179" i="6" s="1"/>
  <c r="R54" i="6"/>
  <c r="R56" i="6" s="1"/>
  <c r="R58" i="6" s="1"/>
  <c r="L70" i="6"/>
  <c r="L180" i="6"/>
  <c r="A12" i="1"/>
  <c r="G9" i="2"/>
  <c r="P16" i="2"/>
  <c r="C45" i="6"/>
  <c r="F45" i="6" s="1"/>
  <c r="F22" i="4"/>
  <c r="F24" i="4" s="1"/>
  <c r="F26" i="4" s="1"/>
  <c r="C69" i="6"/>
  <c r="D80" i="4"/>
  <c r="F64" i="4"/>
  <c r="F80" i="4" s="1"/>
  <c r="D81" i="4"/>
  <c r="C107" i="6"/>
  <c r="R107" i="6" s="1"/>
  <c r="C108" i="6"/>
  <c r="L108" i="6" s="1"/>
  <c r="I46" i="5"/>
  <c r="F19" i="5"/>
  <c r="F50" i="5" s="1"/>
  <c r="D21" i="5"/>
  <c r="F33" i="5"/>
  <c r="D49" i="5"/>
  <c r="F89" i="5"/>
  <c r="I65" i="5"/>
  <c r="D67" i="5"/>
  <c r="F66" i="5"/>
  <c r="D95" i="5"/>
  <c r="D96" i="5" s="1"/>
  <c r="D162" i="5" s="1"/>
  <c r="F91" i="5"/>
  <c r="F111" i="5"/>
  <c r="L46" i="6"/>
  <c r="K47" i="6"/>
  <c r="E78" i="6"/>
  <c r="E93" i="6"/>
  <c r="E63" i="6" s="1"/>
  <c r="E221" i="6" s="1"/>
  <c r="F46" i="5"/>
  <c r="I59" i="5"/>
  <c r="H21" i="9"/>
  <c r="H25" i="9" s="1"/>
  <c r="C146" i="6"/>
  <c r="F146" i="6" s="1"/>
  <c r="R159" i="6"/>
  <c r="F159" i="6"/>
  <c r="F75" i="5"/>
  <c r="F81" i="5" s="1"/>
  <c r="F83" i="5" s="1"/>
  <c r="F104" i="5"/>
  <c r="F105" i="5"/>
  <c r="L186" i="6"/>
  <c r="F186" i="6"/>
  <c r="C187" i="6"/>
  <c r="I144" i="5"/>
  <c r="F54" i="6"/>
  <c r="F56" i="6" s="1"/>
  <c r="F58" i="6" s="1"/>
  <c r="G70" i="6"/>
  <c r="L75" i="6"/>
  <c r="K77" i="6"/>
  <c r="M75" i="6"/>
  <c r="L76" i="6"/>
  <c r="F107" i="6"/>
  <c r="R114" i="6"/>
  <c r="F123" i="6"/>
  <c r="F144" i="6"/>
  <c r="G146" i="6"/>
  <c r="E138" i="6"/>
  <c r="E223" i="6" s="1"/>
  <c r="M159" i="6"/>
  <c r="D14" i="4"/>
  <c r="D32" i="4"/>
  <c r="D93" i="4" s="1"/>
  <c r="F21" i="9"/>
  <c r="C78" i="6"/>
  <c r="R78" i="6" s="1"/>
  <c r="H59" i="4"/>
  <c r="I28" i="5"/>
  <c r="F124" i="6"/>
  <c r="R124" i="6"/>
  <c r="D50" i="5"/>
  <c r="R165" i="6"/>
  <c r="F165" i="6"/>
  <c r="D89" i="5"/>
  <c r="D116" i="5"/>
  <c r="D148" i="5"/>
  <c r="F129" i="5"/>
  <c r="C205" i="6"/>
  <c r="F205" i="6" s="1"/>
  <c r="F130" i="5"/>
  <c r="F16" i="6"/>
  <c r="F18" i="6" s="1"/>
  <c r="R76" i="6"/>
  <c r="L87" i="6"/>
  <c r="M91" i="6"/>
  <c r="L107" i="6"/>
  <c r="F151" i="6"/>
  <c r="R179" i="6"/>
  <c r="E21" i="9"/>
  <c r="C47" i="6"/>
  <c r="R47" i="6" s="1"/>
  <c r="H63" i="4"/>
  <c r="L110" i="6"/>
  <c r="R110" i="6"/>
  <c r="F80" i="5"/>
  <c r="I21" i="9"/>
  <c r="C181" i="6"/>
  <c r="F141" i="5"/>
  <c r="C199" i="6"/>
  <c r="L199" i="6" s="1"/>
  <c r="F124" i="5"/>
  <c r="D134" i="5"/>
  <c r="E19" i="8" s="1"/>
  <c r="D152" i="5"/>
  <c r="F133" i="5"/>
  <c r="F152" i="5" s="1"/>
  <c r="Q63" i="6"/>
  <c r="S70" i="6"/>
  <c r="R71" i="6"/>
  <c r="L85" i="6"/>
  <c r="K86" i="6"/>
  <c r="L115" i="6"/>
  <c r="F112" i="5"/>
  <c r="L190" i="6"/>
  <c r="F190" i="6"/>
  <c r="D142" i="5"/>
  <c r="D150" i="5"/>
  <c r="K219" i="6"/>
  <c r="L17" i="6"/>
  <c r="L18" i="6" s="1"/>
  <c r="L12" i="6" s="1"/>
  <c r="R113" i="6"/>
  <c r="L124" i="6"/>
  <c r="L131" i="6" s="1"/>
  <c r="L133" i="6" s="1"/>
  <c r="L144" i="6"/>
  <c r="M144" i="6"/>
  <c r="R150" i="6"/>
  <c r="L151" i="6"/>
  <c r="M151" i="6"/>
  <c r="Q152" i="6"/>
  <c r="Q146" i="6" s="1"/>
  <c r="S159" i="6"/>
  <c r="R160" i="6"/>
  <c r="F179" i="6"/>
  <c r="R181" i="6"/>
  <c r="L188" i="6"/>
  <c r="L207" i="6"/>
  <c r="R208" i="6"/>
  <c r="R185" i="6"/>
  <c r="L185" i="6"/>
  <c r="R189" i="6"/>
  <c r="L189" i="6"/>
  <c r="F144" i="5"/>
  <c r="D147" i="5"/>
  <c r="D151" i="5"/>
  <c r="R16" i="6"/>
  <c r="R18" i="6" s="1"/>
  <c r="O225" i="6"/>
  <c r="H225" i="6"/>
  <c r="U225" i="6"/>
  <c r="K225" i="6"/>
  <c r="Q221" i="6"/>
  <c r="T225" i="6"/>
  <c r="I225" i="6"/>
  <c r="Q224" i="6"/>
  <c r="Q220" i="6"/>
  <c r="I220" i="6"/>
  <c r="Q225" i="6"/>
  <c r="E225" i="6"/>
  <c r="N225" i="6"/>
  <c r="R32" i="6"/>
  <c r="R34" i="6" s="1"/>
  <c r="F46" i="6"/>
  <c r="E47" i="6"/>
  <c r="R55" i="6"/>
  <c r="L71" i="6"/>
  <c r="S75" i="6"/>
  <c r="F76" i="6"/>
  <c r="F86" i="6"/>
  <c r="Q86" i="6"/>
  <c r="L91" i="6"/>
  <c r="R92" i="6"/>
  <c r="F108" i="6"/>
  <c r="L114" i="6"/>
  <c r="K116" i="6"/>
  <c r="K109" i="6" s="1"/>
  <c r="R115" i="6"/>
  <c r="Q116" i="6"/>
  <c r="Q109" i="6" s="1"/>
  <c r="E131" i="6"/>
  <c r="R130" i="6"/>
  <c r="M145" i="6"/>
  <c r="F150" i="6"/>
  <c r="S150" i="6"/>
  <c r="F160" i="6"/>
  <c r="F128" i="5"/>
  <c r="F147" i="5" s="1"/>
  <c r="Q10" i="6"/>
  <c r="Q219" i="6" s="1"/>
  <c r="F24" i="6"/>
  <c r="F26" i="6" s="1"/>
  <c r="R45" i="6"/>
  <c r="R46" i="6"/>
  <c r="L55" i="6"/>
  <c r="R70" i="6"/>
  <c r="R75" i="6"/>
  <c r="R85" i="6"/>
  <c r="F87" i="6"/>
  <c r="G91" i="6"/>
  <c r="R108" i="6"/>
  <c r="F115" i="6"/>
  <c r="G123" i="6"/>
  <c r="F128" i="6"/>
  <c r="L129" i="6"/>
  <c r="F130" i="6"/>
  <c r="K131" i="6"/>
  <c r="G150" i="6"/>
  <c r="S165" i="6"/>
  <c r="K181" i="6"/>
  <c r="E181" i="6"/>
  <c r="L205" i="6"/>
  <c r="R123" i="6"/>
  <c r="R128" i="6"/>
  <c r="Q131" i="6"/>
  <c r="F145" i="6"/>
  <c r="R145" i="6"/>
  <c r="M150" i="6"/>
  <c r="F164" i="6"/>
  <c r="R164" i="6"/>
  <c r="Q166" i="6"/>
  <c r="F188" i="6"/>
  <c r="F199" i="6"/>
  <c r="L203" i="6"/>
  <c r="K209" i="6"/>
  <c r="K173" i="6" s="1"/>
  <c r="K224" i="6" s="1"/>
  <c r="D10" i="9"/>
  <c r="E11" i="9"/>
  <c r="E16" i="9"/>
  <c r="D16" i="9" s="1"/>
  <c r="I16" i="9"/>
  <c r="E116" i="6"/>
  <c r="E109" i="6" s="1"/>
  <c r="S123" i="6"/>
  <c r="S144" i="6"/>
  <c r="G145" i="6"/>
  <c r="G152" i="6" s="1"/>
  <c r="S145" i="6"/>
  <c r="G151" i="6"/>
  <c r="L159" i="6"/>
  <c r="L165" i="6"/>
  <c r="E166" i="6"/>
  <c r="F185" i="6"/>
  <c r="L187" i="6"/>
  <c r="F189" i="6"/>
  <c r="F198" i="6"/>
  <c r="R204" i="6"/>
  <c r="F206" i="6"/>
  <c r="K152" i="6"/>
  <c r="K146" i="6" s="1"/>
  <c r="R186" i="6"/>
  <c r="R190" i="6"/>
  <c r="R199" i="6"/>
  <c r="F204" i="6"/>
  <c r="F208" i="6"/>
  <c r="L17" i="7"/>
  <c r="I13" i="8"/>
  <c r="J11" i="8"/>
  <c r="L198" i="6"/>
  <c r="R206" i="6"/>
  <c r="I252" i="6"/>
  <c r="E209" i="6"/>
  <c r="E173" i="6" s="1"/>
  <c r="E224" i="6" s="1"/>
  <c r="Q17" i="7"/>
  <c r="F11" i="9"/>
  <c r="F203" i="6"/>
  <c r="L206" i="6"/>
  <c r="F207" i="6"/>
  <c r="U252" i="6"/>
  <c r="G19" i="8"/>
  <c r="D13" i="9"/>
  <c r="E14" i="9"/>
  <c r="E17" i="9" s="1"/>
  <c r="H14" i="4" s="1"/>
  <c r="G17" i="7"/>
  <c r="G17" i="8"/>
  <c r="F14" i="9"/>
  <c r="F16" i="9"/>
  <c r="G11" i="8"/>
  <c r="K75" i="5" l="1"/>
  <c r="L75" i="5" s="1"/>
  <c r="I81" i="5"/>
  <c r="I83" i="5" s="1"/>
  <c r="K11" i="7"/>
  <c r="O221" i="6"/>
  <c r="Q226" i="6"/>
  <c r="Q229" i="6" s="1"/>
  <c r="R86" i="6"/>
  <c r="E226" i="6"/>
  <c r="E229" i="6" s="1"/>
  <c r="D47" i="6"/>
  <c r="S47" i="6" s="1"/>
  <c r="N13" i="2"/>
  <c r="D153" i="5"/>
  <c r="D163" i="5" s="1"/>
  <c r="F12" i="6"/>
  <c r="F148" i="5"/>
  <c r="I19" i="9"/>
  <c r="D106" i="5"/>
  <c r="D33" i="4"/>
  <c r="I14" i="4"/>
  <c r="F14" i="4"/>
  <c r="F187" i="6"/>
  <c r="R187" i="6"/>
  <c r="F95" i="5"/>
  <c r="K46" i="5"/>
  <c r="L46" i="5" s="1"/>
  <c r="R69" i="6"/>
  <c r="R79" i="6" s="1"/>
  <c r="F69" i="6"/>
  <c r="F79" i="6" s="1"/>
  <c r="F65" i="6" s="1"/>
  <c r="F13" i="7" s="1"/>
  <c r="L69" i="6"/>
  <c r="F42" i="4"/>
  <c r="I42" i="4"/>
  <c r="K42" i="4" s="1"/>
  <c r="L42" i="4" s="1"/>
  <c r="D82" i="4"/>
  <c r="K22" i="4"/>
  <c r="H17" i="1"/>
  <c r="H52" i="1" s="1"/>
  <c r="F57" i="1"/>
  <c r="I17" i="1"/>
  <c r="I52" i="1" s="1"/>
  <c r="R166" i="6"/>
  <c r="R168" i="6" s="1"/>
  <c r="F48" i="6"/>
  <c r="F41" i="6" s="1"/>
  <c r="F12" i="7" s="1"/>
  <c r="K80" i="5"/>
  <c r="L80" i="5" s="1"/>
  <c r="K58" i="4"/>
  <c r="D160" i="6"/>
  <c r="Q35" i="2"/>
  <c r="R35" i="2" s="1"/>
  <c r="I59" i="4"/>
  <c r="F59" i="4"/>
  <c r="F75" i="4" s="1"/>
  <c r="C25" i="1"/>
  <c r="C24" i="1"/>
  <c r="D23" i="1"/>
  <c r="F109" i="6"/>
  <c r="E101" i="6"/>
  <c r="E222" i="6" s="1"/>
  <c r="L109" i="6"/>
  <c r="L116" i="6" s="1"/>
  <c r="L103" i="6" s="1"/>
  <c r="K14" i="7" s="1"/>
  <c r="K101" i="6"/>
  <c r="K222" i="6" s="1"/>
  <c r="R205" i="6"/>
  <c r="R209" i="6" s="1"/>
  <c r="R211" i="6" s="1"/>
  <c r="F209" i="6"/>
  <c r="F211" i="6" s="1"/>
  <c r="S146" i="6"/>
  <c r="Q138" i="6"/>
  <c r="Q223" i="6" s="1"/>
  <c r="R146" i="6"/>
  <c r="R152" i="6" s="1"/>
  <c r="R140" i="6" s="1"/>
  <c r="P15" i="7" s="1"/>
  <c r="M152" i="6"/>
  <c r="F142" i="5"/>
  <c r="K28" i="5"/>
  <c r="F152" i="6"/>
  <c r="F116" i="6"/>
  <c r="K144" i="5"/>
  <c r="L144" i="5" s="1"/>
  <c r="F78" i="6"/>
  <c r="F134" i="5"/>
  <c r="F136" i="5" s="1"/>
  <c r="H19" i="9"/>
  <c r="I61" i="5"/>
  <c r="D61" i="5"/>
  <c r="G19" i="9"/>
  <c r="D14" i="5"/>
  <c r="S35" i="7"/>
  <c r="H75" i="1"/>
  <c r="U63" i="6" s="1"/>
  <c r="G75" i="1"/>
  <c r="U39" i="6" s="1"/>
  <c r="J75" i="1"/>
  <c r="U138" i="6" s="1"/>
  <c r="F75" i="1"/>
  <c r="U10" i="6" s="1"/>
  <c r="K66" i="5"/>
  <c r="L66" i="5" s="1"/>
  <c r="D54" i="6"/>
  <c r="H14" i="2"/>
  <c r="I14" i="2" s="1"/>
  <c r="K81" i="5"/>
  <c r="L74" i="5"/>
  <c r="K60" i="5"/>
  <c r="L60" i="5" s="1"/>
  <c r="I89" i="5"/>
  <c r="K89" i="5" s="1"/>
  <c r="L89" i="5" s="1"/>
  <c r="D85" i="6"/>
  <c r="H20" i="2"/>
  <c r="I20" i="2" s="1"/>
  <c r="H73" i="1"/>
  <c r="I63" i="6" s="1"/>
  <c r="L45" i="6"/>
  <c r="C34" i="1"/>
  <c r="D27" i="1"/>
  <c r="D17" i="7"/>
  <c r="K168" i="5"/>
  <c r="L168" i="5" s="1"/>
  <c r="K64" i="4"/>
  <c r="D15" i="1"/>
  <c r="I15" i="8"/>
  <c r="L181" i="6"/>
  <c r="R94" i="6"/>
  <c r="R96" i="6" s="1"/>
  <c r="R48" i="6"/>
  <c r="R41" i="6" s="1"/>
  <c r="P12" i="7" s="1"/>
  <c r="D90" i="6"/>
  <c r="E20" i="2"/>
  <c r="F20" i="2" s="1"/>
  <c r="D164" i="6"/>
  <c r="E35" i="2"/>
  <c r="F35" i="2" s="1"/>
  <c r="E13" i="8"/>
  <c r="J13" i="8" s="1"/>
  <c r="D94" i="4"/>
  <c r="D95" i="4" s="1"/>
  <c r="O40" i="6"/>
  <c r="F50" i="4"/>
  <c r="F83" i="4" s="1"/>
  <c r="D83" i="4"/>
  <c r="I40" i="6"/>
  <c r="F181" i="6"/>
  <c r="R131" i="6"/>
  <c r="R133" i="6" s="1"/>
  <c r="O220" i="6"/>
  <c r="F17" i="9"/>
  <c r="H50" i="4" s="1"/>
  <c r="L209" i="6"/>
  <c r="L211" i="6" s="1"/>
  <c r="L11" i="8"/>
  <c r="M11" i="8" s="1"/>
  <c r="K138" i="6"/>
  <c r="K223" i="6" s="1"/>
  <c r="L146" i="6"/>
  <c r="L152" i="6" s="1"/>
  <c r="L140" i="6" s="1"/>
  <c r="K15" i="7" s="1"/>
  <c r="M146" i="6"/>
  <c r="L166" i="6"/>
  <c r="L168" i="6" s="1"/>
  <c r="S152" i="6"/>
  <c r="Q101" i="6"/>
  <c r="Q222" i="6" s="1"/>
  <c r="R109" i="6"/>
  <c r="R116" i="6" s="1"/>
  <c r="R103" i="6" s="1"/>
  <c r="P14" i="7" s="1"/>
  <c r="G47" i="6"/>
  <c r="F47" i="6"/>
  <c r="E39" i="6"/>
  <c r="E220" i="6" s="1"/>
  <c r="R12" i="6"/>
  <c r="F191" i="6"/>
  <c r="F175" i="6" s="1"/>
  <c r="F16" i="7" s="1"/>
  <c r="L86" i="6"/>
  <c r="L94" i="6" s="1"/>
  <c r="L96" i="6" s="1"/>
  <c r="F149" i="5"/>
  <c r="D86" i="6"/>
  <c r="G86" i="6" s="1"/>
  <c r="K20" i="2"/>
  <c r="L20" i="2" s="1"/>
  <c r="F131" i="6"/>
  <c r="F133" i="6" s="1"/>
  <c r="K78" i="6"/>
  <c r="K63" i="6"/>
  <c r="K221" i="6" s="1"/>
  <c r="F166" i="6"/>
  <c r="F168" i="6" s="1"/>
  <c r="I88" i="5"/>
  <c r="K59" i="5"/>
  <c r="I67" i="5"/>
  <c r="K39" i="6"/>
  <c r="K220" i="6" s="1"/>
  <c r="K226" i="6" s="1"/>
  <c r="K229" i="6" s="1"/>
  <c r="M47" i="6"/>
  <c r="L47" i="6"/>
  <c r="I94" i="5"/>
  <c r="K94" i="5" s="1"/>
  <c r="L94" i="5" s="1"/>
  <c r="K65" i="5"/>
  <c r="L65" i="5" s="1"/>
  <c r="D52" i="5"/>
  <c r="D161" i="5" s="1"/>
  <c r="D164" i="5" s="1"/>
  <c r="L191" i="6"/>
  <c r="I95" i="5"/>
  <c r="K95" i="5" s="1"/>
  <c r="L95" i="5" s="1"/>
  <c r="F36" i="5"/>
  <c r="F38" i="5" s="1"/>
  <c r="L56" i="6"/>
  <c r="L58" i="6" s="1"/>
  <c r="F74" i="4"/>
  <c r="F84" i="4" s="1"/>
  <c r="F86" i="4" s="1"/>
  <c r="C13" i="7" s="1"/>
  <c r="L25" i="1"/>
  <c r="L24" i="1"/>
  <c r="F180" i="6"/>
  <c r="R180" i="6"/>
  <c r="R191" i="6" s="1"/>
  <c r="R175" i="6" s="1"/>
  <c r="P16" i="7" s="1"/>
  <c r="F49" i="5"/>
  <c r="F94" i="6"/>
  <c r="F96" i="6" s="1"/>
  <c r="F14" i="3"/>
  <c r="F48" i="1"/>
  <c r="D48" i="1" s="1"/>
  <c r="D32" i="1"/>
  <c r="A13" i="1"/>
  <c r="H25" i="1"/>
  <c r="H24" i="1"/>
  <c r="I57" i="1"/>
  <c r="F24" i="1"/>
  <c r="L17" i="1"/>
  <c r="L52" i="1" s="1"/>
  <c r="K57" i="1"/>
  <c r="J57" i="1"/>
  <c r="M86" i="6" l="1"/>
  <c r="P11" i="7"/>
  <c r="R232" i="6"/>
  <c r="R234" i="6" s="1"/>
  <c r="D78" i="6"/>
  <c r="N16" i="2"/>
  <c r="I50" i="4"/>
  <c r="G85" i="6"/>
  <c r="S85" i="6"/>
  <c r="M85" i="6"/>
  <c r="U40" i="6"/>
  <c r="U220" i="6"/>
  <c r="D167" i="5"/>
  <c r="D169" i="5" s="1"/>
  <c r="D90" i="5"/>
  <c r="F61" i="5"/>
  <c r="K61" i="5" s="1"/>
  <c r="F140" i="6"/>
  <c r="F15" i="7" s="1"/>
  <c r="I75" i="4"/>
  <c r="K59" i="4"/>
  <c r="F51" i="4"/>
  <c r="R65" i="6"/>
  <c r="P13" i="7" s="1"/>
  <c r="F11" i="7"/>
  <c r="F232" i="6"/>
  <c r="F234" i="6" s="1"/>
  <c r="I49" i="6"/>
  <c r="I12" i="7" s="1"/>
  <c r="I59" i="6"/>
  <c r="V13" i="2"/>
  <c r="V14" i="2"/>
  <c r="M164" i="6"/>
  <c r="G164" i="6"/>
  <c r="S164" i="6"/>
  <c r="J15" i="8"/>
  <c r="L15" i="8" s="1"/>
  <c r="M15" i="8" s="1"/>
  <c r="I17" i="8"/>
  <c r="F103" i="6"/>
  <c r="F14" i="7" s="1"/>
  <c r="K14" i="4"/>
  <c r="L14" i="4" s="1"/>
  <c r="I33" i="4"/>
  <c r="J74" i="1"/>
  <c r="O138" i="6" s="1"/>
  <c r="J73" i="1"/>
  <c r="I138" i="6" s="1"/>
  <c r="I73" i="1"/>
  <c r="I101" i="6" s="1"/>
  <c r="I74" i="1"/>
  <c r="O101" i="6" s="1"/>
  <c r="F16" i="3"/>
  <c r="F37" i="3"/>
  <c r="F67" i="4"/>
  <c r="F69" i="4" s="1"/>
  <c r="K73" i="1"/>
  <c r="I173" i="6" s="1"/>
  <c r="K74" i="1"/>
  <c r="O173" i="6" s="1"/>
  <c r="I69" i="5"/>
  <c r="I162" i="5"/>
  <c r="G13" i="8"/>
  <c r="G21" i="8" s="1"/>
  <c r="E21" i="8"/>
  <c r="L48" i="6"/>
  <c r="L41" i="6" s="1"/>
  <c r="K12" i="7" s="1"/>
  <c r="K83" i="5"/>
  <c r="L83" i="5" s="1"/>
  <c r="L81" i="5"/>
  <c r="I75" i="1"/>
  <c r="U101" i="6" s="1"/>
  <c r="K75" i="1"/>
  <c r="U173" i="6" s="1"/>
  <c r="I90" i="5"/>
  <c r="L58" i="4"/>
  <c r="F106" i="5"/>
  <c r="E23" i="9"/>
  <c r="E25" i="9" s="1"/>
  <c r="O13" i="2"/>
  <c r="S86" i="6"/>
  <c r="O64" i="6"/>
  <c r="A14" i="1"/>
  <c r="A16" i="1"/>
  <c r="I96" i="5"/>
  <c r="I98" i="5" s="1"/>
  <c r="K88" i="5"/>
  <c r="O59" i="6"/>
  <c r="O49" i="6"/>
  <c r="N12" i="7" s="1"/>
  <c r="W13" i="2"/>
  <c r="W14" i="2"/>
  <c r="U139" i="6"/>
  <c r="U223" i="6"/>
  <c r="G14" i="9"/>
  <c r="G11" i="9"/>
  <c r="D19" i="9"/>
  <c r="L28" i="5"/>
  <c r="M140" i="6"/>
  <c r="L15" i="7" s="1"/>
  <c r="L22" i="4"/>
  <c r="L175" i="6"/>
  <c r="K16" i="7" s="1"/>
  <c r="L59" i="5"/>
  <c r="L78" i="6"/>
  <c r="M78" i="6"/>
  <c r="K80" i="4"/>
  <c r="L80" i="4" s="1"/>
  <c r="L64" i="4"/>
  <c r="L30" i="1"/>
  <c r="L31" i="1" s="1"/>
  <c r="H30" i="1"/>
  <c r="H31" i="1" s="1"/>
  <c r="C30" i="1"/>
  <c r="K30" i="1"/>
  <c r="K31" i="1" s="1"/>
  <c r="G30" i="1"/>
  <c r="G31" i="1" s="1"/>
  <c r="C38" i="1"/>
  <c r="J30" i="1"/>
  <c r="J31" i="1" s="1"/>
  <c r="F30" i="1"/>
  <c r="F31" i="1" s="1"/>
  <c r="I30" i="1"/>
  <c r="I31" i="1" s="1"/>
  <c r="A15" i="1"/>
  <c r="I64" i="6"/>
  <c r="I221" i="6"/>
  <c r="M54" i="6"/>
  <c r="G54" i="6"/>
  <c r="S54" i="6"/>
  <c r="U219" i="6"/>
  <c r="U11" i="6"/>
  <c r="U64" i="6"/>
  <c r="U221" i="6"/>
  <c r="D45" i="5"/>
  <c r="F14" i="5"/>
  <c r="H14" i="9"/>
  <c r="H11" i="9"/>
  <c r="G160" i="6"/>
  <c r="G166" i="6" s="1"/>
  <c r="G168" i="6" s="1"/>
  <c r="M160" i="6"/>
  <c r="M166" i="6" s="1"/>
  <c r="M168" i="6" s="1"/>
  <c r="S160" i="6"/>
  <c r="S166" i="6" s="1"/>
  <c r="S168" i="6" s="1"/>
  <c r="C57" i="1"/>
  <c r="D57" i="1" s="1"/>
  <c r="F74" i="1"/>
  <c r="F73" i="1"/>
  <c r="L79" i="6"/>
  <c r="L65" i="6" s="1"/>
  <c r="K13" i="7" s="1"/>
  <c r="F33" i="4"/>
  <c r="F34" i="4" s="1"/>
  <c r="F36" i="4" s="1"/>
  <c r="C12" i="7" s="1"/>
  <c r="F15" i="4"/>
  <c r="I11" i="9"/>
  <c r="I14" i="9"/>
  <c r="I17" i="9" s="1"/>
  <c r="K18" i="7"/>
  <c r="L61" i="5" l="1"/>
  <c r="K67" i="5"/>
  <c r="K30" i="7"/>
  <c r="K31" i="7" s="1"/>
  <c r="I33" i="1"/>
  <c r="I34" i="1" s="1"/>
  <c r="I35" i="1"/>
  <c r="H33" i="1"/>
  <c r="H34" i="1" s="1"/>
  <c r="H35" i="1"/>
  <c r="D14" i="9"/>
  <c r="D17" i="9" s="1"/>
  <c r="D11" i="9"/>
  <c r="U153" i="6"/>
  <c r="U169" i="6"/>
  <c r="X35" i="2"/>
  <c r="X33" i="2"/>
  <c r="X32" i="2"/>
  <c r="X36" i="2"/>
  <c r="O97" i="6"/>
  <c r="O80" i="6"/>
  <c r="N13" i="7" s="1"/>
  <c r="W20" i="2"/>
  <c r="W17" i="2"/>
  <c r="W16" i="2"/>
  <c r="W18" i="2"/>
  <c r="W22" i="2"/>
  <c r="W21" i="2"/>
  <c r="K33" i="4"/>
  <c r="L33" i="4" s="1"/>
  <c r="F53" i="4"/>
  <c r="F94" i="4"/>
  <c r="U49" i="6"/>
  <c r="U59" i="6"/>
  <c r="X14" i="2"/>
  <c r="X13" i="2"/>
  <c r="K50" i="4"/>
  <c r="L50" i="4" s="1"/>
  <c r="I83" i="4"/>
  <c r="K83" i="4" s="1"/>
  <c r="L83" i="4" s="1"/>
  <c r="H17" i="9"/>
  <c r="F33" i="1"/>
  <c r="F34" i="1" s="1"/>
  <c r="F35" i="1"/>
  <c r="G35" i="1"/>
  <c r="G33" i="1"/>
  <c r="G34" i="1" s="1"/>
  <c r="U102" i="6"/>
  <c r="U222" i="6"/>
  <c r="C11" i="7"/>
  <c r="C18" i="7" s="1"/>
  <c r="K20" i="7" s="1"/>
  <c r="F39" i="3"/>
  <c r="I102" i="6"/>
  <c r="I222" i="6"/>
  <c r="K75" i="4"/>
  <c r="L75" i="4" s="1"/>
  <c r="L59" i="4"/>
  <c r="D75" i="1"/>
  <c r="F23" i="9"/>
  <c r="F25" i="9" s="1"/>
  <c r="O16" i="2"/>
  <c r="I10" i="6"/>
  <c r="D73" i="1"/>
  <c r="F45" i="5"/>
  <c r="F52" i="5" s="1"/>
  <c r="F54" i="5" s="1"/>
  <c r="C14" i="7" s="1"/>
  <c r="F21" i="5"/>
  <c r="U97" i="6"/>
  <c r="U80" i="6"/>
  <c r="S13" i="7" s="1"/>
  <c r="X16" i="2"/>
  <c r="X22" i="2"/>
  <c r="X17" i="2"/>
  <c r="X21" i="2"/>
  <c r="X18" i="2"/>
  <c r="X20" i="2"/>
  <c r="I97" i="6"/>
  <c r="I80" i="6"/>
  <c r="I13" i="7" s="1"/>
  <c r="V21" i="2"/>
  <c r="V18" i="2"/>
  <c r="V20" i="2"/>
  <c r="V17" i="2"/>
  <c r="V16" i="2"/>
  <c r="V22" i="2"/>
  <c r="J33" i="1"/>
  <c r="J34" i="1" s="1"/>
  <c r="J35" i="1"/>
  <c r="K35" i="1"/>
  <c r="K33" i="1"/>
  <c r="K34" i="1" s="1"/>
  <c r="G17" i="9"/>
  <c r="L88" i="5"/>
  <c r="O174" i="6"/>
  <c r="O224" i="6"/>
  <c r="I139" i="6"/>
  <c r="I223" i="6"/>
  <c r="F18" i="7"/>
  <c r="S78" i="6"/>
  <c r="G78" i="6"/>
  <c r="P18" i="7"/>
  <c r="J21" i="8"/>
  <c r="L21" i="8" s="1"/>
  <c r="M21" i="8" s="1"/>
  <c r="F143" i="5"/>
  <c r="F153" i="5" s="1"/>
  <c r="F155" i="5" s="1"/>
  <c r="C16" i="7" s="1"/>
  <c r="F116" i="5"/>
  <c r="U174" i="6"/>
  <c r="U224" i="6"/>
  <c r="U226" i="6" s="1"/>
  <c r="O102" i="6"/>
  <c r="O222" i="6"/>
  <c r="F67" i="5"/>
  <c r="F90" i="5"/>
  <c r="F96" i="5" s="1"/>
  <c r="F98" i="5" s="1"/>
  <c r="C15" i="7" s="1"/>
  <c r="L33" i="1"/>
  <c r="L34" i="1" s="1"/>
  <c r="L35" i="1"/>
  <c r="A17" i="1"/>
  <c r="A19" i="1" s="1"/>
  <c r="F17" i="4"/>
  <c r="F93" i="4"/>
  <c r="F95" i="4" s="1"/>
  <c r="F97" i="4" s="1"/>
  <c r="O10" i="6"/>
  <c r="D74" i="1"/>
  <c r="G140" i="6"/>
  <c r="G15" i="7" s="1"/>
  <c r="U35" i="6"/>
  <c r="U19" i="6"/>
  <c r="U27" i="6"/>
  <c r="X11" i="2"/>
  <c r="X10" i="2"/>
  <c r="X9" i="2"/>
  <c r="K40" i="1"/>
  <c r="K41" i="1" s="1"/>
  <c r="K46" i="1" s="1"/>
  <c r="K47" i="1" s="1"/>
  <c r="G40" i="1"/>
  <c r="G41" i="1" s="1"/>
  <c r="G46" i="1" s="1"/>
  <c r="G47" i="1" s="1"/>
  <c r="L45" i="1"/>
  <c r="J40" i="1"/>
  <c r="J41" i="1" s="1"/>
  <c r="J46" i="1" s="1"/>
  <c r="J47" i="1" s="1"/>
  <c r="F40" i="1"/>
  <c r="F41" i="1" s="1"/>
  <c r="L40" i="1"/>
  <c r="H40" i="1"/>
  <c r="H41" i="1" s="1"/>
  <c r="H46" i="1" s="1"/>
  <c r="H47" i="1" s="1"/>
  <c r="I40" i="1"/>
  <c r="I41" i="1" s="1"/>
  <c r="I46" i="1" s="1"/>
  <c r="I47" i="1" s="1"/>
  <c r="L44" i="1"/>
  <c r="C31" i="1"/>
  <c r="D30" i="1"/>
  <c r="D15" i="7"/>
  <c r="L232" i="6"/>
  <c r="L234" i="6" s="1"/>
  <c r="K90" i="5"/>
  <c r="L90" i="5" s="1"/>
  <c r="I174" i="6"/>
  <c r="I224" i="6"/>
  <c r="O139" i="6"/>
  <c r="O223" i="6"/>
  <c r="I19" i="8"/>
  <c r="J19" i="8" s="1"/>
  <c r="L19" i="8" s="1"/>
  <c r="M19" i="8" s="1"/>
  <c r="J17" i="8"/>
  <c r="L17" i="8" s="1"/>
  <c r="M17" i="8" s="1"/>
  <c r="S140" i="6"/>
  <c r="Q15" i="7" s="1"/>
  <c r="L13" i="8"/>
  <c r="M13" i="8" s="1"/>
  <c r="A20" i="1" l="1"/>
  <c r="O153" i="6"/>
  <c r="N15" i="7" s="1"/>
  <c r="W36" i="2"/>
  <c r="W35" i="2"/>
  <c r="W32" i="2"/>
  <c r="W33" i="2"/>
  <c r="O169" i="6"/>
  <c r="O12" i="5"/>
  <c r="I49" i="1"/>
  <c r="I50" i="1" s="1"/>
  <c r="I51" i="1"/>
  <c r="J51" i="1"/>
  <c r="O59" i="5"/>
  <c r="O61" i="5" s="1"/>
  <c r="J49" i="1"/>
  <c r="J50" i="1" s="1"/>
  <c r="O104" i="5"/>
  <c r="K51" i="1"/>
  <c r="K49" i="1"/>
  <c r="K50" i="1" s="1"/>
  <c r="O219" i="6"/>
  <c r="O226" i="6" s="1"/>
  <c r="O11" i="6"/>
  <c r="O212" i="6"/>
  <c r="O192" i="6"/>
  <c r="N16" i="7" s="1"/>
  <c r="W48" i="2"/>
  <c r="W43" i="2"/>
  <c r="W39" i="2"/>
  <c r="W47" i="2"/>
  <c r="W42" i="2"/>
  <c r="W38" i="2"/>
  <c r="W49" i="2"/>
  <c r="W45" i="2"/>
  <c r="W50" i="2"/>
  <c r="W46" i="2"/>
  <c r="W41" i="2"/>
  <c r="W40" i="2"/>
  <c r="F161" i="5"/>
  <c r="F23" i="5"/>
  <c r="I219" i="6"/>
  <c r="I226" i="6" s="1"/>
  <c r="I11" i="6"/>
  <c r="L67" i="5"/>
  <c r="K69" i="5"/>
  <c r="L69" i="5" s="1"/>
  <c r="D31" i="1"/>
  <c r="C35" i="1"/>
  <c r="C33" i="1"/>
  <c r="D33" i="1" s="1"/>
  <c r="D34" i="1"/>
  <c r="I192" i="6"/>
  <c r="I16" i="7" s="1"/>
  <c r="I212" i="6"/>
  <c r="V49" i="2"/>
  <c r="V45" i="2"/>
  <c r="V40" i="2"/>
  <c r="V48" i="2"/>
  <c r="V43" i="2"/>
  <c r="V39" i="2"/>
  <c r="V50" i="2"/>
  <c r="V46" i="2"/>
  <c r="V47" i="2"/>
  <c r="V42" i="2"/>
  <c r="V38" i="2"/>
  <c r="V41" i="2"/>
  <c r="F118" i="5"/>
  <c r="F163" i="5"/>
  <c r="F30" i="7"/>
  <c r="F31" i="7" s="1"/>
  <c r="F20" i="7"/>
  <c r="F167" i="5"/>
  <c r="F169" i="5" s="1"/>
  <c r="F174" i="5" s="1"/>
  <c r="I134" i="6"/>
  <c r="I117" i="6"/>
  <c r="I14" i="7" s="1"/>
  <c r="V29" i="2"/>
  <c r="V24" i="2"/>
  <c r="V28" i="2"/>
  <c r="V30" i="2"/>
  <c r="V25" i="2"/>
  <c r="V26" i="2"/>
  <c r="S12" i="7"/>
  <c r="S15" i="7"/>
  <c r="U192" i="6"/>
  <c r="U212" i="6"/>
  <c r="X47" i="2"/>
  <c r="X42" i="2"/>
  <c r="X38" i="2"/>
  <c r="X50" i="2"/>
  <c r="X46" i="2"/>
  <c r="X41" i="2"/>
  <c r="X48" i="2"/>
  <c r="X49" i="2"/>
  <c r="X45" i="2"/>
  <c r="X40" i="2"/>
  <c r="X43" i="2"/>
  <c r="X39" i="2"/>
  <c r="P30" i="7"/>
  <c r="P31" i="7" s="1"/>
  <c r="P20" i="7"/>
  <c r="I169" i="6"/>
  <c r="I153" i="6"/>
  <c r="I15" i="7" s="1"/>
  <c r="V32" i="2"/>
  <c r="V36" i="2"/>
  <c r="V35" i="2"/>
  <c r="V33" i="2"/>
  <c r="K96" i="5"/>
  <c r="O41" i="4"/>
  <c r="H49" i="1"/>
  <c r="H50" i="1" s="1"/>
  <c r="H44" i="1" s="1"/>
  <c r="H45" i="1" s="1"/>
  <c r="O45" i="4" s="1"/>
  <c r="H51" i="1"/>
  <c r="F46" i="1"/>
  <c r="C41" i="1"/>
  <c r="C42" i="1" s="1"/>
  <c r="F43" i="1" s="1"/>
  <c r="O12" i="4"/>
  <c r="G49" i="1"/>
  <c r="G50" i="1" s="1"/>
  <c r="G44" i="1" s="1"/>
  <c r="G45" i="1" s="1"/>
  <c r="O16" i="4" s="1"/>
  <c r="H12" i="4" s="1"/>
  <c r="G51" i="1"/>
  <c r="S11" i="7"/>
  <c r="F162" i="5"/>
  <c r="K162" i="5" s="1"/>
  <c r="L162" i="5" s="1"/>
  <c r="F69" i="5"/>
  <c r="O117" i="6"/>
  <c r="O134" i="6"/>
  <c r="W28" i="2"/>
  <c r="W26" i="2"/>
  <c r="W29" i="2"/>
  <c r="W24" i="2"/>
  <c r="W30" i="2"/>
  <c r="W25" i="2"/>
  <c r="U134" i="6"/>
  <c r="U117" i="6"/>
  <c r="X26" i="2"/>
  <c r="X30" i="2"/>
  <c r="X25" i="2"/>
  <c r="X28" i="2"/>
  <c r="X29" i="2"/>
  <c r="X24" i="2"/>
  <c r="F47" i="1" l="1"/>
  <c r="C46" i="1"/>
  <c r="D45" i="6"/>
  <c r="H13" i="2"/>
  <c r="I13" i="2" s="1"/>
  <c r="I12" i="4"/>
  <c r="H13" i="4" s="1"/>
  <c r="O63" i="5"/>
  <c r="J44" i="1"/>
  <c r="J45" i="1" s="1"/>
  <c r="O16" i="5"/>
  <c r="I44" i="1"/>
  <c r="I45" i="1" s="1"/>
  <c r="L96" i="5"/>
  <c r="K98" i="5"/>
  <c r="L98" i="5" s="1"/>
  <c r="O27" i="6"/>
  <c r="O35" i="6"/>
  <c r="O19" i="6"/>
  <c r="N11" i="7" s="1"/>
  <c r="N18" i="7" s="1"/>
  <c r="N36" i="7" s="1"/>
  <c r="N37" i="7" s="1"/>
  <c r="W11" i="2"/>
  <c r="W10" i="2"/>
  <c r="W9" i="2"/>
  <c r="F164" i="5"/>
  <c r="F173" i="5" s="1"/>
  <c r="S14" i="7"/>
  <c r="N14" i="7"/>
  <c r="H48" i="4"/>
  <c r="H43" i="4"/>
  <c r="H41" i="4"/>
  <c r="S16" i="7"/>
  <c r="I35" i="6"/>
  <c r="I19" i="6"/>
  <c r="I27" i="6"/>
  <c r="V9" i="2"/>
  <c r="V11" i="2"/>
  <c r="V10" i="2"/>
  <c r="O108" i="5"/>
  <c r="K44" i="1"/>
  <c r="K45" i="1" s="1"/>
  <c r="A21" i="1"/>
  <c r="S18" i="7"/>
  <c r="S36" i="7" s="1"/>
  <c r="S37" i="7" s="1"/>
  <c r="D46" i="6" l="1"/>
  <c r="H23" i="4"/>
  <c r="E13" i="2"/>
  <c r="F13" i="2" s="1"/>
  <c r="I13" i="4"/>
  <c r="H20" i="5"/>
  <c r="H14" i="5"/>
  <c r="H19" i="5"/>
  <c r="H12" i="5"/>
  <c r="H13" i="5"/>
  <c r="K173" i="5"/>
  <c r="D46" i="1"/>
  <c r="H113" i="5"/>
  <c r="H111" i="5"/>
  <c r="H114" i="5"/>
  <c r="H115" i="5"/>
  <c r="H105" i="5"/>
  <c r="H104" i="5"/>
  <c r="H106" i="5"/>
  <c r="H112" i="5"/>
  <c r="H123" i="5"/>
  <c r="A22" i="1"/>
  <c r="A23" i="1" s="1"/>
  <c r="A24" i="1" s="1"/>
  <c r="A25" i="1" s="1"/>
  <c r="A27" i="1" s="1"/>
  <c r="A29" i="1" s="1"/>
  <c r="A30" i="1" s="1"/>
  <c r="A31" i="1" s="1"/>
  <c r="A32" i="1" s="1"/>
  <c r="A33" i="1" s="1"/>
  <c r="A34" i="1" s="1"/>
  <c r="A35" i="1" s="1"/>
  <c r="A37" i="1" s="1"/>
  <c r="A44" i="1" s="1"/>
  <c r="A45" i="1" s="1"/>
  <c r="A46" i="1" s="1"/>
  <c r="A47" i="1" s="1"/>
  <c r="A48" i="1" s="1"/>
  <c r="A49" i="1" s="1"/>
  <c r="A50" i="1" s="1"/>
  <c r="A51" i="1" s="1"/>
  <c r="A52" i="1" s="1"/>
  <c r="A54" i="1" s="1"/>
  <c r="A56" i="1" s="1"/>
  <c r="A57" i="1" s="1"/>
  <c r="A59" i="1" s="1"/>
  <c r="A60" i="1" s="1"/>
  <c r="A61" i="1" s="1"/>
  <c r="A62" i="1" s="1"/>
  <c r="A64" i="1" s="1"/>
  <c r="A65" i="1" s="1"/>
  <c r="A66" i="1" s="1"/>
  <c r="A68" i="1" s="1"/>
  <c r="A69" i="1" s="1"/>
  <c r="A70" i="1" s="1"/>
  <c r="A72" i="1" s="1"/>
  <c r="A73" i="1" s="1"/>
  <c r="A74" i="1" s="1"/>
  <c r="A75" i="1" s="1"/>
  <c r="I11" i="7"/>
  <c r="I18" i="7" s="1"/>
  <c r="I36" i="7" s="1"/>
  <c r="I37" i="7" s="1"/>
  <c r="G45" i="6"/>
  <c r="S45" i="6"/>
  <c r="M45" i="6"/>
  <c r="F51" i="1"/>
  <c r="N12" i="3"/>
  <c r="C47" i="1"/>
  <c r="F49" i="1"/>
  <c r="F50" i="1" s="1"/>
  <c r="F44" i="1" s="1"/>
  <c r="F45" i="1" s="1"/>
  <c r="N16" i="3" s="1"/>
  <c r="D76" i="6"/>
  <c r="H65" i="4"/>
  <c r="I48" i="4"/>
  <c r="K48" i="4" s="1"/>
  <c r="L48" i="4" s="1"/>
  <c r="E18" i="2"/>
  <c r="F18" i="2" s="1"/>
  <c r="I31" i="4"/>
  <c r="K12" i="4"/>
  <c r="D69" i="6"/>
  <c r="H16" i="2"/>
  <c r="I16" i="2" s="1"/>
  <c r="I41" i="4"/>
  <c r="D71" i="6"/>
  <c r="H60" i="4"/>
  <c r="Q16" i="2"/>
  <c r="R16" i="2" s="1"/>
  <c r="I43" i="4"/>
  <c r="K43" i="4" s="1"/>
  <c r="L43" i="4" s="1"/>
  <c r="D107" i="6" l="1"/>
  <c r="H24" i="2"/>
  <c r="I24" i="2" s="1"/>
  <c r="I12" i="5"/>
  <c r="I32" i="4"/>
  <c r="K32" i="4" s="1"/>
  <c r="L32" i="4" s="1"/>
  <c r="K13" i="4"/>
  <c r="L13" i="4" s="1"/>
  <c r="G71" i="6"/>
  <c r="S71" i="6"/>
  <c r="M71" i="6"/>
  <c r="L12" i="4"/>
  <c r="K15" i="4"/>
  <c r="I173" i="5"/>
  <c r="D47" i="1"/>
  <c r="C51" i="1"/>
  <c r="C49" i="1"/>
  <c r="D187" i="6"/>
  <c r="H130" i="5"/>
  <c r="E40" i="2"/>
  <c r="F40" i="2" s="1"/>
  <c r="I112" i="5"/>
  <c r="K112" i="5" s="1"/>
  <c r="L112" i="5" s="1"/>
  <c r="D190" i="6"/>
  <c r="H133" i="5"/>
  <c r="I115" i="5"/>
  <c r="K115" i="5" s="1"/>
  <c r="L115" i="5" s="1"/>
  <c r="E43" i="2"/>
  <c r="F43" i="2" s="1"/>
  <c r="D114" i="6"/>
  <c r="H34" i="5"/>
  <c r="E25" i="2"/>
  <c r="F25" i="2" s="1"/>
  <c r="I19" i="5"/>
  <c r="I51" i="4"/>
  <c r="K41" i="4"/>
  <c r="I74" i="4"/>
  <c r="D92" i="6"/>
  <c r="I65" i="4"/>
  <c r="E22" i="2"/>
  <c r="F22" i="2" s="1"/>
  <c r="D181" i="6"/>
  <c r="N38" i="2"/>
  <c r="I106" i="5"/>
  <c r="D189" i="6"/>
  <c r="H132" i="5"/>
  <c r="E42" i="2"/>
  <c r="F42" i="2" s="1"/>
  <c r="I114" i="5"/>
  <c r="K114" i="5" s="1"/>
  <c r="L114" i="5" s="1"/>
  <c r="D109" i="6"/>
  <c r="N24" i="2"/>
  <c r="I14" i="5"/>
  <c r="D55" i="6"/>
  <c r="E14" i="2"/>
  <c r="F14" i="2" s="1"/>
  <c r="I23" i="4"/>
  <c r="D87" i="6"/>
  <c r="Q20" i="2"/>
  <c r="R20" i="2" s="1"/>
  <c r="I60" i="4"/>
  <c r="M69" i="6"/>
  <c r="S69" i="6"/>
  <c r="G69" i="6"/>
  <c r="H28" i="3"/>
  <c r="H12" i="3"/>
  <c r="D198" i="6"/>
  <c r="H45" i="2"/>
  <c r="I45" i="2" s="1"/>
  <c r="I123" i="5"/>
  <c r="D180" i="6"/>
  <c r="H124" i="5"/>
  <c r="Q38" i="2"/>
  <c r="R38" i="2" s="1"/>
  <c r="I105" i="5"/>
  <c r="K105" i="5" s="1"/>
  <c r="L105" i="5" s="1"/>
  <c r="D188" i="6"/>
  <c r="H131" i="5"/>
  <c r="E41" i="2"/>
  <c r="F41" i="2" s="1"/>
  <c r="I113" i="5"/>
  <c r="K113" i="5" s="1"/>
  <c r="L113" i="5" s="1"/>
  <c r="I15" i="4"/>
  <c r="K31" i="4"/>
  <c r="S76" i="6"/>
  <c r="G76" i="6"/>
  <c r="M76" i="6"/>
  <c r="D179" i="6"/>
  <c r="H38" i="2"/>
  <c r="I38" i="2" s="1"/>
  <c r="I104" i="5"/>
  <c r="D186" i="6"/>
  <c r="H129" i="5"/>
  <c r="E39" i="2"/>
  <c r="F39" i="2" s="1"/>
  <c r="I111" i="5"/>
  <c r="K111" i="5" s="1"/>
  <c r="L111" i="5" s="1"/>
  <c r="D108" i="6"/>
  <c r="H29" i="5"/>
  <c r="Q24" i="2"/>
  <c r="R24" i="2" s="1"/>
  <c r="I13" i="5"/>
  <c r="D115" i="6"/>
  <c r="H35" i="5"/>
  <c r="E26" i="2"/>
  <c r="F26" i="2" s="1"/>
  <c r="I20" i="5"/>
  <c r="S46" i="6"/>
  <c r="S48" i="6" s="1"/>
  <c r="G46" i="6"/>
  <c r="G48" i="6" s="1"/>
  <c r="M46" i="6"/>
  <c r="M48" i="6" s="1"/>
  <c r="G41" i="6" l="1"/>
  <c r="G12" i="7" s="1"/>
  <c r="D204" i="6"/>
  <c r="E46" i="2"/>
  <c r="F46" i="2" s="1"/>
  <c r="I129" i="5"/>
  <c r="D32" i="6"/>
  <c r="H11" i="2"/>
  <c r="I11" i="2" s="1"/>
  <c r="I28" i="3"/>
  <c r="S109" i="6"/>
  <c r="G109" i="6"/>
  <c r="M109" i="6"/>
  <c r="S181" i="6"/>
  <c r="M181" i="6"/>
  <c r="G181" i="6"/>
  <c r="S115" i="6"/>
  <c r="G115" i="6"/>
  <c r="M115" i="6"/>
  <c r="M108" i="6"/>
  <c r="S108" i="6"/>
  <c r="G108" i="6"/>
  <c r="M186" i="6"/>
  <c r="G186" i="6"/>
  <c r="S186" i="6"/>
  <c r="I34" i="4"/>
  <c r="I36" i="4" s="1"/>
  <c r="D206" i="6"/>
  <c r="E48" i="2"/>
  <c r="F48" i="2" s="1"/>
  <c r="I131" i="5"/>
  <c r="D199" i="6"/>
  <c r="Q45" i="2"/>
  <c r="R45" i="2" s="1"/>
  <c r="I124" i="5"/>
  <c r="S198" i="6"/>
  <c r="G198" i="6"/>
  <c r="M198" i="6"/>
  <c r="G79" i="6"/>
  <c r="G55" i="6"/>
  <c r="G56" i="6" s="1"/>
  <c r="G58" i="6" s="1"/>
  <c r="M55" i="6"/>
  <c r="M56" i="6" s="1"/>
  <c r="M58" i="6" s="1"/>
  <c r="S55" i="6"/>
  <c r="S56" i="6" s="1"/>
  <c r="S58" i="6" s="1"/>
  <c r="S189" i="6"/>
  <c r="M189" i="6"/>
  <c r="G189" i="6"/>
  <c r="M92" i="6"/>
  <c r="G92" i="6"/>
  <c r="S92" i="6"/>
  <c r="K19" i="5"/>
  <c r="L19" i="5" s="1"/>
  <c r="I43" i="5"/>
  <c r="K12" i="5"/>
  <c r="D130" i="6"/>
  <c r="E30" i="2"/>
  <c r="F30" i="2" s="1"/>
  <c r="I35" i="5"/>
  <c r="K35" i="5" s="1"/>
  <c r="L35" i="5" s="1"/>
  <c r="M179" i="6"/>
  <c r="G179" i="6"/>
  <c r="S179" i="6"/>
  <c r="D207" i="6"/>
  <c r="E49" i="2"/>
  <c r="F49" i="2" s="1"/>
  <c r="I132" i="5"/>
  <c r="I81" i="4"/>
  <c r="K65" i="4"/>
  <c r="G187" i="6"/>
  <c r="M187" i="6"/>
  <c r="S187" i="6"/>
  <c r="K20" i="5"/>
  <c r="L20" i="5" s="1"/>
  <c r="I51" i="5"/>
  <c r="K51" i="5" s="1"/>
  <c r="L51" i="5" s="1"/>
  <c r="K104" i="5"/>
  <c r="L104" i="5" s="1"/>
  <c r="I17" i="4"/>
  <c r="S188" i="6"/>
  <c r="G188" i="6"/>
  <c r="M188" i="6"/>
  <c r="G180" i="6"/>
  <c r="S180" i="6"/>
  <c r="M180" i="6"/>
  <c r="S79" i="6"/>
  <c r="S87" i="6"/>
  <c r="S94" i="6" s="1"/>
  <c r="S96" i="6" s="1"/>
  <c r="G87" i="6"/>
  <c r="G94" i="6" s="1"/>
  <c r="G96" i="6" s="1"/>
  <c r="M87" i="6"/>
  <c r="M94" i="6" s="1"/>
  <c r="M96" i="6" s="1"/>
  <c r="I45" i="5"/>
  <c r="K45" i="5" s="1"/>
  <c r="L45" i="5" s="1"/>
  <c r="K14" i="5"/>
  <c r="L14" i="5" s="1"/>
  <c r="I143" i="5"/>
  <c r="K143" i="5" s="1"/>
  <c r="L143" i="5" s="1"/>
  <c r="K106" i="5"/>
  <c r="L106" i="5" s="1"/>
  <c r="D49" i="1"/>
  <c r="C50" i="1"/>
  <c r="D50" i="1" s="1"/>
  <c r="L15" i="4"/>
  <c r="K17" i="4"/>
  <c r="L17" i="4" s="1"/>
  <c r="D124" i="6"/>
  <c r="I29" i="5"/>
  <c r="Q28" i="2"/>
  <c r="R28" i="2" s="1"/>
  <c r="K34" i="4"/>
  <c r="L31" i="4"/>
  <c r="I76" i="4"/>
  <c r="I84" i="4" s="1"/>
  <c r="I86" i="4" s="1"/>
  <c r="K60" i="4"/>
  <c r="I67" i="4"/>
  <c r="I69" i="4" s="1"/>
  <c r="I53" i="4"/>
  <c r="G114" i="6"/>
  <c r="M114" i="6"/>
  <c r="S114" i="6"/>
  <c r="M190" i="6"/>
  <c r="G190" i="6"/>
  <c r="S190" i="6"/>
  <c r="K13" i="5"/>
  <c r="L13" i="5" s="1"/>
  <c r="I141" i="5"/>
  <c r="K123" i="5"/>
  <c r="D16" i="6"/>
  <c r="H20" i="3"/>
  <c r="H9" i="2"/>
  <c r="I9" i="2" s="1"/>
  <c r="I12" i="3"/>
  <c r="M79" i="6"/>
  <c r="K23" i="4"/>
  <c r="I24" i="4"/>
  <c r="I26" i="4" s="1"/>
  <c r="G23" i="9"/>
  <c r="G25" i="9" s="1"/>
  <c r="O24" i="2"/>
  <c r="I23" i="9"/>
  <c r="I25" i="9" s="1"/>
  <c r="O38" i="2"/>
  <c r="K51" i="4"/>
  <c r="L41" i="4"/>
  <c r="K74" i="4"/>
  <c r="D129" i="6"/>
  <c r="E29" i="2"/>
  <c r="F29" i="2" s="1"/>
  <c r="I34" i="5"/>
  <c r="K34" i="5" s="1"/>
  <c r="L34" i="5" s="1"/>
  <c r="D208" i="6"/>
  <c r="E50" i="2"/>
  <c r="F50" i="2" s="1"/>
  <c r="I133" i="5"/>
  <c r="D205" i="6"/>
  <c r="E47" i="2"/>
  <c r="F47" i="2" s="1"/>
  <c r="I130" i="5"/>
  <c r="S107" i="6"/>
  <c r="M107" i="6"/>
  <c r="G107" i="6"/>
  <c r="D13" i="7" l="1"/>
  <c r="O43" i="4"/>
  <c r="M65" i="6"/>
  <c r="L13" i="7" s="1"/>
  <c r="K29" i="5"/>
  <c r="K43" i="5"/>
  <c r="I50" i="5"/>
  <c r="K50" i="5" s="1"/>
  <c r="L50" i="5" s="1"/>
  <c r="M199" i="6"/>
  <c r="S199" i="6"/>
  <c r="G199" i="6"/>
  <c r="D12" i="7"/>
  <c r="O14" i="4"/>
  <c r="I32" i="3"/>
  <c r="K28" i="3"/>
  <c r="I152" i="5"/>
  <c r="K152" i="5" s="1"/>
  <c r="L152" i="5" s="1"/>
  <c r="K133" i="5"/>
  <c r="L133" i="5" s="1"/>
  <c r="L51" i="4"/>
  <c r="K53" i="4"/>
  <c r="L53" i="4" s="1"/>
  <c r="K12" i="3"/>
  <c r="L123" i="5"/>
  <c r="I44" i="5"/>
  <c r="K44" i="5" s="1"/>
  <c r="L44" i="5" s="1"/>
  <c r="I94" i="4"/>
  <c r="K94" i="4" s="1"/>
  <c r="L94" i="4" s="1"/>
  <c r="G124" i="6"/>
  <c r="M124" i="6"/>
  <c r="S124" i="6"/>
  <c r="I93" i="4"/>
  <c r="K132" i="5"/>
  <c r="L132" i="5" s="1"/>
  <c r="I151" i="5"/>
  <c r="K151" i="5" s="1"/>
  <c r="L151" i="5" s="1"/>
  <c r="S130" i="6"/>
  <c r="G130" i="6"/>
  <c r="M130" i="6"/>
  <c r="I150" i="5"/>
  <c r="K150" i="5" s="1"/>
  <c r="L150" i="5" s="1"/>
  <c r="K131" i="5"/>
  <c r="L131" i="5" s="1"/>
  <c r="M204" i="6"/>
  <c r="S204" i="6"/>
  <c r="G204" i="6"/>
  <c r="G205" i="6"/>
  <c r="M205" i="6"/>
  <c r="S205" i="6"/>
  <c r="D24" i="6"/>
  <c r="M16" i="6"/>
  <c r="G16" i="6"/>
  <c r="S16" i="6"/>
  <c r="I149" i="5"/>
  <c r="K149" i="5" s="1"/>
  <c r="L149" i="5" s="1"/>
  <c r="K130" i="5"/>
  <c r="L130" i="5" s="1"/>
  <c r="G129" i="6"/>
  <c r="M129" i="6"/>
  <c r="S129" i="6"/>
  <c r="L34" i="4"/>
  <c r="K36" i="4"/>
  <c r="L36" i="4" s="1"/>
  <c r="S65" i="6"/>
  <c r="Q13" i="7" s="1"/>
  <c r="H18" i="5"/>
  <c r="G65" i="6"/>
  <c r="G13" i="7" s="1"/>
  <c r="I142" i="5"/>
  <c r="K142" i="5" s="1"/>
  <c r="L142" i="5" s="1"/>
  <c r="K124" i="5"/>
  <c r="L124" i="5" s="1"/>
  <c r="M32" i="6"/>
  <c r="M34" i="6" s="1"/>
  <c r="G32" i="6"/>
  <c r="G34" i="6" s="1"/>
  <c r="S32" i="6"/>
  <c r="S34" i="6" s="1"/>
  <c r="M41" i="6"/>
  <c r="L12" i="7" s="1"/>
  <c r="M208" i="6"/>
  <c r="S208" i="6"/>
  <c r="G208" i="6"/>
  <c r="L74" i="4"/>
  <c r="L23" i="4"/>
  <c r="K24" i="4"/>
  <c r="H10" i="2"/>
  <c r="I10" i="2" s="1"/>
  <c r="I20" i="3"/>
  <c r="K141" i="5"/>
  <c r="K76" i="4"/>
  <c r="L76" i="4" s="1"/>
  <c r="L60" i="4"/>
  <c r="K67" i="4"/>
  <c r="H110" i="5"/>
  <c r="K81" i="4"/>
  <c r="L81" i="4" s="1"/>
  <c r="L65" i="4"/>
  <c r="S207" i="6"/>
  <c r="M207" i="6"/>
  <c r="G207" i="6"/>
  <c r="L12" i="5"/>
  <c r="G206" i="6"/>
  <c r="M206" i="6"/>
  <c r="S206" i="6"/>
  <c r="I148" i="5"/>
  <c r="K148" i="5" s="1"/>
  <c r="L148" i="5" s="1"/>
  <c r="K129" i="5"/>
  <c r="L129" i="5" s="1"/>
  <c r="S41" i="6"/>
  <c r="Q12" i="7" s="1"/>
  <c r="L67" i="4" l="1"/>
  <c r="K69" i="4"/>
  <c r="L69" i="4" s="1"/>
  <c r="L141" i="5"/>
  <c r="K84" i="4"/>
  <c r="K32" i="3"/>
  <c r="L32" i="3" s="1"/>
  <c r="L28" i="3"/>
  <c r="D185" i="6"/>
  <c r="H128" i="5"/>
  <c r="E38" i="2"/>
  <c r="F38" i="2" s="1"/>
  <c r="I110" i="5"/>
  <c r="L12" i="3"/>
  <c r="L43" i="5"/>
  <c r="L29" i="5"/>
  <c r="I95" i="4"/>
  <c r="K93" i="4"/>
  <c r="K20" i="3"/>
  <c r="H13" i="3"/>
  <c r="K26" i="4"/>
  <c r="L26" i="4" s="1"/>
  <c r="L24" i="4"/>
  <c r="D113" i="6"/>
  <c r="H33" i="5"/>
  <c r="E24" i="2"/>
  <c r="F24" i="2" s="1"/>
  <c r="I18" i="5"/>
  <c r="S24" i="6"/>
  <c r="G24" i="6"/>
  <c r="M24" i="6"/>
  <c r="D128" i="6" l="1"/>
  <c r="I33" i="5"/>
  <c r="E28" i="2"/>
  <c r="F28" i="2" s="1"/>
  <c r="L20" i="3"/>
  <c r="D203" i="6"/>
  <c r="E45" i="2"/>
  <c r="F45" i="2" s="1"/>
  <c r="I128" i="5"/>
  <c r="L84" i="4"/>
  <c r="K86" i="4"/>
  <c r="L86" i="4" s="1"/>
  <c r="G113" i="6"/>
  <c r="G116" i="6" s="1"/>
  <c r="M113" i="6"/>
  <c r="M116" i="6" s="1"/>
  <c r="S113" i="6"/>
  <c r="S116" i="6" s="1"/>
  <c r="S185" i="6"/>
  <c r="S191" i="6" s="1"/>
  <c r="M185" i="6"/>
  <c r="M191" i="6" s="1"/>
  <c r="G185" i="6"/>
  <c r="G191" i="6" s="1"/>
  <c r="D17" i="6"/>
  <c r="H21" i="3"/>
  <c r="E9" i="2"/>
  <c r="F9" i="2" s="1"/>
  <c r="I13" i="3"/>
  <c r="I49" i="5"/>
  <c r="K18" i="5"/>
  <c r="I21" i="5"/>
  <c r="L93" i="4"/>
  <c r="K95" i="4"/>
  <c r="L95" i="4" s="1"/>
  <c r="K110" i="5"/>
  <c r="L110" i="5" s="1"/>
  <c r="I116" i="5"/>
  <c r="K49" i="5" l="1"/>
  <c r="I52" i="5"/>
  <c r="I54" i="5" s="1"/>
  <c r="K13" i="3"/>
  <c r="I14" i="3"/>
  <c r="M128" i="6"/>
  <c r="M131" i="6" s="1"/>
  <c r="M133" i="6" s="1"/>
  <c r="G128" i="6"/>
  <c r="G131" i="6" s="1"/>
  <c r="G133" i="6" s="1"/>
  <c r="S128" i="6"/>
  <c r="S131" i="6" s="1"/>
  <c r="S133" i="6" s="1"/>
  <c r="S203" i="6"/>
  <c r="S209" i="6" s="1"/>
  <c r="S211" i="6" s="1"/>
  <c r="M203" i="6"/>
  <c r="M209" i="6" s="1"/>
  <c r="M211" i="6" s="1"/>
  <c r="G203" i="6"/>
  <c r="G209" i="6" s="1"/>
  <c r="G211" i="6" s="1"/>
  <c r="G175" i="6" s="1"/>
  <c r="G16" i="7" s="1"/>
  <c r="G103" i="6"/>
  <c r="G14" i="7" s="1"/>
  <c r="K128" i="5"/>
  <c r="I147" i="5"/>
  <c r="I134" i="5"/>
  <c r="I136" i="5" s="1"/>
  <c r="D25" i="6"/>
  <c r="M17" i="6"/>
  <c r="M18" i="6" s="1"/>
  <c r="G17" i="6"/>
  <c r="G18" i="6" s="1"/>
  <c r="S17" i="6"/>
  <c r="S18" i="6" s="1"/>
  <c r="K33" i="5"/>
  <c r="I36" i="5"/>
  <c r="I38" i="5" s="1"/>
  <c r="M103" i="6"/>
  <c r="L14" i="7" s="1"/>
  <c r="K116" i="5"/>
  <c r="I163" i="5"/>
  <c r="K163" i="5" s="1"/>
  <c r="L163" i="5" s="1"/>
  <c r="I118" i="5"/>
  <c r="I23" i="5"/>
  <c r="L18" i="5"/>
  <c r="K21" i="5"/>
  <c r="E10" i="2"/>
  <c r="F10" i="2" s="1"/>
  <c r="I21" i="3"/>
  <c r="S175" i="6"/>
  <c r="Q16" i="7" s="1"/>
  <c r="L13" i="3" l="1"/>
  <c r="K14" i="3"/>
  <c r="K23" i="5"/>
  <c r="L23" i="5" s="1"/>
  <c r="L21" i="5"/>
  <c r="K147" i="5"/>
  <c r="I153" i="5"/>
  <c r="I155" i="5" s="1"/>
  <c r="I16" i="3"/>
  <c r="I167" i="5" s="1"/>
  <c r="L128" i="5"/>
  <c r="K134" i="5"/>
  <c r="M175" i="6"/>
  <c r="L16" i="7" s="1"/>
  <c r="L116" i="5"/>
  <c r="K118" i="5"/>
  <c r="L118" i="5" s="1"/>
  <c r="L33" i="5"/>
  <c r="K36" i="5"/>
  <c r="S25" i="6"/>
  <c r="S26" i="6" s="1"/>
  <c r="M25" i="6"/>
  <c r="M26" i="6" s="1"/>
  <c r="G25" i="6"/>
  <c r="G26" i="6" s="1"/>
  <c r="D14" i="7"/>
  <c r="O14" i="5"/>
  <c r="K21" i="3"/>
  <c r="I22" i="3"/>
  <c r="I24" i="3" s="1"/>
  <c r="I161" i="5"/>
  <c r="S12" i="6"/>
  <c r="S103" i="6"/>
  <c r="Q14" i="7" s="1"/>
  <c r="L49" i="5"/>
  <c r="K52" i="5"/>
  <c r="L134" i="5" l="1"/>
  <c r="K136" i="5"/>
  <c r="L136" i="5" s="1"/>
  <c r="I37" i="3"/>
  <c r="K54" i="5"/>
  <c r="L54" i="5" s="1"/>
  <c r="L52" i="5"/>
  <c r="L21" i="3"/>
  <c r="K22" i="3"/>
  <c r="D16" i="7"/>
  <c r="O106" i="5"/>
  <c r="I164" i="5"/>
  <c r="K161" i="5"/>
  <c r="I169" i="5"/>
  <c r="I174" i="5" s="1"/>
  <c r="K167" i="5"/>
  <c r="Q11" i="7"/>
  <c r="Q18" i="7" s="1"/>
  <c r="S232" i="6"/>
  <c r="K16" i="3"/>
  <c r="L16" i="3" s="1"/>
  <c r="L14" i="3"/>
  <c r="G12" i="6"/>
  <c r="L36" i="5"/>
  <c r="K38" i="5"/>
  <c r="L38" i="5" s="1"/>
  <c r="M12" i="6"/>
  <c r="L147" i="5"/>
  <c r="K153" i="5"/>
  <c r="L11" i="7" l="1"/>
  <c r="L18" i="7" s="1"/>
  <c r="M232" i="6"/>
  <c r="Q21" i="7"/>
  <c r="Q22" i="7" s="1"/>
  <c r="K169" i="5"/>
  <c r="L167" i="5"/>
  <c r="K155" i="5"/>
  <c r="L155" i="5" s="1"/>
  <c r="L153" i="5"/>
  <c r="G11" i="7"/>
  <c r="G18" i="7" s="1"/>
  <c r="G232" i="6"/>
  <c r="K164" i="5"/>
  <c r="L164" i="5" s="1"/>
  <c r="L161" i="5"/>
  <c r="K24" i="3"/>
  <c r="L24" i="3" s="1"/>
  <c r="L22" i="3"/>
  <c r="D11" i="7"/>
  <c r="D18" i="7" s="1"/>
  <c r="K37" i="3"/>
  <c r="L37" i="3" s="1"/>
  <c r="N14" i="3"/>
  <c r="C69" i="1" l="1"/>
  <c r="C70" i="1" s="1"/>
  <c r="R26" i="7"/>
  <c r="G21" i="7"/>
  <c r="G22" i="7" s="1"/>
  <c r="L169" i="5"/>
  <c r="K174" i="5"/>
  <c r="L21" i="7"/>
  <c r="L22" i="7" s="1"/>
  <c r="C65" i="1" l="1"/>
  <c r="C66" i="1" s="1"/>
  <c r="M26" i="7"/>
  <c r="H26" i="7"/>
  <c r="C61" i="1"/>
  <c r="C62" i="1" s="1"/>
  <c r="R35" i="7"/>
  <c r="K70" i="1"/>
  <c r="T173" i="6" s="1"/>
  <c r="G70" i="1"/>
  <c r="T39" i="6" s="1"/>
  <c r="J70" i="1"/>
  <c r="T138" i="6" s="1"/>
  <c r="F70" i="1"/>
  <c r="T10" i="6" s="1"/>
  <c r="I70" i="1"/>
  <c r="T101" i="6" s="1"/>
  <c r="H70" i="1"/>
  <c r="T63" i="6" s="1"/>
  <c r="T139" i="6" l="1"/>
  <c r="T223" i="6"/>
  <c r="D70" i="1"/>
  <c r="T102" i="6"/>
  <c r="T222" i="6"/>
  <c r="T174" i="6"/>
  <c r="T224" i="6"/>
  <c r="T64" i="6"/>
  <c r="T221" i="6"/>
  <c r="H35" i="7"/>
  <c r="I62" i="1"/>
  <c r="H101" i="6" s="1"/>
  <c r="H62" i="1"/>
  <c r="H63" i="6" s="1"/>
  <c r="K62" i="1"/>
  <c r="H173" i="6" s="1"/>
  <c r="G62" i="1"/>
  <c r="H39" i="6" s="1"/>
  <c r="J62" i="1"/>
  <c r="H138" i="6" s="1"/>
  <c r="F62" i="1"/>
  <c r="H10" i="6" s="1"/>
  <c r="T40" i="6"/>
  <c r="T220" i="6"/>
  <c r="T219" i="6"/>
  <c r="T11" i="6"/>
  <c r="M35" i="7"/>
  <c r="J66" i="1"/>
  <c r="N138" i="6" s="1"/>
  <c r="F66" i="1"/>
  <c r="N10" i="6" s="1"/>
  <c r="I66" i="1"/>
  <c r="N101" i="6" s="1"/>
  <c r="K66" i="1"/>
  <c r="N173" i="6" s="1"/>
  <c r="H66" i="1"/>
  <c r="N63" i="6" s="1"/>
  <c r="G66" i="1"/>
  <c r="N39" i="6" s="1"/>
  <c r="N40" i="6" l="1"/>
  <c r="N220" i="6"/>
  <c r="N102" i="6"/>
  <c r="N222" i="6"/>
  <c r="T59" i="6"/>
  <c r="U60" i="6" s="1"/>
  <c r="U243" i="6" s="1"/>
  <c r="T49" i="6"/>
  <c r="U14" i="2"/>
  <c r="U13" i="2"/>
  <c r="H174" i="6"/>
  <c r="H224" i="6"/>
  <c r="T192" i="6"/>
  <c r="T212" i="6"/>
  <c r="U213" i="6" s="1"/>
  <c r="U251" i="6" s="1"/>
  <c r="U50" i="2"/>
  <c r="U46" i="2"/>
  <c r="U41" i="2"/>
  <c r="U49" i="2"/>
  <c r="U45" i="2"/>
  <c r="U40" i="2"/>
  <c r="U47" i="2"/>
  <c r="U38" i="2"/>
  <c r="U48" i="2"/>
  <c r="U43" i="2"/>
  <c r="U39" i="2"/>
  <c r="U42" i="2"/>
  <c r="N174" i="6"/>
  <c r="N224" i="6"/>
  <c r="N139" i="6"/>
  <c r="N223" i="6"/>
  <c r="T226" i="6"/>
  <c r="H139" i="6"/>
  <c r="H223" i="6"/>
  <c r="D62" i="1"/>
  <c r="T80" i="6"/>
  <c r="T97" i="6"/>
  <c r="U98" i="6" s="1"/>
  <c r="U245" i="6" s="1"/>
  <c r="U22" i="2"/>
  <c r="U21" i="2"/>
  <c r="U18" i="2"/>
  <c r="U20" i="2"/>
  <c r="U17" i="2"/>
  <c r="U16" i="2"/>
  <c r="T117" i="6"/>
  <c r="T134" i="6"/>
  <c r="U135" i="6" s="1"/>
  <c r="U247" i="6" s="1"/>
  <c r="U30" i="2"/>
  <c r="U25" i="2"/>
  <c r="U29" i="2"/>
  <c r="U24" i="2"/>
  <c r="U26" i="2"/>
  <c r="U28" i="2"/>
  <c r="D66" i="1"/>
  <c r="H40" i="6"/>
  <c r="H220" i="6"/>
  <c r="H102" i="6"/>
  <c r="H222" i="6"/>
  <c r="N64" i="6"/>
  <c r="N221" i="6"/>
  <c r="N219" i="6"/>
  <c r="N11" i="6"/>
  <c r="T35" i="6"/>
  <c r="U36" i="6" s="1"/>
  <c r="U241" i="6" s="1"/>
  <c r="T27" i="6"/>
  <c r="U28" i="6" s="1"/>
  <c r="U240" i="6" s="1"/>
  <c r="T19" i="6"/>
  <c r="U9" i="2"/>
  <c r="U11" i="2"/>
  <c r="U10" i="2"/>
  <c r="H11" i="6"/>
  <c r="H219" i="6"/>
  <c r="H64" i="6"/>
  <c r="H221" i="6"/>
  <c r="T169" i="6"/>
  <c r="U170" i="6" s="1"/>
  <c r="U249" i="6" s="1"/>
  <c r="T153" i="6"/>
  <c r="U33" i="2"/>
  <c r="U32" i="2"/>
  <c r="U36" i="2"/>
  <c r="U35" i="2"/>
  <c r="N169" i="6" l="1"/>
  <c r="O170" i="6" s="1"/>
  <c r="O249" i="6" s="1"/>
  <c r="N153" i="6"/>
  <c r="T35" i="2"/>
  <c r="T33" i="2"/>
  <c r="T32" i="2"/>
  <c r="T36" i="2"/>
  <c r="R16" i="7"/>
  <c r="U193" i="6"/>
  <c r="U250" i="6" s="1"/>
  <c r="N134" i="6"/>
  <c r="O135" i="6" s="1"/>
  <c r="O247" i="6" s="1"/>
  <c r="N117" i="6"/>
  <c r="T26" i="2"/>
  <c r="T30" i="2"/>
  <c r="T25" i="2"/>
  <c r="T28" i="2"/>
  <c r="T29" i="2"/>
  <c r="T24" i="2"/>
  <c r="N97" i="6"/>
  <c r="O98" i="6" s="1"/>
  <c r="O245" i="6" s="1"/>
  <c r="N80" i="6"/>
  <c r="T16" i="2"/>
  <c r="T22" i="2"/>
  <c r="T20" i="2"/>
  <c r="T21" i="2"/>
  <c r="T18" i="2"/>
  <c r="T17" i="2"/>
  <c r="H49" i="6"/>
  <c r="H59" i="6"/>
  <c r="I60" i="6" s="1"/>
  <c r="I243" i="6" s="1"/>
  <c r="S13" i="2"/>
  <c r="S14" i="2"/>
  <c r="H226" i="6"/>
  <c r="N19" i="6"/>
  <c r="N35" i="6"/>
  <c r="O36" i="6" s="1"/>
  <c r="O241" i="6" s="1"/>
  <c r="N27" i="6"/>
  <c r="O28" i="6" s="1"/>
  <c r="O240" i="6" s="1"/>
  <c r="T11" i="2"/>
  <c r="T10" i="2"/>
  <c r="T9" i="2"/>
  <c r="H169" i="6"/>
  <c r="I170" i="6" s="1"/>
  <c r="I249" i="6" s="1"/>
  <c r="H153" i="6"/>
  <c r="S36" i="2"/>
  <c r="S35" i="2"/>
  <c r="S32" i="2"/>
  <c r="S33" i="2"/>
  <c r="N226" i="6"/>
  <c r="H117" i="6"/>
  <c r="H134" i="6"/>
  <c r="I135" i="6" s="1"/>
  <c r="I247" i="6" s="1"/>
  <c r="S28" i="2"/>
  <c r="S26" i="2"/>
  <c r="S30" i="2"/>
  <c r="S25" i="2"/>
  <c r="S29" i="2"/>
  <c r="S24" i="2"/>
  <c r="R14" i="7"/>
  <c r="U118" i="6"/>
  <c r="U246" i="6" s="1"/>
  <c r="R13" i="7"/>
  <c r="U81" i="6"/>
  <c r="U244" i="6" s="1"/>
  <c r="N192" i="6"/>
  <c r="N212" i="6"/>
  <c r="O213" i="6" s="1"/>
  <c r="O251" i="6" s="1"/>
  <c r="T47" i="2"/>
  <c r="T42" i="2"/>
  <c r="T38" i="2"/>
  <c r="T50" i="2"/>
  <c r="T46" i="2"/>
  <c r="T41" i="2"/>
  <c r="T48" i="2"/>
  <c r="T49" i="2"/>
  <c r="T45" i="2"/>
  <c r="T40" i="2"/>
  <c r="T43" i="2"/>
  <c r="T39" i="2"/>
  <c r="R12" i="7"/>
  <c r="U50" i="6"/>
  <c r="U242" i="6" s="1"/>
  <c r="H80" i="6"/>
  <c r="H97" i="6"/>
  <c r="I98" i="6" s="1"/>
  <c r="I245" i="6" s="1"/>
  <c r="S20" i="2"/>
  <c r="S17" i="2"/>
  <c r="S16" i="2"/>
  <c r="S21" i="2"/>
  <c r="S22" i="2"/>
  <c r="S18" i="2"/>
  <c r="R15" i="7"/>
  <c r="U154" i="6"/>
  <c r="U248" i="6" s="1"/>
  <c r="H27" i="6"/>
  <c r="I28" i="6" s="1"/>
  <c r="I240" i="6" s="1"/>
  <c r="H19" i="6"/>
  <c r="H35" i="6"/>
  <c r="I36" i="6" s="1"/>
  <c r="I241" i="6" s="1"/>
  <c r="S11" i="2"/>
  <c r="S10" i="2"/>
  <c r="S9" i="2"/>
  <c r="R11" i="7"/>
  <c r="R18" i="7" s="1"/>
  <c r="U20" i="6"/>
  <c r="U239" i="6" s="1"/>
  <c r="U253" i="6" s="1"/>
  <c r="H192" i="6"/>
  <c r="H212" i="6"/>
  <c r="I213" i="6" s="1"/>
  <c r="I251" i="6" s="1"/>
  <c r="S48" i="2"/>
  <c r="S43" i="2"/>
  <c r="S39" i="2"/>
  <c r="S47" i="2"/>
  <c r="S42" i="2"/>
  <c r="S38" i="2"/>
  <c r="S49" i="2"/>
  <c r="S45" i="2"/>
  <c r="S50" i="2"/>
  <c r="S46" i="2"/>
  <c r="S41" i="2"/>
  <c r="S40" i="2"/>
  <c r="N49" i="6"/>
  <c r="N59" i="6"/>
  <c r="O60" i="6" s="1"/>
  <c r="O243" i="6" s="1"/>
  <c r="T14" i="2"/>
  <c r="T13" i="2"/>
  <c r="H13" i="7" l="1"/>
  <c r="I81" i="6"/>
  <c r="I244" i="6" s="1"/>
  <c r="M16" i="7"/>
  <c r="O193" i="6"/>
  <c r="O250" i="6" s="1"/>
  <c r="H14" i="7"/>
  <c r="I118" i="6"/>
  <c r="I246" i="6" s="1"/>
  <c r="M12" i="7"/>
  <c r="O50" i="6"/>
  <c r="O242" i="6" s="1"/>
  <c r="R36" i="7"/>
  <c r="R37" i="7" s="1"/>
  <c r="S30" i="7"/>
  <c r="H11" i="7"/>
  <c r="I20" i="6"/>
  <c r="I239" i="6" s="1"/>
  <c r="M11" i="7"/>
  <c r="O20" i="6"/>
  <c r="O239" i="6" s="1"/>
  <c r="M13" i="7"/>
  <c r="O81" i="6"/>
  <c r="O244" i="6" s="1"/>
  <c r="M14" i="7"/>
  <c r="O118" i="6"/>
  <c r="O246" i="6" s="1"/>
  <c r="M15" i="7"/>
  <c r="O154" i="6"/>
  <c r="O248" i="6" s="1"/>
  <c r="H16" i="7"/>
  <c r="I193" i="6"/>
  <c r="I250" i="6" s="1"/>
  <c r="H15" i="7"/>
  <c r="I154" i="6"/>
  <c r="I248" i="6" s="1"/>
  <c r="H12" i="7"/>
  <c r="I50" i="6"/>
  <c r="I242" i="6" s="1"/>
  <c r="U255" i="6" l="1"/>
  <c r="U256" i="6" s="1"/>
  <c r="S31" i="7"/>
  <c r="H18" i="7"/>
  <c r="O253" i="6"/>
  <c r="M18" i="7"/>
  <c r="I253" i="6"/>
  <c r="H36" i="7" l="1"/>
  <c r="H37" i="7" s="1"/>
  <c r="I30" i="7"/>
  <c r="M36" i="7"/>
  <c r="M37" i="7" s="1"/>
  <c r="N30" i="7"/>
  <c r="I255" i="6" l="1"/>
  <c r="I256" i="6" s="1"/>
  <c r="I31" i="7"/>
  <c r="O255" i="6"/>
  <c r="O256" i="6" s="1"/>
  <c r="N31" i="7"/>
</calcChain>
</file>

<file path=xl/sharedStrings.xml><?xml version="1.0" encoding="utf-8"?>
<sst xmlns="http://schemas.openxmlformats.org/spreadsheetml/2006/main" count="951" uniqueCount="256">
  <si>
    <t>Rate Spread and Schedule 141R and 141N Allocation</t>
  </si>
  <si>
    <t>Line No.</t>
  </si>
  <si>
    <t>Description</t>
  </si>
  <si>
    <t>Total</t>
  </si>
  <si>
    <t>Total Check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</si>
  <si>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</si>
  <si>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</si>
  <si>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</si>
  <si>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</si>
  <si>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</si>
  <si>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</si>
  <si>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</si>
  <si>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Total Rate Base</t>
  </si>
  <si>
    <t>Gas Service Revenue - Sales</t>
  </si>
  <si>
    <t>Gas Service Revenue - Transport</t>
  </si>
  <si>
    <t>Other Revenues</t>
  </si>
  <si>
    <t>Total Revenue</t>
  </si>
  <si>
    <t>Revenue to Cost Ratio Under Current Rates</t>
  </si>
  <si>
    <t xml:space="preserve">Parity Ratio </t>
  </si>
  <si>
    <t>Scenario A: Revenues at Equalized Rates of Return</t>
  </si>
  <si>
    <t>Margin Increase/(Decrease)</t>
  </si>
  <si>
    <t>Total Rate Margin at Equalized Rates of Return</t>
  </si>
  <si>
    <t>Miscellaneous Revenue Margin</t>
  </si>
  <si>
    <t>Margin Revenue at Equalized Rates of Return</t>
  </si>
  <si>
    <t>Percent Increase</t>
  </si>
  <si>
    <t xml:space="preserve">Current Parity Ratio </t>
  </si>
  <si>
    <t>Current Total Margin Excluding Contracts</t>
  </si>
  <si>
    <t>Scenario B: Equal Percentage Increase</t>
  </si>
  <si>
    <t>Total Rate Margin</t>
  </si>
  <si>
    <t>Total Margin at Equal Percentage Increase</t>
  </si>
  <si>
    <t>Percent Increase xcld. Contracts</t>
  </si>
  <si>
    <t>Proposed Scenario C: Moderated based on Current Parity Ratio</t>
  </si>
  <si>
    <t>Targeted Multiple of System Increase</t>
  </si>
  <si>
    <t>Targeted Percent Increase</t>
  </si>
  <si>
    <t>Targeted Revenue Increase</t>
  </si>
  <si>
    <t>Delta</t>
  </si>
  <si>
    <t>Allocation of Delta</t>
  </si>
  <si>
    <t>Multiple of System Increase</t>
  </si>
  <si>
    <t xml:space="preserve">Proposed Parity Ratio </t>
  </si>
  <si>
    <t>Current Parity Ratio</t>
  </si>
  <si>
    <t>Schedule 141R and 141N</t>
  </si>
  <si>
    <t>GCOS Ratebase excluding Contracts</t>
  </si>
  <si>
    <t>GCOS Ratebase %</t>
  </si>
  <si>
    <t>Non-Refundable</t>
  </si>
  <si>
    <t xml:space="preserve">MYRP 2023 Sch. 141N </t>
  </si>
  <si>
    <t>Margin Adj. for Load</t>
  </si>
  <si>
    <t>MYRP 2023 Sch. 141N  after Adj. for Load</t>
  </si>
  <si>
    <t xml:space="preserve">MYRP 2024 Sch. 141N </t>
  </si>
  <si>
    <t>MYRP 2024 Sch. 141N  after Adj. for Load</t>
  </si>
  <si>
    <t xml:space="preserve">MYRP 2025 Sch. 141N </t>
  </si>
  <si>
    <t>MYRP 2025 Sch. 141N  after Adj. for Load</t>
  </si>
  <si>
    <t>Refundable</t>
  </si>
  <si>
    <t>MYRP 2023 Increase</t>
  </si>
  <si>
    <t>MYRP 2024 Increase</t>
  </si>
  <si>
    <t>MYRP 2025 Increase</t>
  </si>
  <si>
    <t>Summary of Proposed Rate Design</t>
  </si>
  <si>
    <t>Customer Class</t>
  </si>
  <si>
    <t>Rate Schedule</t>
  </si>
  <si>
    <t>Delivery Charge</t>
  </si>
  <si>
    <t>Basic Charge</t>
  </si>
  <si>
    <t>Minimum Bill</t>
  </si>
  <si>
    <t>Procurement Charge</t>
  </si>
  <si>
    <t>Demand Change</t>
  </si>
  <si>
    <t>Schedule 141N</t>
  </si>
  <si>
    <t>Schedule 141R</t>
  </si>
  <si>
    <t>Current</t>
  </si>
  <si>
    <t>Proposed</t>
  </si>
  <si>
    <t>% Change</t>
  </si>
  <si>
    <t>2023 Proposed</t>
  </si>
  <si>
    <t>2024 Proposed</t>
  </si>
  <si>
    <t>2025 Proposed</t>
  </si>
  <si>
    <t>Residential</t>
  </si>
  <si>
    <t>Schedule 23</t>
  </si>
  <si>
    <t>Per therm</t>
  </si>
  <si>
    <t>na</t>
  </si>
  <si>
    <t>Schedule 53</t>
  </si>
  <si>
    <t>Schedule 16</t>
  </si>
  <si>
    <t>Per Mantel</t>
  </si>
  <si>
    <t>Commercial &amp; Industrial</t>
  </si>
  <si>
    <t>Schedule 31 - Sales</t>
  </si>
  <si>
    <t>Schedule 31 - Transportation</t>
  </si>
  <si>
    <t>Large Volume</t>
  </si>
  <si>
    <t>Schedule 41 - Sales</t>
  </si>
  <si>
    <t>First 900 therms</t>
  </si>
  <si>
    <t>Next 4,100 therms</t>
  </si>
  <si>
    <t>All over 5,000 therms</t>
  </si>
  <si>
    <t>Schedule 41 - Transportation</t>
  </si>
  <si>
    <t>Interruptible</t>
  </si>
  <si>
    <t>Schedule 85 - Sales</t>
  </si>
  <si>
    <t>First 25,000 Therms</t>
  </si>
  <si>
    <t>Next 25,000 Therms</t>
  </si>
  <si>
    <t>All over 50,000 Therms</t>
  </si>
  <si>
    <t>Schedule 85 - Transportation</t>
  </si>
  <si>
    <t>Limited Interruptible</t>
  </si>
  <si>
    <t>Schedule 86 - Sales</t>
  </si>
  <si>
    <t>First 1,000 therms</t>
  </si>
  <si>
    <t>All over 1,000 therms</t>
  </si>
  <si>
    <t>Schedule 86 - Transportation</t>
  </si>
  <si>
    <t>Non-Exclusive Interruptible</t>
  </si>
  <si>
    <t>Schedule 87 - Sales</t>
  </si>
  <si>
    <t>Next 50,000 Therms</t>
  </si>
  <si>
    <t>Next 100,000 therms</t>
  </si>
  <si>
    <t>Next 300,000 therms</t>
  </si>
  <si>
    <t>All over 500,000 therms</t>
  </si>
  <si>
    <t>Schedule 87 - Transportation</t>
  </si>
  <si>
    <t>Current and Proposed Rates by Rate Schedule (Schedules 16, 23 &amp; 53)</t>
  </si>
  <si>
    <t xml:space="preserve">Billing </t>
  </si>
  <si>
    <t>Current Base Rates</t>
  </si>
  <si>
    <t>Proposed Base Rates</t>
  </si>
  <si>
    <t xml:space="preserve">Difference </t>
  </si>
  <si>
    <t>Target</t>
  </si>
  <si>
    <t>Units</t>
  </si>
  <si>
    <t>Determinants</t>
  </si>
  <si>
    <t>Rates</t>
  </si>
  <si>
    <t>Revenues</t>
  </si>
  <si>
    <t>$</t>
  </si>
  <si>
    <t>%</t>
  </si>
  <si>
    <t>Increase</t>
  </si>
  <si>
    <t>TARGET</t>
  </si>
  <si>
    <t>Bills</t>
  </si>
  <si>
    <t>Therms</t>
  </si>
  <si>
    <t>over (under)</t>
  </si>
  <si>
    <t>Total Base Revenues</t>
  </si>
  <si>
    <t>Total Delivery Charges</t>
  </si>
  <si>
    <t>Total Delivery Charge</t>
  </si>
  <si>
    <t>Mantles</t>
  </si>
  <si>
    <t>Calculated Total Therms</t>
  </si>
  <si>
    <t>Residential Summary</t>
  </si>
  <si>
    <t>Change</t>
  </si>
  <si>
    <t>Total Residential Base Revenues</t>
  </si>
  <si>
    <t>Check</t>
  </si>
  <si>
    <t>Backup</t>
  </si>
  <si>
    <t>Current and Proposed Rates by Rate Schedule (Schedules 31, 31T, 41 &amp; 41T)</t>
  </si>
  <si>
    <t>TARGET 31/31T</t>
  </si>
  <si>
    <t>Schedule 31 - Total</t>
  </si>
  <si>
    <t>TARGET 41/41T</t>
  </si>
  <si>
    <t>Demand Charge</t>
  </si>
  <si>
    <t>Demand</t>
  </si>
  <si>
    <t>Delivery Charge:</t>
  </si>
  <si>
    <t>in minimum bills</t>
  </si>
  <si>
    <t>Total Volume</t>
  </si>
  <si>
    <t>Schedule 41 - Total</t>
  </si>
  <si>
    <t>Commercial &amp; Industrial Summary</t>
  </si>
  <si>
    <t>Schedules 31, 31T</t>
  </si>
  <si>
    <t>Schedule 41, 41T</t>
  </si>
  <si>
    <t>Current and Proposed Rates by Rate Schedule (Schedules 85, 85T, 86, 86T, 87 &amp; 87T)</t>
  </si>
  <si>
    <t>TARGET 85/85T</t>
  </si>
  <si>
    <t>Minimum Bills</t>
  </si>
  <si>
    <t>Schedule 85 - Total</t>
  </si>
  <si>
    <t>TARGET 86/86T</t>
  </si>
  <si>
    <t>Schedule 86 - Total</t>
  </si>
  <si>
    <t>TARGET 87/87T</t>
  </si>
  <si>
    <t xml:space="preserve"> 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</si>
  <si>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</si>
  <si>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</si>
  <si>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</si>
  <si>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</si>
  <si>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</si>
  <si>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</si>
  <si>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</si>
  <si>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</si>
  <si>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(1) Schedule 101 rates in effective November 1, 2018</t>
  </si>
  <si>
    <t>Multi-Year Rates by Rate Schedule</t>
  </si>
  <si>
    <t>Proposed 2023 Rates</t>
  </si>
  <si>
    <t>Proposed 2024 Rates</t>
  </si>
  <si>
    <t>Proposed 2025 Rates</t>
  </si>
  <si>
    <t>Current Rates</t>
  </si>
  <si>
    <t>Proposed Rates</t>
  </si>
  <si>
    <t>Billing Determinants</t>
  </si>
  <si>
    <t>Proforma $</t>
  </si>
  <si>
    <t>Proposed Revenues</t>
  </si>
  <si>
    <t>Sch 141N</t>
  </si>
  <si>
    <t>Sch 141R</t>
  </si>
  <si>
    <t>Multi-Year Rates (Schedules 16, 23 &amp; 53)</t>
  </si>
  <si>
    <t>141N/R Rate</t>
  </si>
  <si>
    <t>Subtotal Base Revenue</t>
  </si>
  <si>
    <t>Schedule 141R/N Revenue</t>
  </si>
  <si>
    <t>Multi-Year Rates (Schedules 31 &amp; 31T)</t>
  </si>
  <si>
    <t>Multi-Year Rates (Schedules 41 &amp; 41T)</t>
  </si>
  <si>
    <t>Multi-Year Rates (Schedules 85 &amp; 85T)</t>
  </si>
  <si>
    <t>Total Revenues</t>
  </si>
  <si>
    <t>Multi-Year Rates (Schedules 86 &amp; 86T)</t>
  </si>
  <si>
    <t>Multi-Year Rates (Schedules 87 &amp; 87T)</t>
  </si>
  <si>
    <t>Pro-forma therms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</si>
  <si>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</si>
  <si>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</si>
  <si>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</si>
  <si>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</si>
  <si>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</si>
  <si>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</si>
  <si>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</si>
  <si>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</si>
  <si>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</si>
  <si>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</si>
  <si>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</si>
  <si>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</si>
  <si>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</si>
  <si>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</si>
  <si>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</si>
  <si>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Multi-Year Rate Projected Revenues</t>
  </si>
  <si>
    <t>YE 2021</t>
  </si>
  <si>
    <t xml:space="preserve">Proforma
Base 
</t>
  </si>
  <si>
    <t xml:space="preserve">Proposed
Base
</t>
  </si>
  <si>
    <t xml:space="preserve">Sch 141N
</t>
  </si>
  <si>
    <t xml:space="preserve">Sch 141R
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</si>
  <si>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</si>
  <si>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</si>
  <si>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</si>
  <si>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</si>
  <si>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</si>
  <si>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</si>
  <si>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</si>
  <si>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</si>
  <si>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</si>
  <si>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</si>
  <si>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</si>
  <si>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</si>
  <si>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</si>
  <si>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</si>
  <si>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</si>
  <si>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Proforma Base - load adjusted</t>
  </si>
  <si>
    <t>Proposed Base</t>
  </si>
  <si>
    <t>Sch 141 N (Non-refundable) Annual</t>
  </si>
  <si>
    <t>Sch 141 N (Non-refundable) Rolling</t>
  </si>
  <si>
    <t>Sch 141 N (Non-refundable) Adjusted</t>
  </si>
  <si>
    <t>Revenue Requirement (source)</t>
  </si>
  <si>
    <t>Revenue Requirement Modeled</t>
  </si>
  <si>
    <t>Rate Rounding Variance</t>
  </si>
  <si>
    <t>141 Totals</t>
  </si>
  <si>
    <t>141 Totals Modeled</t>
  </si>
  <si>
    <t>141 Rate Rounding Variance</t>
  </si>
  <si>
    <t>Current and Proposed Balancing Rates</t>
  </si>
  <si>
    <t>Current Rate</t>
  </si>
  <si>
    <t>Proposed Rate</t>
  </si>
  <si>
    <t>Rate</t>
  </si>
  <si>
    <t>Gas Balancing Service Charge</t>
  </si>
  <si>
    <t>Procurement Charge Calculation</t>
  </si>
  <si>
    <t>(a)</t>
  </si>
  <si>
    <t>(b)</t>
  </si>
  <si>
    <t>(c)</t>
  </si>
  <si>
    <t>(d)</t>
  </si>
  <si>
    <t>(e)</t>
  </si>
  <si>
    <t>(f)</t>
  </si>
  <si>
    <t>(g)</t>
  </si>
  <si>
    <t>Total Gas Supply (Commodity $)</t>
  </si>
  <si>
    <t>Per Therm</t>
  </si>
  <si>
    <t>Total Storage Costs (Demand $)</t>
  </si>
  <si>
    <t>Total Gas Supply &amp; Storage</t>
  </si>
  <si>
    <t>Unit Cost (per therm)</t>
  </si>
  <si>
    <t>Pro Forma Sales Therms</t>
  </si>
  <si>
    <t>Current Procurement Charge</t>
  </si>
  <si>
    <t>Proposed Procurement Charge</t>
  </si>
  <si>
    <t>Percentage Change</t>
  </si>
  <si>
    <t>Puget Sound Energy</t>
  </si>
  <si>
    <t>2022 Gas General Rate Case Filing</t>
  </si>
  <si>
    <t>Test Year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</si>
</sst>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_);[Red]\(&quot;$&quot;#,##0.0000\)"/>
    <numFmt numFmtId="166" formatCode="0.0%"/>
    <numFmt numFmtId="167" formatCode="&quot;$&quot;#,##0.00000_);[Red]\(&quot;$&quot;#,##0.00000\)"/>
    <numFmt numFmtId="168" formatCode="&quot;$&quot;#,##0.0000000_);[Red]\(&quot;$&quot;#,##0.0000000\)"/>
    <numFmt numFmtId="169" formatCode="&quot;$&quot;#,##0\ ;\(&quot;$&quot;#,##0\)"/>
    <numFmt numFmtId="170" formatCode="&quot;$&quot;#,##0.00\ ;\(&quot;$&quot;#,##0.00\)"/>
    <numFmt numFmtId="171" formatCode="0.000%"/>
    <numFmt numFmtId="172" formatCode="&quot;$&quot;#,##0.00000\ ;\(&quot;$&quot;#,##0.00000\)"/>
    <numFmt numFmtId="173" formatCode="&quot;$&quot;#,##0.00000000_);\(&quot;$&quot;#,##0.00000000\)"/>
    <numFmt numFmtId="174" formatCode="&quot;$&quot;#,##0.0000\ ;\(&quot;$&quot;#,##0.0000\)"/>
    <numFmt numFmtId="175" formatCode="_(* #,##0_);_(* \(#,##0\);_(* &quot;-&quot;??_);_(@_)"/>
    <numFmt numFmtId="176" formatCode="#,##0.0"/>
    <numFmt numFmtId="177" formatCode="_(&quot;$&quot;* #,##0.00000_);_(&quot;$&quot;* \(#,##0.00000\);_(&quot;$&quot;* &quot;-&quot;??_);_(@_)"/>
    <numFmt numFmtId="178" formatCode="&quot;$&quot;#,##0"/>
    <numFmt numFmtId="179" formatCode="&quot;$&quot;#,##0.000\ ;\(&quot;$&quot;#,##0.000\)"/>
    <numFmt numFmtId="180" formatCode="0.0000%"/>
    <numFmt numFmtId="181" formatCode="#,##0.00000"/>
    <numFmt numFmtId="182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37" fontId="4" fillId="0" borderId="0" xfId="0" applyNumberFormat="1" applyFont="1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/>
    <xf numFmtId="41" fontId="1" fillId="0" borderId="0" xfId="0" applyNumberFormat="1" applyFont="1"/>
    <xf numFmtId="164" fontId="1" fillId="0" borderId="0" xfId="0" applyNumberFormat="1" applyFont="1" applyFill="1" applyBorder="1"/>
    <xf numFmtId="0" fontId="0" fillId="0" borderId="0" xfId="0" applyAlignment="1">
      <alignment horizontal="left" indent="1"/>
    </xf>
    <xf numFmtId="0" fontId="1" fillId="0" borderId="2" xfId="0" applyFont="1" applyBorder="1" applyAlignment="1">
      <alignment horizontal="left"/>
    </xf>
    <xf numFmtId="164" fontId="0" fillId="0" borderId="2" xfId="0" applyNumberFormat="1" applyFont="1" applyBorder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2" fillId="0" borderId="0" xfId="0" applyFont="1"/>
    <xf numFmtId="164" fontId="0" fillId="0" borderId="0" xfId="0" applyNumberFormat="1"/>
    <xf numFmtId="0" fontId="3" fillId="0" borderId="2" xfId="0" applyFont="1" applyBorder="1"/>
    <xf numFmtId="164" fontId="0" fillId="0" borderId="2" xfId="0" applyNumberFormat="1" applyBorder="1"/>
    <xf numFmtId="10" fontId="0" fillId="0" borderId="0" xfId="0" applyNumberFormat="1" applyFont="1"/>
    <xf numFmtId="39" fontId="6" fillId="0" borderId="0" xfId="0" applyNumberFormat="1" applyFont="1" applyFill="1" applyBorder="1"/>
    <xf numFmtId="0" fontId="3" fillId="0" borderId="0" xfId="0" applyFont="1"/>
    <xf numFmtId="164" fontId="0" fillId="0" borderId="0" xfId="0" applyNumberFormat="1" applyFont="1" applyFill="1"/>
    <xf numFmtId="164" fontId="0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10" fontId="0" fillId="0" borderId="0" xfId="0" applyNumberFormat="1" applyFill="1"/>
    <xf numFmtId="0" fontId="7" fillId="0" borderId="0" xfId="0" applyFont="1" applyBorder="1"/>
    <xf numFmtId="10" fontId="7" fillId="0" borderId="0" xfId="0" applyNumberFormat="1" applyFont="1" applyFill="1" applyBorder="1"/>
    <xf numFmtId="41" fontId="7" fillId="0" borderId="0" xfId="0" applyNumberFormat="1" applyFont="1"/>
    <xf numFmtId="0" fontId="7" fillId="0" borderId="0" xfId="0" applyFont="1"/>
    <xf numFmtId="39" fontId="7" fillId="0" borderId="0" xfId="0" applyNumberFormat="1" applyFont="1" applyFill="1" applyBorder="1"/>
    <xf numFmtId="0" fontId="7" fillId="0" borderId="0" xfId="0" applyFont="1" applyAlignment="1">
      <alignment horizontal="center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7" fillId="0" borderId="0" xfId="0" applyFont="1" applyBorder="1" applyAlignment="1">
      <alignment horizontal="left" wrapText="1"/>
    </xf>
    <xf numFmtId="43" fontId="0" fillId="0" borderId="0" xfId="0" applyNumberFormat="1" applyFont="1" applyFill="1" applyBorder="1"/>
    <xf numFmtId="43" fontId="0" fillId="0" borderId="0" xfId="0" applyNumberFormat="1" applyFont="1" applyBorder="1"/>
    <xf numFmtId="39" fontId="6" fillId="0" borderId="0" xfId="0" applyNumberFormat="1" applyFont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0" fontId="8" fillId="0" borderId="0" xfId="0" quotePrefix="1" applyFont="1" applyFill="1" applyBorder="1" applyAlignment="1">
      <alignment horizontal="center" wrapText="1"/>
    </xf>
    <xf numFmtId="0" fontId="0" fillId="0" borderId="0" xfId="0" applyFont="1" applyAlignment="1">
      <alignment horizontal="left" indent="1"/>
    </xf>
    <xf numFmtId="164" fontId="0" fillId="0" borderId="0" xfId="0" applyNumberFormat="1" applyFont="1" applyFill="1" applyBorder="1"/>
    <xf numFmtId="0" fontId="1" fillId="0" borderId="0" xfId="0" applyFont="1" applyAlignment="1">
      <alignment horizontal="left" indent="1"/>
    </xf>
    <xf numFmtId="164" fontId="0" fillId="0" borderId="0" xfId="0" applyNumberFormat="1" applyFill="1"/>
    <xf numFmtId="0" fontId="8" fillId="0" borderId="0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quotePrefix="1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13" xfId="0" applyNumberFormat="1" applyFont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65" fontId="5" fillId="0" borderId="13" xfId="0" quotePrefix="1" applyNumberFormat="1" applyFont="1" applyBorder="1" applyAlignment="1">
      <alignment horizontal="right" vertical="center"/>
    </xf>
    <xf numFmtId="165" fontId="5" fillId="0" borderId="0" xfId="0" quotePrefix="1" applyNumberFormat="1" applyFont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7" fontId="5" fillId="0" borderId="13" xfId="0" quotePrefix="1" applyNumberFormat="1" applyFont="1" applyBorder="1" applyAlignment="1">
      <alignment horizontal="right" vertical="center"/>
    </xf>
    <xf numFmtId="167" fontId="5" fillId="0" borderId="0" xfId="0" quotePrefix="1" applyNumberFormat="1" applyFont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center" vertical="center"/>
    </xf>
    <xf numFmtId="8" fontId="5" fillId="0" borderId="13" xfId="0" quotePrefix="1" applyNumberFormat="1" applyFont="1" applyBorder="1" applyAlignment="1">
      <alignment vertical="center"/>
    </xf>
    <xf numFmtId="8" fontId="5" fillId="0" borderId="0" xfId="0" quotePrefix="1" applyNumberFormat="1" applyFont="1" applyBorder="1" applyAlignment="1">
      <alignment vertical="center"/>
    </xf>
    <xf numFmtId="8" fontId="5" fillId="0" borderId="13" xfId="0" quotePrefix="1" applyNumberFormat="1" applyFont="1" applyBorder="1" applyAlignment="1">
      <alignment horizontal="right" vertical="center"/>
    </xf>
    <xf numFmtId="8" fontId="5" fillId="0" borderId="0" xfId="0" quotePrefix="1" applyNumberFormat="1" applyFont="1" applyBorder="1" applyAlignment="1">
      <alignment horizontal="right" vertical="center"/>
    </xf>
    <xf numFmtId="167" fontId="5" fillId="0" borderId="13" xfId="0" quotePrefix="1" applyNumberFormat="1" applyFont="1" applyBorder="1" applyAlignment="1">
      <alignment horizontal="center" vertical="center"/>
    </xf>
    <xf numFmtId="167" fontId="5" fillId="0" borderId="0" xfId="0" quotePrefix="1" applyNumberFormat="1" applyFont="1" applyBorder="1" applyAlignment="1">
      <alignment horizontal="center" vertical="center"/>
    </xf>
    <xf numFmtId="168" fontId="5" fillId="0" borderId="14" xfId="0" quotePrefix="1" applyNumberFormat="1" applyFont="1" applyBorder="1" applyAlignment="1">
      <alignment horizontal="center" vertical="center"/>
    </xf>
    <xf numFmtId="166" fontId="5" fillId="0" borderId="0" xfId="0" quotePrefix="1" applyNumberFormat="1" applyFont="1" applyFill="1" applyBorder="1" applyAlignment="1">
      <alignment horizontal="center" vertical="center"/>
    </xf>
    <xf numFmtId="167" fontId="5" fillId="0" borderId="14" xfId="0" quotePrefix="1" applyNumberFormat="1" applyFont="1" applyBorder="1" applyAlignment="1">
      <alignment horizontal="right" vertical="center"/>
    </xf>
    <xf numFmtId="8" fontId="5" fillId="0" borderId="14" xfId="0" quotePrefix="1" applyNumberFormat="1" applyFont="1" applyBorder="1" applyAlignment="1">
      <alignment horizontal="right" vertical="center"/>
    </xf>
    <xf numFmtId="167" fontId="5" fillId="0" borderId="13" xfId="0" quotePrefix="1" applyNumberFormat="1" applyFont="1" applyFill="1" applyBorder="1" applyAlignment="1">
      <alignment horizontal="right" vertical="center"/>
    </xf>
    <xf numFmtId="167" fontId="5" fillId="0" borderId="0" xfId="0" quotePrefix="1" applyNumberFormat="1" applyFont="1" applyFill="1" applyBorder="1" applyAlignment="1">
      <alignment horizontal="right" vertical="center"/>
    </xf>
    <xf numFmtId="0" fontId="5" fillId="0" borderId="14" xfId="0" applyFont="1" applyBorder="1" applyAlignment="1"/>
    <xf numFmtId="8" fontId="5" fillId="0" borderId="13" xfId="0" quotePrefix="1" applyNumberFormat="1" applyFont="1" applyBorder="1" applyAlignment="1">
      <alignment vertical="center"/>
    </xf>
    <xf numFmtId="8" fontId="5" fillId="0" borderId="0" xfId="0" quotePrefix="1" applyNumberFormat="1" applyFont="1" applyBorder="1" applyAlignment="1">
      <alignment vertical="center"/>
    </xf>
    <xf numFmtId="166" fontId="5" fillId="0" borderId="14" xfId="0" quotePrefix="1" applyNumberFormat="1" applyFont="1" applyFill="1" applyBorder="1" applyAlignment="1">
      <alignment horizontal="center" vertical="center"/>
    </xf>
    <xf numFmtId="8" fontId="5" fillId="0" borderId="13" xfId="0" quotePrefix="1" applyNumberFormat="1" applyFont="1" applyBorder="1" applyAlignment="1">
      <alignment horizontal="center" vertical="center"/>
    </xf>
    <xf numFmtId="8" fontId="5" fillId="0" borderId="0" xfId="0" quotePrefix="1" applyNumberFormat="1" applyFont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horizontal="right" vertical="center"/>
    </xf>
    <xf numFmtId="167" fontId="5" fillId="0" borderId="0" xfId="0" quotePrefix="1" applyNumberFormat="1" applyFont="1" applyBorder="1" applyAlignment="1">
      <alignment horizontal="right" vertical="center"/>
    </xf>
    <xf numFmtId="166" fontId="5" fillId="0" borderId="0" xfId="0" quotePrefix="1" applyNumberFormat="1" applyFont="1" applyFill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vertical="center"/>
    </xf>
    <xf numFmtId="167" fontId="5" fillId="0" borderId="0" xfId="0" quotePrefix="1" applyNumberFormat="1" applyFont="1" applyBorder="1" applyAlignment="1">
      <alignment vertical="center"/>
    </xf>
    <xf numFmtId="167" fontId="5" fillId="0" borderId="14" xfId="0" quotePrefix="1" applyNumberFormat="1" applyFont="1" applyBorder="1" applyAlignment="1">
      <alignment vertical="center"/>
    </xf>
    <xf numFmtId="8" fontId="5" fillId="0" borderId="13" xfId="0" quotePrefix="1" applyNumberFormat="1" applyFont="1" applyBorder="1" applyAlignment="1">
      <alignment horizontal="center" vertical="center"/>
    </xf>
    <xf numFmtId="8" fontId="5" fillId="0" borderId="0" xfId="0" quotePrefix="1" applyNumberFormat="1" applyFont="1" applyBorder="1" applyAlignment="1">
      <alignment horizontal="center" vertical="center"/>
    </xf>
    <xf numFmtId="8" fontId="5" fillId="0" borderId="14" xfId="0" quotePrefix="1" applyNumberFormat="1" applyFont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horizontal="center" vertical="center"/>
    </xf>
    <xf numFmtId="167" fontId="5" fillId="0" borderId="0" xfId="0" quotePrefix="1" applyNumberFormat="1" applyFont="1" applyBorder="1" applyAlignment="1">
      <alignment horizontal="center" vertical="center"/>
    </xf>
    <xf numFmtId="165" fontId="5" fillId="0" borderId="13" xfId="0" quotePrefix="1" applyNumberFormat="1" applyFont="1" applyFill="1" applyBorder="1" applyAlignment="1">
      <alignment horizontal="center" vertical="center"/>
    </xf>
    <xf numFmtId="165" fontId="5" fillId="0" borderId="0" xfId="0" quotePrefix="1" applyNumberFormat="1" applyFont="1" applyFill="1" applyBorder="1" applyAlignment="1">
      <alignment horizontal="center" vertical="center"/>
    </xf>
    <xf numFmtId="165" fontId="5" fillId="0" borderId="13" xfId="0" quotePrefix="1" applyNumberFormat="1" applyFont="1" applyFill="1" applyBorder="1" applyAlignment="1">
      <alignment horizontal="right" vertical="center"/>
    </xf>
    <xf numFmtId="165" fontId="5" fillId="0" borderId="0" xfId="0" quotePrefix="1" applyNumberFormat="1" applyFont="1" applyFill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center" vertical="center" wrapText="1"/>
    </xf>
    <xf numFmtId="166" fontId="5" fillId="0" borderId="0" xfId="0" quotePrefix="1" applyNumberFormat="1" applyFont="1" applyFill="1" applyBorder="1" applyAlignment="1">
      <alignment horizontal="center" vertical="center" wrapText="1"/>
    </xf>
    <xf numFmtId="8" fontId="5" fillId="0" borderId="13" xfId="0" quotePrefix="1" applyNumberFormat="1" applyFont="1" applyBorder="1" applyAlignment="1">
      <alignment vertical="center" wrapText="1"/>
    </xf>
    <xf numFmtId="8" fontId="5" fillId="0" borderId="0" xfId="0" quotePrefix="1" applyNumberFormat="1" applyFont="1" applyBorder="1" applyAlignment="1">
      <alignment vertical="center" wrapText="1"/>
    </xf>
    <xf numFmtId="167" fontId="5" fillId="0" borderId="13" xfId="0" quotePrefix="1" applyNumberFormat="1" applyFont="1" applyBorder="1" applyAlignment="1">
      <alignment horizontal="right" vertical="center" wrapText="1"/>
    </xf>
    <xf numFmtId="167" fontId="5" fillId="0" borderId="0" xfId="0" quotePrefix="1" applyNumberFormat="1" applyFont="1" applyBorder="1" applyAlignment="1">
      <alignment horizontal="right" vertical="center" wrapText="1"/>
    </xf>
    <xf numFmtId="8" fontId="5" fillId="0" borderId="13" xfId="0" quotePrefix="1" applyNumberFormat="1" applyFont="1" applyBorder="1" applyAlignment="1">
      <alignment horizontal="center" vertical="center" wrapText="1"/>
    </xf>
    <xf numFmtId="8" fontId="5" fillId="0" borderId="0" xfId="0" quotePrefix="1" applyNumberFormat="1" applyFont="1" applyBorder="1" applyAlignment="1">
      <alignment horizontal="center" vertical="center" wrapText="1"/>
    </xf>
    <xf numFmtId="167" fontId="5" fillId="0" borderId="13" xfId="0" quotePrefix="1" applyNumberFormat="1" applyFont="1" applyBorder="1" applyAlignment="1">
      <alignment horizontal="center" vertical="center" wrapText="1"/>
    </xf>
    <xf numFmtId="167" fontId="5" fillId="0" borderId="0" xfId="0" quotePrefix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/>
    <xf numFmtId="167" fontId="5" fillId="0" borderId="11" xfId="0" quotePrefix="1" applyNumberFormat="1" applyFont="1" applyBorder="1" applyAlignment="1">
      <alignment horizontal="right" vertical="center"/>
    </xf>
    <xf numFmtId="167" fontId="5" fillId="0" borderId="15" xfId="0" quotePrefix="1" applyNumberFormat="1" applyFont="1" applyBorder="1" applyAlignment="1">
      <alignment horizontal="right" vertical="center"/>
    </xf>
    <xf numFmtId="166" fontId="5" fillId="0" borderId="12" xfId="0" quotePrefix="1" applyNumberFormat="1" applyFont="1" applyFill="1" applyBorder="1" applyAlignment="1">
      <alignment horizontal="center" vertical="center"/>
    </xf>
    <xf numFmtId="8" fontId="5" fillId="0" borderId="11" xfId="0" quotePrefix="1" applyNumberFormat="1" applyFont="1" applyBorder="1" applyAlignment="1">
      <alignment vertical="center" wrapText="1"/>
    </xf>
    <xf numFmtId="8" fontId="5" fillId="0" borderId="15" xfId="0" quotePrefix="1" applyNumberFormat="1" applyFont="1" applyBorder="1" applyAlignment="1">
      <alignment vertical="center" wrapText="1"/>
    </xf>
    <xf numFmtId="166" fontId="5" fillId="0" borderId="12" xfId="0" quotePrefix="1" applyNumberFormat="1" applyFont="1" applyFill="1" applyBorder="1" applyAlignment="1">
      <alignment horizontal="center" vertical="center"/>
    </xf>
    <xf numFmtId="165" fontId="5" fillId="0" borderId="11" xfId="0" quotePrefix="1" applyNumberFormat="1" applyFont="1" applyFill="1" applyBorder="1" applyAlignment="1">
      <alignment horizontal="center" vertical="center"/>
    </xf>
    <xf numFmtId="165" fontId="5" fillId="0" borderId="15" xfId="0" quotePrefix="1" applyNumberFormat="1" applyFont="1" applyFill="1" applyBorder="1" applyAlignment="1">
      <alignment horizontal="center" vertical="center"/>
    </xf>
    <xf numFmtId="167" fontId="5" fillId="0" borderId="11" xfId="0" quotePrefix="1" applyNumberFormat="1" applyFont="1" applyBorder="1" applyAlignment="1">
      <alignment horizontal="center" vertical="center" wrapText="1"/>
    </xf>
    <xf numFmtId="167" fontId="5" fillId="0" borderId="15" xfId="0" quotePrefix="1" applyNumberFormat="1" applyFont="1" applyBorder="1" applyAlignment="1">
      <alignment horizontal="center" vertical="center" wrapText="1"/>
    </xf>
    <xf numFmtId="8" fontId="5" fillId="0" borderId="11" xfId="0" quotePrefix="1" applyNumberFormat="1" applyFont="1" applyBorder="1" applyAlignment="1">
      <alignment horizontal="center" vertical="center" wrapText="1"/>
    </xf>
    <xf numFmtId="8" fontId="5" fillId="0" borderId="15" xfId="0" quotePrefix="1" applyNumberFormat="1" applyFont="1" applyBorder="1" applyAlignment="1">
      <alignment horizontal="center" vertical="center" wrapText="1"/>
    </xf>
    <xf numFmtId="166" fontId="5" fillId="0" borderId="15" xfId="0" quotePrefix="1" applyNumberFormat="1" applyFont="1" applyFill="1" applyBorder="1" applyAlignment="1">
      <alignment horizontal="center" vertical="center"/>
    </xf>
    <xf numFmtId="167" fontId="5" fillId="0" borderId="11" xfId="0" quotePrefix="1" applyNumberFormat="1" applyFont="1" applyBorder="1" applyAlignment="1">
      <alignment vertical="center"/>
    </xf>
    <xf numFmtId="167" fontId="5" fillId="0" borderId="15" xfId="0" quotePrefix="1" applyNumberFormat="1" applyFont="1" applyBorder="1" applyAlignment="1">
      <alignment vertical="center"/>
    </xf>
    <xf numFmtId="167" fontId="5" fillId="0" borderId="12" xfId="0" quotePrefix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Fill="1"/>
    <xf numFmtId="0" fontId="5" fillId="0" borderId="0" xfId="0" applyFont="1" applyFill="1" applyBorder="1"/>
    <xf numFmtId="170" fontId="5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70" fontId="5" fillId="0" borderId="0" xfId="0" applyNumberFormat="1" applyFont="1" applyFill="1" applyAlignment="1">
      <alignment horizontal="centerContinuous"/>
    </xf>
    <xf numFmtId="170" fontId="5" fillId="0" borderId="0" xfId="0" applyNumberFormat="1" applyFont="1" applyFill="1"/>
    <xf numFmtId="0" fontId="9" fillId="0" borderId="20" xfId="0" applyFont="1" applyBorder="1"/>
    <xf numFmtId="0" fontId="9" fillId="0" borderId="23" xfId="0" applyFont="1" applyBorder="1"/>
    <xf numFmtId="0" fontId="10" fillId="0" borderId="0" xfId="0" applyFont="1" applyFill="1" applyAlignment="1">
      <alignment horizontal="centerContinuous"/>
    </xf>
    <xf numFmtId="0" fontId="11" fillId="0" borderId="0" xfId="0" applyFont="1" applyFill="1"/>
    <xf numFmtId="170" fontId="5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/>
    <xf numFmtId="0" fontId="11" fillId="0" borderId="0" xfId="0" applyFont="1" applyFill="1" applyBorder="1"/>
    <xf numFmtId="170" fontId="11" fillId="0" borderId="0" xfId="0" applyNumberFormat="1" applyFont="1" applyFill="1" applyBorder="1"/>
    <xf numFmtId="169" fontId="5" fillId="0" borderId="0" xfId="0" applyNumberFormat="1" applyFont="1" applyFill="1"/>
    <xf numFmtId="0" fontId="10" fillId="0" borderId="0" xfId="0" applyFont="1" applyFill="1"/>
    <xf numFmtId="175" fontId="11" fillId="0" borderId="0" xfId="0" applyNumberFormat="1" applyFont="1" applyFill="1" applyBorder="1"/>
    <xf numFmtId="170" fontId="11" fillId="0" borderId="0" xfId="0" applyNumberFormat="1" applyFont="1" applyFill="1"/>
    <xf numFmtId="164" fontId="11" fillId="0" borderId="0" xfId="0" applyNumberFormat="1" applyFont="1" applyFill="1" applyBorder="1"/>
    <xf numFmtId="175" fontId="11" fillId="0" borderId="2" xfId="0" applyNumberFormat="1" applyFont="1" applyFill="1" applyBorder="1"/>
    <xf numFmtId="164" fontId="11" fillId="0" borderId="2" xfId="0" applyNumberFormat="1" applyFont="1" applyFill="1" applyBorder="1"/>
    <xf numFmtId="175" fontId="11" fillId="0" borderId="0" xfId="0" applyNumberFormat="1" applyFont="1" applyFill="1"/>
    <xf numFmtId="164" fontId="11" fillId="0" borderId="0" xfId="0" applyNumberFormat="1" applyFont="1" applyFill="1"/>
    <xf numFmtId="164" fontId="10" fillId="0" borderId="0" xfId="0" applyNumberFormat="1" applyFont="1" applyFill="1"/>
    <xf numFmtId="164" fontId="12" fillId="0" borderId="0" xfId="0" applyNumberFormat="1" applyFont="1" applyFill="1"/>
    <xf numFmtId="164" fontId="13" fillId="0" borderId="0" xfId="0" applyNumberFormat="1" applyFont="1" applyFill="1"/>
    <xf numFmtId="164" fontId="13" fillId="0" borderId="0" xfId="0" applyNumberFormat="1" applyFont="1" applyFill="1" applyBorder="1"/>
    <xf numFmtId="0" fontId="2" fillId="0" borderId="0" xfId="0" applyFont="1" applyFill="1"/>
    <xf numFmtId="0" fontId="14" fillId="0" borderId="0" xfId="0" applyFont="1"/>
    <xf numFmtId="0" fontId="15" fillId="0" borderId="0" xfId="0" applyFont="1"/>
    <xf numFmtId="175" fontId="15" fillId="0" borderId="0" xfId="0" applyNumberFormat="1" applyFont="1"/>
    <xf numFmtId="175" fontId="15" fillId="0" borderId="0" xfId="0" applyNumberFormat="1" applyFont="1" applyAlignment="1"/>
    <xf numFmtId="0" fontId="14" fillId="0" borderId="0" xfId="0" applyFont="1" applyAlignment="1">
      <alignment horizontal="center"/>
    </xf>
    <xf numFmtId="0" fontId="16" fillId="0" borderId="15" xfId="0" quotePrefix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5" fillId="0" borderId="0" xfId="0" applyNumberFormat="1" applyFont="1" applyBorder="1"/>
    <xf numFmtId="164" fontId="14" fillId="0" borderId="0" xfId="0" applyNumberFormat="1" applyFont="1" applyBorder="1"/>
    <xf numFmtId="164" fontId="14" fillId="0" borderId="0" xfId="0" applyNumberFormat="1" applyFont="1" applyFill="1" applyBorder="1"/>
    <xf numFmtId="0" fontId="18" fillId="0" borderId="0" xfId="0" applyFont="1"/>
    <xf numFmtId="164" fontId="18" fillId="0" borderId="0" xfId="0" applyNumberFormat="1" applyFont="1"/>
    <xf numFmtId="175" fontId="18" fillId="0" borderId="0" xfId="0" applyNumberFormat="1" applyFont="1"/>
    <xf numFmtId="41" fontId="18" fillId="0" borderId="0" xfId="0" applyNumberFormat="1" applyFont="1"/>
    <xf numFmtId="164" fontId="18" fillId="0" borderId="0" xfId="0" applyNumberFormat="1" applyFont="1" applyFill="1"/>
    <xf numFmtId="164" fontId="18" fillId="0" borderId="0" xfId="0" applyNumberFormat="1" applyFont="1" applyBorder="1"/>
    <xf numFmtId="0" fontId="19" fillId="0" borderId="0" xfId="0" applyFont="1"/>
    <xf numFmtId="175" fontId="19" fillId="0" borderId="0" xfId="0" applyNumberFormat="1" applyFont="1"/>
    <xf numFmtId="0" fontId="18" fillId="0" borderId="0" xfId="0" applyFont="1" applyAlignment="1">
      <alignment horizontal="center"/>
    </xf>
    <xf numFmtId="37" fontId="1" fillId="0" borderId="0" xfId="0" applyNumberFormat="1" applyFont="1"/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41" fontId="5" fillId="0" borderId="15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41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42" fontId="5" fillId="0" borderId="0" xfId="0" applyNumberFormat="1" applyFont="1" applyAlignment="1"/>
    <xf numFmtId="177" fontId="0" fillId="0" borderId="0" xfId="0" applyNumberFormat="1" applyFont="1" applyFill="1"/>
    <xf numFmtId="182" fontId="0" fillId="0" borderId="0" xfId="0" applyNumberFormat="1" applyFont="1" applyFill="1"/>
    <xf numFmtId="177" fontId="5" fillId="0" borderId="0" xfId="0" applyNumberFormat="1" applyFont="1" applyAlignment="1"/>
    <xf numFmtId="175" fontId="5" fillId="0" borderId="0" xfId="0" applyNumberFormat="1" applyFont="1" applyAlignment="1"/>
    <xf numFmtId="41" fontId="5" fillId="0" borderId="0" xfId="0" applyNumberFormat="1" applyFont="1" applyAlignment="1"/>
    <xf numFmtId="9" fontId="5" fillId="0" borderId="0" xfId="0" applyNumberFormat="1" applyFont="1" applyAlignment="1"/>
    <xf numFmtId="10" fontId="5" fillId="0" borderId="0" xfId="0" applyNumberFormat="1" applyFont="1" applyAlignment="1"/>
    <xf numFmtId="0" fontId="20" fillId="0" borderId="0" xfId="0" applyFont="1" applyAlignment="1"/>
    <xf numFmtId="169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20" fillId="0" borderId="0" xfId="0" applyFont="1"/>
    <xf numFmtId="0" fontId="9" fillId="0" borderId="0" xfId="0" applyFont="1" applyFill="1"/>
    <xf numFmtId="3" fontId="9" fillId="0" borderId="0" xfId="0" applyNumberFormat="1" applyFont="1" applyBorder="1"/>
    <xf numFmtId="170" fontId="9" fillId="0" borderId="0" xfId="0" applyNumberFormat="1" applyFont="1"/>
    <xf numFmtId="170" fontId="9" fillId="0" borderId="0" xfId="0" applyNumberFormat="1" applyFont="1" applyBorder="1"/>
    <xf numFmtId="169" fontId="9" fillId="0" borderId="0" xfId="0" applyNumberFormat="1" applyFont="1" applyAlignment="1">
      <alignment horizontal="right"/>
    </xf>
    <xf numFmtId="0" fontId="9" fillId="0" borderId="0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Continuous"/>
    </xf>
    <xf numFmtId="170" fontId="9" fillId="0" borderId="8" xfId="0" applyNumberFormat="1" applyFont="1" applyBorder="1" applyAlignment="1">
      <alignment horizontal="centerContinuous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centerContinuous"/>
    </xf>
    <xf numFmtId="170" fontId="9" fillId="0" borderId="2" xfId="0" applyNumberFormat="1" applyFont="1" applyBorder="1" applyAlignment="1">
      <alignment horizontal="left"/>
    </xf>
    <xf numFmtId="170" fontId="9" fillId="0" borderId="9" xfId="0" applyNumberFormat="1" applyFont="1" applyBorder="1" applyAlignment="1">
      <alignment horizontal="centerContinuous"/>
    </xf>
    <xf numFmtId="170" fontId="9" fillId="0" borderId="0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70" fontId="9" fillId="0" borderId="15" xfId="0" applyNumberFormat="1" applyFont="1" applyBorder="1" applyAlignment="1">
      <alignment horizontal="center"/>
    </xf>
    <xf numFmtId="171" fontId="9" fillId="0" borderId="12" xfId="0" applyNumberFormat="1" applyFont="1" applyBorder="1" applyAlignment="1">
      <alignment horizontal="center"/>
    </xf>
    <xf numFmtId="171" fontId="9" fillId="0" borderId="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Fill="1" applyBorder="1"/>
    <xf numFmtId="169" fontId="9" fillId="0" borderId="0" xfId="0" applyNumberFormat="1" applyFont="1" applyBorder="1" applyAlignment="1">
      <alignment horizontal="right"/>
    </xf>
    <xf numFmtId="0" fontId="20" fillId="0" borderId="7" xfId="0" applyFont="1" applyBorder="1" applyProtection="1">
      <protection locked="0"/>
    </xf>
    <xf numFmtId="0" fontId="20" fillId="0" borderId="8" xfId="0" applyFont="1" applyBorder="1" applyProtection="1">
      <protection locked="0"/>
    </xf>
    <xf numFmtId="0" fontId="9" fillId="0" borderId="8" xfId="0" applyFont="1" applyFill="1" applyBorder="1"/>
    <xf numFmtId="0" fontId="9" fillId="0" borderId="8" xfId="0" applyFont="1" applyBorder="1"/>
    <xf numFmtId="3" fontId="9" fillId="0" borderId="8" xfId="0" applyNumberFormat="1" applyFont="1" applyBorder="1"/>
    <xf numFmtId="169" fontId="9" fillId="0" borderId="8" xfId="0" applyNumberFormat="1" applyFont="1" applyBorder="1"/>
    <xf numFmtId="166" fontId="9" fillId="0" borderId="9" xfId="0" applyNumberFormat="1" applyFont="1" applyBorder="1" applyAlignment="1">
      <alignment horizontal="right"/>
    </xf>
    <xf numFmtId="0" fontId="9" fillId="0" borderId="13" xfId="0" applyFont="1" applyBorder="1"/>
    <xf numFmtId="3" fontId="9" fillId="0" borderId="0" xfId="0" applyNumberFormat="1" applyFont="1" applyBorder="1" applyProtection="1">
      <protection locked="0"/>
    </xf>
    <xf numFmtId="169" fontId="9" fillId="0" borderId="0" xfId="0" applyNumberFormat="1" applyFont="1" applyBorder="1"/>
    <xf numFmtId="166" fontId="9" fillId="0" borderId="14" xfId="0" applyNumberFormat="1" applyFont="1" applyBorder="1" applyAlignment="1">
      <alignment horizontal="right"/>
    </xf>
    <xf numFmtId="0" fontId="9" fillId="0" borderId="13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3" fontId="9" fillId="0" borderId="0" xfId="0" applyNumberFormat="1" applyFont="1" applyFill="1" applyBorder="1"/>
    <xf numFmtId="170" fontId="9" fillId="0" borderId="0" xfId="0" applyNumberFormat="1" applyFont="1" applyFill="1" applyBorder="1"/>
    <xf numFmtId="166" fontId="9" fillId="0" borderId="14" xfId="0" applyNumberFormat="1" applyFont="1" applyBorder="1"/>
    <xf numFmtId="169" fontId="9" fillId="0" borderId="16" xfId="0" applyNumberFormat="1" applyFont="1" applyFill="1" applyBorder="1" applyAlignment="1">
      <alignment horizontal="center"/>
    </xf>
    <xf numFmtId="172" fontId="9" fillId="0" borderId="0" xfId="0" applyNumberFormat="1" applyFont="1" applyFill="1" applyBorder="1"/>
    <xf numFmtId="169" fontId="9" fillId="0" borderId="16" xfId="0" applyNumberFormat="1" applyFont="1" applyBorder="1" applyAlignment="1">
      <alignment horizontal="center"/>
    </xf>
    <xf numFmtId="0" fontId="20" fillId="0" borderId="13" xfId="0" applyFont="1" applyBorder="1"/>
    <xf numFmtId="0" fontId="9" fillId="0" borderId="0" xfId="0" applyFont="1" applyBorder="1" applyProtection="1">
      <protection locked="0"/>
    </xf>
    <xf numFmtId="169" fontId="9" fillId="0" borderId="2" xfId="0" applyNumberFormat="1" applyFont="1" applyBorder="1"/>
    <xf numFmtId="166" fontId="9" fillId="0" borderId="5" xfId="0" applyNumberFormat="1" applyFont="1" applyBorder="1"/>
    <xf numFmtId="169" fontId="9" fillId="0" borderId="10" xfId="0" applyNumberFormat="1" applyFont="1" applyBorder="1" applyAlignment="1">
      <alignment horizontal="center"/>
    </xf>
    <xf numFmtId="0" fontId="20" fillId="0" borderId="0" xfId="0" applyFont="1" applyBorder="1"/>
    <xf numFmtId="169" fontId="20" fillId="0" borderId="0" xfId="0" applyNumberFormat="1" applyFont="1" applyBorder="1"/>
    <xf numFmtId="171" fontId="9" fillId="0" borderId="0" xfId="0" applyNumberFormat="1" applyFont="1" applyBorder="1"/>
    <xf numFmtId="0" fontId="9" fillId="0" borderId="13" xfId="0" applyFont="1" applyBorder="1" applyProtection="1">
      <protection locked="0"/>
    </xf>
    <xf numFmtId="166" fontId="9" fillId="0" borderId="0" xfId="0" applyNumberFormat="1" applyFont="1" applyBorder="1" applyAlignment="1">
      <alignment horizontal="center"/>
    </xf>
    <xf numFmtId="0" fontId="9" fillId="0" borderId="11" xfId="0" applyFont="1" applyFill="1" applyBorder="1"/>
    <xf numFmtId="0" fontId="9" fillId="0" borderId="15" xfId="0" applyFont="1" applyFill="1" applyBorder="1"/>
    <xf numFmtId="169" fontId="9" fillId="0" borderId="15" xfId="0" applyNumberFormat="1" applyFont="1" applyFill="1" applyBorder="1"/>
    <xf numFmtId="3" fontId="9" fillId="0" borderId="15" xfId="0" applyNumberFormat="1" applyFont="1" applyFill="1" applyBorder="1"/>
    <xf numFmtId="166" fontId="9" fillId="0" borderId="12" xfId="0" applyNumberFormat="1" applyFont="1" applyFill="1" applyBorder="1"/>
    <xf numFmtId="0" fontId="20" fillId="0" borderId="7" xfId="0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166" fontId="9" fillId="0" borderId="9" xfId="0" applyNumberFormat="1" applyFont="1" applyBorder="1"/>
    <xf numFmtId="0" fontId="9" fillId="0" borderId="13" xfId="0" applyFont="1" applyFill="1" applyBorder="1"/>
    <xf numFmtId="169" fontId="9" fillId="0" borderId="0" xfId="0" applyNumberFormat="1" applyFont="1" applyFill="1" applyBorder="1"/>
    <xf numFmtId="3" fontId="9" fillId="0" borderId="0" xfId="0" applyNumberFormat="1" applyFont="1" applyFill="1" applyBorder="1" applyProtection="1">
      <protection locked="0"/>
    </xf>
    <xf numFmtId="166" fontId="9" fillId="0" borderId="14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Border="1" applyAlignment="1">
      <alignment horizontal="center"/>
    </xf>
    <xf numFmtId="0" fontId="20" fillId="0" borderId="13" xfId="0" applyFont="1" applyFill="1" applyBorder="1"/>
    <xf numFmtId="0" fontId="20" fillId="0" borderId="0" xfId="0" applyFont="1" applyFill="1" applyBorder="1"/>
    <xf numFmtId="169" fontId="20" fillId="0" borderId="0" xfId="0" applyNumberFormat="1" applyFont="1" applyFill="1" applyBorder="1"/>
    <xf numFmtId="173" fontId="9" fillId="0" borderId="0" xfId="0" applyNumberFormat="1" applyFont="1" applyFill="1" applyBorder="1" applyAlignment="1">
      <alignment horizontal="center"/>
    </xf>
    <xf numFmtId="173" fontId="9" fillId="0" borderId="0" xfId="0" applyNumberFormat="1" applyFont="1" applyFill="1" applyAlignment="1">
      <alignment horizontal="center"/>
    </xf>
    <xf numFmtId="173" fontId="9" fillId="0" borderId="0" xfId="0" applyNumberFormat="1" applyFont="1" applyFill="1"/>
    <xf numFmtId="3" fontId="9" fillId="0" borderId="0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174" fontId="9" fillId="0" borderId="0" xfId="0" applyNumberFormat="1" applyFont="1" applyBorder="1" applyAlignment="1">
      <alignment horizontal="right"/>
    </xf>
    <xf numFmtId="0" fontId="20" fillId="0" borderId="11" xfId="0" applyFont="1" applyBorder="1"/>
    <xf numFmtId="0" fontId="20" fillId="0" borderId="15" xfId="0" applyFont="1" applyBorder="1"/>
    <xf numFmtId="169" fontId="20" fillId="0" borderId="15" xfId="0" applyNumberFormat="1" applyFont="1" applyBorder="1"/>
    <xf numFmtId="3" fontId="9" fillId="0" borderId="15" xfId="0" applyNumberFormat="1" applyFont="1" applyBorder="1"/>
    <xf numFmtId="0" fontId="9" fillId="0" borderId="15" xfId="0" applyFont="1" applyBorder="1"/>
    <xf numFmtId="170" fontId="9" fillId="0" borderId="15" xfId="0" applyNumberFormat="1" applyFont="1" applyBorder="1"/>
    <xf numFmtId="166" fontId="9" fillId="0" borderId="12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3" fontId="9" fillId="0" borderId="15" xfId="0" applyNumberFormat="1" applyFont="1" applyFill="1" applyBorder="1" applyAlignment="1">
      <alignment horizontal="center"/>
    </xf>
    <xf numFmtId="175" fontId="9" fillId="0" borderId="0" xfId="0" applyNumberFormat="1" applyFont="1"/>
    <xf numFmtId="169" fontId="9" fillId="0" borderId="0" xfId="0" applyNumberFormat="1" applyFont="1"/>
    <xf numFmtId="166" fontId="9" fillId="0" borderId="0" xfId="0" applyNumberFormat="1" applyFont="1"/>
    <xf numFmtId="3" fontId="9" fillId="0" borderId="0" xfId="0" applyNumberFormat="1" applyFont="1" applyFill="1"/>
    <xf numFmtId="0" fontId="9" fillId="0" borderId="17" xfId="0" applyFont="1" applyBorder="1"/>
    <xf numFmtId="0" fontId="9" fillId="0" borderId="18" xfId="0" applyFont="1" applyBorder="1"/>
    <xf numFmtId="164" fontId="9" fillId="0" borderId="18" xfId="0" applyNumberFormat="1" applyFont="1" applyBorder="1"/>
    <xf numFmtId="0" fontId="9" fillId="0" borderId="18" xfId="0" applyFont="1" applyFill="1" applyBorder="1"/>
    <xf numFmtId="169" fontId="9" fillId="0" borderId="19" xfId="0" applyNumberFormat="1" applyFont="1" applyFill="1" applyBorder="1"/>
    <xf numFmtId="171" fontId="9" fillId="0" borderId="0" xfId="0" applyNumberFormat="1" applyFont="1" applyAlignment="1">
      <alignment horizontal="left"/>
    </xf>
    <xf numFmtId="171" fontId="9" fillId="0" borderId="0" xfId="0" applyNumberFormat="1" applyFont="1"/>
    <xf numFmtId="170" fontId="9" fillId="0" borderId="0" xfId="0" applyNumberFormat="1" applyFont="1" applyAlignment="1">
      <alignment horizontal="centerContinuous"/>
    </xf>
    <xf numFmtId="3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166" fontId="9" fillId="0" borderId="0" xfId="0" applyNumberFormat="1" applyFont="1" applyAlignment="1">
      <alignment horizontal="centerContinuous"/>
    </xf>
    <xf numFmtId="171" fontId="9" fillId="0" borderId="0" xfId="0" applyNumberFormat="1" applyFont="1" applyAlignment="1">
      <alignment horizontal="centerContinuous"/>
    </xf>
    <xf numFmtId="171" fontId="9" fillId="0" borderId="0" xfId="0" applyNumberFormat="1" applyFont="1" applyBorder="1" applyAlignment="1">
      <alignment horizontal="centerContinuous"/>
    </xf>
    <xf numFmtId="0" fontId="9" fillId="0" borderId="0" xfId="0" applyFont="1" applyAlignment="1"/>
    <xf numFmtId="170" fontId="9" fillId="0" borderId="0" xfId="0" applyNumberFormat="1" applyFont="1" applyAlignment="1"/>
    <xf numFmtId="3" fontId="9" fillId="0" borderId="15" xfId="0" applyNumberFormat="1" applyFont="1" applyFill="1" applyBorder="1" applyAlignment="1"/>
    <xf numFmtId="0" fontId="9" fillId="0" borderId="0" xfId="0" applyFont="1" applyFill="1" applyAlignment="1"/>
    <xf numFmtId="166" fontId="9" fillId="0" borderId="0" xfId="0" applyNumberFormat="1" applyFont="1" applyAlignment="1"/>
    <xf numFmtId="0" fontId="9" fillId="0" borderId="0" xfId="0" applyFont="1" applyFill="1" applyBorder="1" applyAlignment="1">
      <alignment horizontal="center"/>
    </xf>
    <xf numFmtId="170" fontId="9" fillId="0" borderId="8" xfId="0" applyNumberFormat="1" applyFont="1" applyBorder="1" applyAlignment="1">
      <alignment horizontal="center"/>
    </xf>
    <xf numFmtId="170" fontId="9" fillId="0" borderId="9" xfId="0" applyNumberFormat="1" applyFont="1" applyBorder="1" applyAlignment="1">
      <alignment horizontal="center"/>
    </xf>
    <xf numFmtId="166" fontId="9" fillId="0" borderId="12" xfId="0" applyNumberFormat="1" applyFont="1" applyBorder="1" applyAlignment="1">
      <alignment horizontal="center"/>
    </xf>
    <xf numFmtId="171" fontId="9" fillId="0" borderId="0" xfId="0" applyNumberFormat="1" applyFont="1" applyBorder="1" applyAlignment="1">
      <alignment horizontal="left"/>
    </xf>
    <xf numFmtId="170" fontId="9" fillId="0" borderId="0" xfId="0" applyNumberFormat="1" applyFont="1" applyBorder="1" applyAlignment="1">
      <alignment horizontal="center"/>
    </xf>
    <xf numFmtId="0" fontId="9" fillId="0" borderId="8" xfId="0" applyFont="1" applyBorder="1" applyProtection="1">
      <protection locked="0"/>
    </xf>
    <xf numFmtId="3" fontId="9" fillId="0" borderId="8" xfId="0" applyNumberFormat="1" applyFont="1" applyFill="1" applyBorder="1"/>
    <xf numFmtId="166" fontId="9" fillId="0" borderId="0" xfId="0" applyNumberFormat="1" applyFont="1" applyBorder="1" applyAlignment="1">
      <alignment horizontal="left"/>
    </xf>
    <xf numFmtId="170" fontId="9" fillId="0" borderId="0" xfId="0" applyNumberFormat="1" applyFont="1" applyBorder="1" applyAlignment="1">
      <alignment horizontal="right"/>
    </xf>
    <xf numFmtId="169" fontId="9" fillId="0" borderId="10" xfId="0" applyNumberFormat="1" applyFont="1" applyFill="1" applyBorder="1" applyAlignment="1">
      <alignment horizontal="center"/>
    </xf>
    <xf numFmtId="169" fontId="9" fillId="0" borderId="2" xfId="0" applyNumberFormat="1" applyFont="1" applyFill="1" applyBorder="1"/>
    <xf numFmtId="10" fontId="9" fillId="0" borderId="0" xfId="0" applyNumberFormat="1" applyFont="1" applyFill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76" fontId="9" fillId="0" borderId="0" xfId="0" applyNumberFormat="1" applyFont="1" applyFill="1" applyBorder="1"/>
    <xf numFmtId="9" fontId="9" fillId="0" borderId="0" xfId="0" applyNumberFormat="1" applyFont="1" applyFill="1" applyBorder="1"/>
    <xf numFmtId="0" fontId="9" fillId="0" borderId="11" xfId="0" applyFont="1" applyBorder="1"/>
    <xf numFmtId="0" fontId="9" fillId="0" borderId="15" xfId="0" applyFont="1" applyBorder="1" applyProtection="1">
      <protection locked="0"/>
    </xf>
    <xf numFmtId="170" fontId="9" fillId="0" borderId="15" xfId="0" applyNumberFormat="1" applyFont="1" applyFill="1" applyBorder="1" applyAlignment="1">
      <alignment horizontal="center"/>
    </xf>
    <xf numFmtId="169" fontId="9" fillId="0" borderId="15" xfId="0" applyNumberFormat="1" applyFont="1" applyFill="1" applyBorder="1" applyAlignment="1">
      <alignment horizontal="center"/>
    </xf>
    <xf numFmtId="9" fontId="9" fillId="0" borderId="15" xfId="0" applyNumberFormat="1" applyFont="1" applyFill="1" applyBorder="1"/>
    <xf numFmtId="169" fontId="9" fillId="0" borderId="15" xfId="0" applyNumberFormat="1" applyFont="1" applyBorder="1"/>
    <xf numFmtId="166" fontId="9" fillId="0" borderId="12" xfId="0" applyNumberFormat="1" applyFont="1" applyBorder="1"/>
    <xf numFmtId="166" fontId="9" fillId="0" borderId="0" xfId="0" applyNumberFormat="1" applyFont="1" applyBorder="1"/>
    <xf numFmtId="166" fontId="9" fillId="0" borderId="14" xfId="0" applyNumberFormat="1" applyFont="1" applyBorder="1" applyAlignment="1">
      <alignment horizontal="center"/>
    </xf>
    <xf numFmtId="3" fontId="9" fillId="0" borderId="2" xfId="0" applyNumberFormat="1" applyFont="1" applyFill="1" applyBorder="1"/>
    <xf numFmtId="166" fontId="9" fillId="0" borderId="14" xfId="0" applyNumberFormat="1" applyFont="1" applyFill="1" applyBorder="1"/>
    <xf numFmtId="166" fontId="9" fillId="0" borderId="0" xfId="0" applyNumberFormat="1" applyFont="1" applyFill="1" applyBorder="1" applyAlignment="1">
      <alignment horizontal="left"/>
    </xf>
    <xf numFmtId="171" fontId="9" fillId="0" borderId="0" xfId="0" applyNumberFormat="1" applyFont="1" applyFill="1" applyBorder="1"/>
    <xf numFmtId="177" fontId="9" fillId="0" borderId="0" xfId="0" applyNumberFormat="1" applyFont="1" applyBorder="1"/>
    <xf numFmtId="164" fontId="9" fillId="0" borderId="0" xfId="0" applyNumberFormat="1" applyFont="1" applyFill="1"/>
    <xf numFmtId="169" fontId="9" fillId="0" borderId="2" xfId="0" applyNumberFormat="1" applyFont="1" applyBorder="1" applyAlignment="1">
      <alignment horizontal="right"/>
    </xf>
    <xf numFmtId="172" fontId="9" fillId="0" borderId="0" xfId="0" applyNumberFormat="1" applyFont="1" applyFill="1" applyAlignment="1">
      <alignment horizontal="center"/>
    </xf>
    <xf numFmtId="170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Border="1"/>
    <xf numFmtId="8" fontId="9" fillId="0" borderId="0" xfId="0" applyNumberFormat="1" applyFont="1" applyBorder="1"/>
    <xf numFmtId="172" fontId="9" fillId="0" borderId="0" xfId="0" applyNumberFormat="1" applyFont="1" applyAlignment="1">
      <alignment horizontal="center"/>
    </xf>
    <xf numFmtId="169" fontId="9" fillId="0" borderId="15" xfId="0" applyNumberFormat="1" applyFont="1" applyBorder="1" applyAlignment="1">
      <alignment horizontal="center"/>
    </xf>
    <xf numFmtId="178" fontId="9" fillId="0" borderId="0" xfId="0" applyNumberFormat="1" applyFont="1"/>
    <xf numFmtId="178" fontId="9" fillId="0" borderId="0" xfId="0" applyNumberFormat="1" applyFont="1" applyFill="1"/>
    <xf numFmtId="178" fontId="9" fillId="0" borderId="0" xfId="0" applyNumberFormat="1" applyFont="1" applyBorder="1"/>
    <xf numFmtId="178" fontId="9" fillId="0" borderId="0" xfId="0" applyNumberFormat="1" applyFont="1" applyAlignment="1">
      <alignment horizontal="left"/>
    </xf>
    <xf numFmtId="3" fontId="9" fillId="0" borderId="0" xfId="0" applyNumberFormat="1" applyFont="1"/>
    <xf numFmtId="175" fontId="9" fillId="0" borderId="2" xfId="0" applyNumberFormat="1" applyFont="1" applyBorder="1"/>
    <xf numFmtId="178" fontId="9" fillId="0" borderId="2" xfId="0" applyNumberFormat="1" applyFont="1" applyBorder="1"/>
    <xf numFmtId="169" fontId="9" fillId="0" borderId="19" xfId="0" applyNumberFormat="1" applyFont="1" applyBorder="1"/>
    <xf numFmtId="172" fontId="9" fillId="0" borderId="0" xfId="0" applyNumberFormat="1" applyFont="1" applyAlignment="1">
      <alignment horizontal="centerContinuous"/>
    </xf>
    <xf numFmtId="3" fontId="9" fillId="0" borderId="0" xfId="0" applyNumberFormat="1" applyFont="1" applyFill="1" applyBorder="1" applyAlignment="1">
      <alignment horizontal="centerContinuous"/>
    </xf>
    <xf numFmtId="170" fontId="9" fillId="0" borderId="0" xfId="0" applyNumberFormat="1" applyFont="1" applyFill="1" applyAlignment="1">
      <alignment horizontal="centerContinuous"/>
    </xf>
    <xf numFmtId="0" fontId="9" fillId="0" borderId="0" xfId="0" applyFont="1" applyBorder="1" applyAlignment="1">
      <alignment horizontal="left"/>
    </xf>
    <xf numFmtId="172" fontId="9" fillId="0" borderId="0" xfId="0" applyNumberFormat="1" applyFont="1" applyBorder="1"/>
    <xf numFmtId="171" fontId="9" fillId="0" borderId="0" xfId="0" applyNumberFormat="1" applyFont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172" fontId="9" fillId="0" borderId="15" xfId="0" applyNumberFormat="1" applyFont="1" applyBorder="1" applyAlignment="1">
      <alignment horizontal="center"/>
    </xf>
    <xf numFmtId="171" fontId="9" fillId="0" borderId="14" xfId="0" applyNumberFormat="1" applyFont="1" applyBorder="1" applyAlignment="1">
      <alignment horizontal="right"/>
    </xf>
    <xf numFmtId="172" fontId="9" fillId="0" borderId="8" xfId="0" applyNumberFormat="1" applyFont="1" applyBorder="1"/>
    <xf numFmtId="3" fontId="9" fillId="0" borderId="8" xfId="0" applyNumberFormat="1" applyFont="1" applyFill="1" applyBorder="1" applyProtection="1">
      <protection locked="0"/>
    </xf>
    <xf numFmtId="170" fontId="9" fillId="0" borderId="8" xfId="0" applyNumberFormat="1" applyFont="1" applyFill="1" applyBorder="1"/>
    <xf numFmtId="170" fontId="9" fillId="0" borderId="8" xfId="0" applyNumberFormat="1" applyFont="1" applyBorder="1" applyAlignment="1">
      <alignment horizontal="right"/>
    </xf>
    <xf numFmtId="10" fontId="9" fillId="0" borderId="0" xfId="0" applyNumberFormat="1" applyFont="1" applyBorder="1" applyAlignment="1">
      <alignment horizontal="center"/>
    </xf>
    <xf numFmtId="7" fontId="9" fillId="0" borderId="0" xfId="0" applyNumberFormat="1" applyFont="1"/>
    <xf numFmtId="169" fontId="9" fillId="0" borderId="2" xfId="0" applyNumberFormat="1" applyFont="1" applyFill="1" applyBorder="1" applyAlignment="1">
      <alignment horizontal="right"/>
    </xf>
    <xf numFmtId="166" fontId="9" fillId="0" borderId="5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17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2" fontId="9" fillId="0" borderId="15" xfId="0" applyNumberFormat="1" applyFont="1" applyBorder="1"/>
    <xf numFmtId="170" fontId="9" fillId="0" borderId="15" xfId="0" applyNumberFormat="1" applyFont="1" applyFill="1" applyBorder="1"/>
    <xf numFmtId="170" fontId="9" fillId="0" borderId="15" xfId="0" applyNumberFormat="1" applyFont="1" applyBorder="1" applyAlignment="1">
      <alignment horizontal="right"/>
    </xf>
    <xf numFmtId="170" fontId="9" fillId="0" borderId="0" xfId="0" applyNumberFormat="1" applyFont="1" applyFill="1" applyBorder="1" applyAlignment="1">
      <alignment horizontal="right"/>
    </xf>
    <xf numFmtId="169" fontId="9" fillId="0" borderId="8" xfId="0" applyNumberFormat="1" applyFont="1" applyFill="1" applyBorder="1"/>
    <xf numFmtId="170" fontId="9" fillId="0" borderId="8" xfId="0" applyNumberFormat="1" applyFont="1" applyFill="1" applyBorder="1" applyAlignment="1">
      <alignment horizontal="right"/>
    </xf>
    <xf numFmtId="0" fontId="20" fillId="0" borderId="0" xfId="0" applyFon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169" fontId="9" fillId="0" borderId="15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left"/>
    </xf>
    <xf numFmtId="172" fontId="9" fillId="0" borderId="15" xfId="0" applyNumberFormat="1" applyFont="1" applyFill="1" applyBorder="1"/>
    <xf numFmtId="170" fontId="9" fillId="0" borderId="15" xfId="0" applyNumberFormat="1" applyFont="1" applyFill="1" applyBorder="1" applyAlignment="1">
      <alignment horizontal="right"/>
    </xf>
    <xf numFmtId="169" fontId="9" fillId="0" borderId="8" xfId="0" applyNumberFormat="1" applyFont="1" applyFill="1" applyBorder="1" applyAlignment="1">
      <alignment horizontal="right"/>
    </xf>
    <xf numFmtId="172" fontId="9" fillId="0" borderId="0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172" fontId="9" fillId="0" borderId="15" xfId="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center"/>
    </xf>
    <xf numFmtId="179" fontId="9" fillId="0" borderId="0" xfId="0" applyNumberFormat="1" applyFont="1" applyFill="1" applyBorder="1" applyAlignment="1">
      <alignment horizontal="center"/>
    </xf>
    <xf numFmtId="180" fontId="9" fillId="0" borderId="0" xfId="0" applyNumberFormat="1" applyFont="1" applyFill="1" applyBorder="1"/>
    <xf numFmtId="0" fontId="9" fillId="0" borderId="8" xfId="0" applyFont="1" applyFill="1" applyBorder="1" applyProtection="1">
      <protection locked="0"/>
    </xf>
    <xf numFmtId="164" fontId="9" fillId="0" borderId="8" xfId="0" applyNumberFormat="1" applyFont="1" applyFill="1" applyBorder="1"/>
    <xf numFmtId="166" fontId="9" fillId="0" borderId="9" xfId="0" applyNumberFormat="1" applyFont="1" applyFill="1" applyBorder="1" applyAlignment="1">
      <alignment horizontal="right"/>
    </xf>
    <xf numFmtId="166" fontId="9" fillId="0" borderId="14" xfId="0" applyNumberFormat="1" applyFont="1" applyFill="1" applyBorder="1" applyAlignment="1">
      <alignment horizontal="center"/>
    </xf>
    <xf numFmtId="5" fontId="9" fillId="0" borderId="0" xfId="0" applyNumberFormat="1" applyFont="1" applyFill="1" applyBorder="1"/>
    <xf numFmtId="5" fontId="9" fillId="0" borderId="0" xfId="0" applyNumberFormat="1" applyFont="1" applyBorder="1"/>
    <xf numFmtId="5" fontId="9" fillId="0" borderId="2" xfId="0" applyNumberFormat="1" applyFont="1" applyFill="1" applyBorder="1"/>
    <xf numFmtId="5" fontId="9" fillId="0" borderId="2" xfId="0" applyNumberFormat="1" applyFont="1" applyBorder="1"/>
    <xf numFmtId="5" fontId="9" fillId="0" borderId="0" xfId="0" applyNumberFormat="1" applyFont="1" applyFill="1"/>
    <xf numFmtId="5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/>
    <xf numFmtId="41" fontId="9" fillId="0" borderId="0" xfId="0" applyNumberFormat="1" applyFont="1" applyFill="1"/>
    <xf numFmtId="170" fontId="9" fillId="0" borderId="0" xfId="0" applyNumberFormat="1" applyFont="1" applyFill="1"/>
    <xf numFmtId="42" fontId="9" fillId="0" borderId="0" xfId="0" applyNumberFormat="1" applyFont="1"/>
    <xf numFmtId="172" fontId="9" fillId="0" borderId="0" xfId="0" applyNumberFormat="1" applyFont="1"/>
    <xf numFmtId="0" fontId="9" fillId="0" borderId="21" xfId="0" applyFont="1" applyBorder="1"/>
    <xf numFmtId="164" fontId="9" fillId="0" borderId="21" xfId="0" applyNumberFormat="1" applyFont="1" applyFill="1" applyBorder="1"/>
    <xf numFmtId="169" fontId="9" fillId="0" borderId="22" xfId="0" applyNumberFormat="1" applyFont="1" applyBorder="1"/>
    <xf numFmtId="0" fontId="9" fillId="0" borderId="24" xfId="0" applyFont="1" applyBorder="1"/>
    <xf numFmtId="164" fontId="9" fillId="0" borderId="24" xfId="0" applyNumberFormat="1" applyFont="1" applyFill="1" applyBorder="1"/>
    <xf numFmtId="169" fontId="9" fillId="0" borderId="25" xfId="0" applyNumberFormat="1" applyFont="1" applyBorder="1"/>
    <xf numFmtId="171" fontId="9" fillId="0" borderId="0" xfId="0" applyNumberFormat="1" applyFont="1" applyAlignment="1">
      <alignment horizontal="righ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/>
    <xf numFmtId="0" fontId="20" fillId="0" borderId="2" xfId="0" applyFont="1" applyFill="1" applyBorder="1" applyAlignment="1">
      <alignment horizontal="center"/>
    </xf>
    <xf numFmtId="170" fontId="20" fillId="0" borderId="2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170" fontId="20" fillId="0" borderId="15" xfId="0" applyNumberFormat="1" applyFont="1" applyFill="1" applyBorder="1" applyAlignment="1">
      <alignment horizontal="center" wrapText="1"/>
    </xf>
    <xf numFmtId="170" fontId="20" fillId="0" borderId="15" xfId="0" applyNumberFormat="1" applyFont="1" applyFill="1" applyBorder="1" applyAlignment="1">
      <alignment horizontal="center" vertical="center" wrapText="1"/>
    </xf>
    <xf numFmtId="170" fontId="20" fillId="0" borderId="15" xfId="0" applyNumberFormat="1" applyFont="1" applyFill="1" applyBorder="1" applyAlignment="1">
      <alignment horizontal="center"/>
    </xf>
    <xf numFmtId="170" fontId="20" fillId="0" borderId="12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70" fontId="9" fillId="0" borderId="15" xfId="0" applyNumberFormat="1" applyFont="1" applyFill="1" applyBorder="1" applyAlignment="1">
      <alignment horizontal="center" wrapText="1"/>
    </xf>
    <xf numFmtId="170" fontId="9" fillId="0" borderId="12" xfId="0" applyNumberFormat="1" applyFont="1" applyFill="1" applyBorder="1" applyAlignment="1">
      <alignment horizontal="center"/>
    </xf>
    <xf numFmtId="0" fontId="20" fillId="0" borderId="4" xfId="0" applyFont="1" applyFill="1" applyBorder="1"/>
    <xf numFmtId="0" fontId="20" fillId="0" borderId="2" xfId="0" applyFont="1" applyFill="1" applyBorder="1"/>
    <xf numFmtId="0" fontId="9" fillId="0" borderId="2" xfId="0" applyFont="1" applyFill="1" applyBorder="1"/>
    <xf numFmtId="170" fontId="9" fillId="0" borderId="2" xfId="0" applyNumberFormat="1" applyFont="1" applyFill="1" applyBorder="1" applyAlignment="1">
      <alignment horizontal="center"/>
    </xf>
    <xf numFmtId="169" fontId="9" fillId="0" borderId="2" xfId="0" applyNumberFormat="1" applyFont="1" applyFill="1" applyBorder="1" applyAlignment="1">
      <alignment horizontal="center"/>
    </xf>
    <xf numFmtId="169" fontId="9" fillId="0" borderId="5" xfId="0" applyNumberFormat="1" applyFont="1" applyFill="1" applyBorder="1"/>
    <xf numFmtId="172" fontId="9" fillId="0" borderId="14" xfId="0" applyNumberFormat="1" applyFont="1" applyFill="1" applyBorder="1"/>
    <xf numFmtId="0" fontId="9" fillId="0" borderId="15" xfId="0" applyFont="1" applyFill="1" applyBorder="1" applyAlignment="1">
      <alignment horizontal="right"/>
    </xf>
    <xf numFmtId="174" fontId="9" fillId="0" borderId="15" xfId="0" applyNumberFormat="1" applyFont="1" applyFill="1" applyBorder="1"/>
    <xf numFmtId="170" fontId="9" fillId="0" borderId="12" xfId="0" applyNumberFormat="1" applyFont="1" applyFill="1" applyBorder="1"/>
    <xf numFmtId="174" fontId="9" fillId="0" borderId="0" xfId="0" applyNumberFormat="1" applyFont="1" applyFill="1" applyBorder="1"/>
    <xf numFmtId="170" fontId="9" fillId="0" borderId="14" xfId="0" applyNumberFormat="1" applyFont="1" applyFill="1" applyBorder="1"/>
    <xf numFmtId="0" fontId="20" fillId="0" borderId="4" xfId="0" applyFont="1" applyFill="1" applyBorder="1" applyProtection="1">
      <protection locked="0"/>
    </xf>
    <xf numFmtId="169" fontId="9" fillId="0" borderId="14" xfId="0" applyNumberFormat="1" applyFont="1" applyFill="1" applyBorder="1"/>
    <xf numFmtId="169" fontId="9" fillId="0" borderId="0" xfId="0" applyNumberFormat="1" applyFont="1" applyFill="1"/>
    <xf numFmtId="169" fontId="20" fillId="0" borderId="2" xfId="0" applyNumberFormat="1" applyFont="1" applyFill="1" applyBorder="1"/>
    <xf numFmtId="169" fontId="20" fillId="0" borderId="5" xfId="0" applyNumberFormat="1" applyFont="1" applyFill="1" applyBorder="1"/>
    <xf numFmtId="181" fontId="9" fillId="0" borderId="15" xfId="0" applyNumberFormat="1" applyFont="1" applyFill="1" applyBorder="1"/>
    <xf numFmtId="169" fontId="9" fillId="0" borderId="12" xfId="0" applyNumberFormat="1" applyFont="1" applyFill="1" applyBorder="1"/>
    <xf numFmtId="0" fontId="9" fillId="0" borderId="9" xfId="0" applyFont="1" applyFill="1" applyBorder="1"/>
    <xf numFmtId="0" fontId="20" fillId="0" borderId="11" xfId="0" applyFont="1" applyFill="1" applyBorder="1"/>
    <xf numFmtId="0" fontId="20" fillId="0" borderId="15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2" xfId="0" applyFont="1" applyFill="1" applyBorder="1"/>
    <xf numFmtId="169" fontId="20" fillId="0" borderId="14" xfId="0" applyNumberFormat="1" applyFont="1" applyFill="1" applyBorder="1"/>
    <xf numFmtId="0" fontId="20" fillId="0" borderId="0" xfId="0" applyFont="1" applyFill="1"/>
    <xf numFmtId="172" fontId="9" fillId="0" borderId="8" xfId="0" applyNumberFormat="1" applyFont="1" applyFill="1" applyBorder="1"/>
    <xf numFmtId="169" fontId="9" fillId="0" borderId="14" xfId="0" applyNumberFormat="1" applyFont="1" applyFill="1" applyBorder="1" applyAlignment="1">
      <alignment horizontal="right"/>
    </xf>
    <xf numFmtId="0" fontId="20" fillId="0" borderId="13" xfId="0" applyFont="1" applyFill="1" applyBorder="1" applyProtection="1">
      <protection locked="0"/>
    </xf>
    <xf numFmtId="169" fontId="20" fillId="0" borderId="14" xfId="0" applyNumberFormat="1" applyFont="1" applyFill="1" applyBorder="1" applyAlignment="1">
      <alignment horizontal="right"/>
    </xf>
    <xf numFmtId="0" fontId="20" fillId="0" borderId="7" xfId="0" applyFont="1" applyFill="1" applyBorder="1"/>
    <xf numFmtId="0" fontId="20" fillId="0" borderId="8" xfId="0" applyFont="1" applyFill="1" applyBorder="1"/>
    <xf numFmtId="0" fontId="1" fillId="0" borderId="26" xfId="0" quotePrefix="1" applyFont="1" applyBorder="1" applyAlignment="1">
      <alignment horizontal="center" wrapText="1"/>
    </xf>
    <xf numFmtId="0" fontId="1" fillId="0" borderId="26" xfId="0" quotePrefix="1" applyFont="1" applyBorder="1" applyAlignment="1">
      <alignment horizontal="left" wrapText="1"/>
    </xf>
    <xf numFmtId="0" fontId="17" fillId="0" borderId="0" xfId="0" applyFont="1"/>
    <xf numFmtId="175" fontId="1" fillId="0" borderId="26" xfId="0" quotePrefix="1" applyNumberFormat="1" applyFont="1" applyBorder="1" applyAlignment="1">
      <alignment horizontal="center" wrapText="1"/>
    </xf>
    <xf numFmtId="0" fontId="17" fillId="0" borderId="0" xfId="0" quotePrefix="1" applyFont="1"/>
    <xf numFmtId="0" fontId="17" fillId="0" borderId="0" xfId="0" quotePrefix="1" applyFont="1" applyAlignment="1">
      <alignment horizontal="center"/>
    </xf>
    <xf numFmtId="0" fontId="21" fillId="0" borderId="0" xfId="0" quotePrefix="1" applyFont="1" applyAlignment="1">
      <alignment horizontal="left"/>
    </xf>
    <xf numFmtId="175" fontId="17" fillId="0" borderId="0" xfId="0" applyNumberFormat="1" applyFont="1"/>
    <xf numFmtId="164" fontId="17" fillId="0" borderId="0" xfId="0" applyNumberFormat="1" applyFont="1" applyFill="1"/>
    <xf numFmtId="164" fontId="17" fillId="0" borderId="0" xfId="0" applyNumberFormat="1" applyFont="1"/>
    <xf numFmtId="164" fontId="17" fillId="0" borderId="27" xfId="0" applyNumberFormat="1" applyFont="1" applyBorder="1"/>
    <xf numFmtId="164" fontId="17" fillId="0" borderId="27" xfId="0" applyNumberFormat="1" applyFont="1" applyFill="1" applyBorder="1"/>
    <xf numFmtId="170" fontId="9" fillId="0" borderId="8" xfId="0" applyNumberFormat="1" applyFont="1" applyFill="1" applyBorder="1" applyAlignment="1">
      <alignment horizontal="centerContinuous"/>
    </xf>
    <xf numFmtId="0" fontId="9" fillId="0" borderId="13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1" fontId="9" fillId="0" borderId="14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0" xfId="0" applyFont="1" applyBorder="1"/>
    <xf numFmtId="0" fontId="0" fillId="0" borderId="14" xfId="0" applyFont="1" applyBorder="1"/>
    <xf numFmtId="3" fontId="9" fillId="0" borderId="0" xfId="0" applyNumberFormat="1" applyFont="1" applyFill="1" applyBorder="1" applyAlignment="1">
      <alignment horizontal="right"/>
    </xf>
    <xf numFmtId="0" fontId="0" fillId="0" borderId="11" xfId="0" applyFont="1" applyBorder="1"/>
    <xf numFmtId="0" fontId="0" fillId="0" borderId="15" xfId="0" applyFont="1" applyBorder="1"/>
    <xf numFmtId="3" fontId="0" fillId="0" borderId="15" xfId="0" applyNumberFormat="1" applyFont="1" applyBorder="1"/>
    <xf numFmtId="169" fontId="0" fillId="0" borderId="15" xfId="0" applyNumberFormat="1" applyFont="1" applyBorder="1"/>
    <xf numFmtId="17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/RevReq-COS-Rate%20Years%20WP/NEW-PSE-WP-JDT-4-GCOS-MODEL-PSE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eneral Inputs"/>
      <sheetName val="Input-Allocators"/>
      <sheetName val="Input-Accounts"/>
      <sheetName val="Functionalization"/>
      <sheetName val="Classification"/>
      <sheetName val="Product_Comm"/>
      <sheetName val="Storage_Dem"/>
      <sheetName val="Storage_Comm"/>
      <sheetName val="Dist_Dem"/>
      <sheetName val="Dist_Cust"/>
      <sheetName val="Cust_Cust"/>
      <sheetName val="Trans_Dem"/>
      <sheetName val="Template"/>
      <sheetName val="DemandTotal"/>
      <sheetName val="CommodityTotal"/>
      <sheetName val="CustomerTotal"/>
      <sheetName val="GrandTotal"/>
      <sheetName val="Summary"/>
      <sheetName val="UnitCost"/>
      <sheetName val="ErrorCheck"/>
      <sheetName val="Required Sheets"/>
      <sheetName val="Commission templates&gt;&gt;"/>
      <sheetName val="B - COS Results"/>
      <sheetName val="C-COS Allocation Factors"/>
      <sheetName val="E-Summary of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D12">
            <v>2571528552.5216007</v>
          </cell>
        </row>
      </sheetData>
      <sheetData sheetId="19">
        <row r="45">
          <cell r="H45">
            <v>760644.60707637935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tabSelected="1" zoomScale="90" zoomScaleNormal="90" zoomScaleSheetLayoutView="85" workbookViewId="0">
      <pane xSplit="4" ySplit="8" topLeftCell="E9" activePane="bottomRight" state="frozen"/>
      <selection activeCell="N17" sqref="N17"/>
      <selection pane="topRight" activeCell="N17" sqref="N17"/>
      <selection pane="bottomLeft" activeCell="N17" sqref="N17"/>
      <selection pane="bottomRight" activeCell="G5" sqref="G5"/>
    </sheetView>
  </sheetViews>
  <sheetFormatPr defaultRowHeight="15" outlineLevelRow="1" x14ac:dyDescent="0.25"/>
  <cols>
    <col min="1" max="1" width="5.5703125" customWidth="1"/>
    <col min="2" max="2" width="44" customWidth="1"/>
    <col min="3" max="3" width="21.5703125" bestFit="1" customWidth="1"/>
    <col min="4" max="4" width="6.5703125" customWidth="1"/>
    <col min="5" max="5" width="5.5703125" customWidth="1"/>
    <col min="6" max="6" width="19.85546875" bestFit="1" customWidth="1"/>
    <col min="7" max="7" width="18.85546875" bestFit="1" customWidth="1"/>
    <col min="8" max="8" width="16.28515625" customWidth="1"/>
    <col min="9" max="9" width="17.85546875" bestFit="1" customWidth="1"/>
    <col min="10" max="10" width="16.28515625" customWidth="1"/>
    <col min="11" max="11" width="17.85546875" customWidth="1"/>
    <col min="12" max="12" width="16.28515625" customWidth="1"/>
    <col min="14" max="14" width="11.85546875" bestFit="1" customWidth="1"/>
  </cols>
  <sheetData>
    <row r="2" spans="1:13" x14ac:dyDescent="0.25">
      <c r="B2" s="1" t="s">
        <v>253</v>
      </c>
    </row>
    <row r="3" spans="1:13" x14ac:dyDescent="0.25">
      <c r="B3" s="1" t="s">
        <v>254</v>
      </c>
    </row>
    <row r="4" spans="1:13" x14ac:dyDescent="0.25">
      <c r="B4" s="1" t="s">
        <v>255</v>
      </c>
    </row>
    <row r="5" spans="1:13" x14ac:dyDescent="0.25">
      <c r="B5" s="1" t="s">
        <v>0</v>
      </c>
    </row>
    <row r="6" spans="1:13" x14ac:dyDescent="0.25">
      <c r="B6" s="1"/>
    </row>
    <row r="8" spans="1:13" ht="51.75" x14ac:dyDescent="0.4">
      <c r="A8" s="2" t="s">
        <v>1</v>
      </c>
      <c r="B8" s="3" t="s">
        <v>2</v>
      </c>
      <c r="C8" s="4" t="s">
        <v>3</v>
      </c>
      <c r="D8" s="5" t="s">
        <v>4</v>
      </c>
      <c r="E8" s="4"/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</row>
    <row r="9" spans="1:13" x14ac:dyDescent="0.25">
      <c r="D9" s="6" t="str">
        <f>IFERROR(IF(C9="","",IF(C9=0,0,IF(ABS(C9-SUM($F9:$L9))&lt;1,0,1))),1)</f>
        <v/>
      </c>
    </row>
    <row r="10" spans="1:13" x14ac:dyDescent="0.25">
      <c r="A10" s="7">
        <f>IF(B10="","",MAX(A$1:A9)+1)</f>
        <v>1</v>
      </c>
      <c r="B10" s="8" t="s">
        <v>12</v>
      </c>
      <c r="C10" s="9">
        <v>2571528552.5216007</v>
      </c>
      <c r="D10" s="6">
        <f t="shared" ref="D10:D67" si="0">IFERROR(IF(C10="","",IF(C10=0,0,IF(ABS(C10-SUM($F10:$L10))&lt;1,0,1))),1)</f>
        <v>0</v>
      </c>
      <c r="E10" s="10"/>
      <c r="F10" s="9">
        <v>1649102381.2977476</v>
      </c>
      <c r="G10" s="9">
        <v>690261626.93631482</v>
      </c>
      <c r="H10" s="9">
        <v>111092311.15209772</v>
      </c>
      <c r="I10" s="9">
        <v>55438887.004053399</v>
      </c>
      <c r="J10" s="9">
        <v>5559255.0202087089</v>
      </c>
      <c r="K10" s="9">
        <v>55932991.139449477</v>
      </c>
      <c r="L10" s="9">
        <v>4141099.9717289517</v>
      </c>
      <c r="M10" s="11"/>
    </row>
    <row r="11" spans="1:13" x14ac:dyDescent="0.25">
      <c r="A11" s="7" t="str">
        <f>IF(B11="","",MAX(A$1:A10)+1)</f>
        <v/>
      </c>
      <c r="C11" s="9"/>
      <c r="D11" s="6" t="str">
        <f t="shared" si="0"/>
        <v/>
      </c>
      <c r="F11" s="9"/>
      <c r="G11" s="9"/>
      <c r="H11" s="9"/>
      <c r="I11" s="9"/>
      <c r="J11" s="9"/>
      <c r="K11" s="9"/>
      <c r="L11" s="9"/>
    </row>
    <row r="12" spans="1:13" x14ac:dyDescent="0.25">
      <c r="A12" s="7">
        <f>IF(B12="","",MAX(A$1:A11)+1)</f>
        <v>2</v>
      </c>
      <c r="B12" s="12" t="s">
        <v>13</v>
      </c>
      <c r="C12" s="9">
        <v>503531281.41781068</v>
      </c>
      <c r="D12" s="6">
        <f t="shared" si="0"/>
        <v>0</v>
      </c>
      <c r="F12" s="9">
        <v>371522164.00294924</v>
      </c>
      <c r="G12" s="9">
        <v>111008799.90950902</v>
      </c>
      <c r="H12" s="9">
        <v>16528623.895610569</v>
      </c>
      <c r="I12" s="9">
        <v>2003373.9774395723</v>
      </c>
      <c r="J12" s="9">
        <v>1143200.2973939634</v>
      </c>
      <c r="K12" s="9">
        <v>1325119.3349083168</v>
      </c>
      <c r="L12" s="9">
        <v>0</v>
      </c>
    </row>
    <row r="13" spans="1:13" x14ac:dyDescent="0.25">
      <c r="A13" s="7">
        <f>IF(B13="","",MAX(A$1:A12)+1)</f>
        <v>3</v>
      </c>
      <c r="B13" s="12" t="s">
        <v>14</v>
      </c>
      <c r="C13" s="9">
        <v>17056865.919774421</v>
      </c>
      <c r="D13" s="6">
        <f t="shared" si="0"/>
        <v>0</v>
      </c>
      <c r="F13" s="9">
        <v>0</v>
      </c>
      <c r="G13" s="9">
        <v>22764.939646799998</v>
      </c>
      <c r="H13" s="9">
        <v>4168963.7683936278</v>
      </c>
      <c r="I13" s="9">
        <v>6600270.6050620712</v>
      </c>
      <c r="J13" s="9">
        <v>352882.66010696348</v>
      </c>
      <c r="K13" s="9">
        <v>4262158.5024256548</v>
      </c>
      <c r="L13" s="9">
        <v>1649825.4441392999</v>
      </c>
    </row>
    <row r="14" spans="1:13" x14ac:dyDescent="0.25">
      <c r="A14" s="7">
        <f>IF(B14="","",MAX(A$1:A13)+1)</f>
        <v>4</v>
      </c>
      <c r="B14" s="12" t="s">
        <v>15</v>
      </c>
      <c r="C14" s="9">
        <v>4050270.1499999687</v>
      </c>
      <c r="D14" s="6">
        <f t="shared" si="0"/>
        <v>0</v>
      </c>
      <c r="F14" s="9">
        <v>3435977.9481378198</v>
      </c>
      <c r="G14" s="9">
        <v>570796.59317607712</v>
      </c>
      <c r="H14" s="9">
        <v>20146.30857233936</v>
      </c>
      <c r="I14" s="9">
        <v>21485.304201136343</v>
      </c>
      <c r="J14" s="9">
        <v>1176.8885707331356</v>
      </c>
      <c r="K14" s="9">
        <v>676.47458413988352</v>
      </c>
      <c r="L14" s="9">
        <v>10.632757744286209</v>
      </c>
    </row>
    <row r="15" spans="1:13" x14ac:dyDescent="0.25">
      <c r="A15" s="7">
        <f>IF(B15="","",MAX(A$1:A14)+1)</f>
        <v>5</v>
      </c>
      <c r="B15" s="13" t="s">
        <v>16</v>
      </c>
      <c r="C15" s="14">
        <f>SUM(C12:C14)</f>
        <v>524638417.48758507</v>
      </c>
      <c r="D15" s="6">
        <f t="shared" si="0"/>
        <v>0</v>
      </c>
      <c r="F15" s="14">
        <f>SUM(F12:F14)</f>
        <v>374958141.95108706</v>
      </c>
      <c r="G15" s="14">
        <f t="shared" ref="G15:L15" si="1">SUM(G12:G14)</f>
        <v>111602361.4423319</v>
      </c>
      <c r="H15" s="14">
        <f t="shared" si="1"/>
        <v>20717733.972576536</v>
      </c>
      <c r="I15" s="14">
        <f t="shared" si="1"/>
        <v>8625129.8867027797</v>
      </c>
      <c r="J15" s="14">
        <f t="shared" si="1"/>
        <v>1497259.8460716601</v>
      </c>
      <c r="K15" s="14">
        <f t="shared" si="1"/>
        <v>5587954.3119181115</v>
      </c>
      <c r="L15" s="14">
        <f t="shared" si="1"/>
        <v>1649836.0768970442</v>
      </c>
    </row>
    <row r="16" spans="1:13" x14ac:dyDescent="0.25">
      <c r="A16" s="7">
        <f>IF(B16="","",MAX(A$1:A15)+1)</f>
        <v>6</v>
      </c>
      <c r="B16" s="15" t="s">
        <v>17</v>
      </c>
      <c r="C16" s="16">
        <f>SUM(C12:C13)/C21</f>
        <v>0.89287602531296517</v>
      </c>
      <c r="D16" s="6"/>
      <c r="E16" s="16"/>
      <c r="F16" s="16">
        <f>SUM(F12:F13)/F21</f>
        <v>0.97128547915098329</v>
      </c>
      <c r="G16" s="16">
        <f t="shared" ref="G16:L16" si="2">SUM(G12:G13)/G21</f>
        <v>0.75119316312117845</v>
      </c>
      <c r="H16" s="16">
        <f t="shared" si="2"/>
        <v>0.83364655828621925</v>
      </c>
      <c r="I16" s="16">
        <f t="shared" si="2"/>
        <v>0.68605095986255626</v>
      </c>
      <c r="J16" s="16">
        <f t="shared" si="2"/>
        <v>1.1416308970080054</v>
      </c>
      <c r="K16" s="16">
        <f t="shared" si="2"/>
        <v>0.43341628347681582</v>
      </c>
      <c r="L16" s="16">
        <f t="shared" si="2"/>
        <v>1.4179906361317403</v>
      </c>
    </row>
    <row r="17" spans="1:14" x14ac:dyDescent="0.25">
      <c r="A17" s="7">
        <f>IF(B17="","",MAX(A$1:A16)+1)</f>
        <v>7</v>
      </c>
      <c r="B17" s="17" t="s">
        <v>18</v>
      </c>
      <c r="C17" s="16">
        <f>C16/$C$16</f>
        <v>1</v>
      </c>
      <c r="D17" s="6"/>
      <c r="F17" s="16">
        <f>F16/$C$16</f>
        <v>1.087816731119569</v>
      </c>
      <c r="G17" s="16">
        <f t="shared" ref="G17:L17" si="3">G16/$C$16</f>
        <v>0.84131855019612056</v>
      </c>
      <c r="H17" s="16">
        <f t="shared" si="3"/>
        <v>0.93366439981856919</v>
      </c>
      <c r="I17" s="16">
        <f t="shared" si="3"/>
        <v>0.76836082548199913</v>
      </c>
      <c r="J17" s="16">
        <f t="shared" si="3"/>
        <v>1.2785995643772026</v>
      </c>
      <c r="K17" s="16">
        <f t="shared" si="3"/>
        <v>0.48541597174691475</v>
      </c>
      <c r="L17" s="16">
        <f t="shared" si="3"/>
        <v>1.5881159264352689</v>
      </c>
    </row>
    <row r="18" spans="1:14" x14ac:dyDescent="0.25">
      <c r="A18" s="7" t="str">
        <f>IF(B18="","",MAX(A$1:A17)+1)</f>
        <v/>
      </c>
      <c r="B18" s="17"/>
      <c r="C18" s="16"/>
      <c r="D18" s="6" t="str">
        <f t="shared" si="0"/>
        <v/>
      </c>
      <c r="F18" s="16"/>
      <c r="G18" s="16"/>
      <c r="H18" s="16"/>
      <c r="I18" s="16"/>
      <c r="J18" s="16"/>
      <c r="K18" s="16"/>
      <c r="L18" s="16"/>
    </row>
    <row r="19" spans="1:14" x14ac:dyDescent="0.25">
      <c r="A19" s="7">
        <f>IF(B19="","",MAX(A$1:A18)+1)</f>
        <v>8</v>
      </c>
      <c r="B19" s="18" t="s">
        <v>19</v>
      </c>
      <c r="D19" s="6" t="str">
        <f t="shared" si="0"/>
        <v/>
      </c>
    </row>
    <row r="20" spans="1:14" x14ac:dyDescent="0.25">
      <c r="A20" s="7">
        <f>IF(B20="","",MAX(A$1:A19)+1)</f>
        <v>9</v>
      </c>
      <c r="B20" s="17" t="s">
        <v>20</v>
      </c>
      <c r="C20" s="9">
        <v>62458247.210988283</v>
      </c>
      <c r="D20" s="6">
        <f t="shared" si="0"/>
        <v>0</v>
      </c>
      <c r="F20" s="9">
        <v>10983465.884262621</v>
      </c>
      <c r="G20" s="9">
        <v>36775377.892207772</v>
      </c>
      <c r="H20" s="9">
        <v>4130185.5190981925</v>
      </c>
      <c r="I20" s="9">
        <v>3937179.7670850139</v>
      </c>
      <c r="J20" s="9">
        <v>-185604.27176995017</v>
      </c>
      <c r="K20" s="9">
        <v>7303972.561736105</v>
      </c>
      <c r="L20" s="9">
        <v>-486330.14163151896</v>
      </c>
    </row>
    <row r="21" spans="1:14" x14ac:dyDescent="0.25">
      <c r="A21" s="7">
        <f>IF(B21="","",MAX(A$1:A20)+1)</f>
        <v>10</v>
      </c>
      <c r="B21" s="17" t="s">
        <v>21</v>
      </c>
      <c r="C21" s="9">
        <v>583046394.54857337</v>
      </c>
      <c r="D21" s="6">
        <f t="shared" si="0"/>
        <v>0</v>
      </c>
      <c r="F21" s="9">
        <v>382505629.88721186</v>
      </c>
      <c r="G21" s="9">
        <v>147806942.74136358</v>
      </c>
      <c r="H21" s="9">
        <v>24827773.183102388</v>
      </c>
      <c r="I21" s="9">
        <v>12540824.349586658</v>
      </c>
      <c r="J21" s="9">
        <v>1310478.6857309768</v>
      </c>
      <c r="K21" s="9">
        <v>12891250.399070077</v>
      </c>
      <c r="L21" s="9">
        <v>1163495.302507781</v>
      </c>
      <c r="N21" s="19"/>
    </row>
    <row r="22" spans="1:14" x14ac:dyDescent="0.25">
      <c r="A22" s="7">
        <f>IF(B22="","",MAX(A$1:A21)+1)</f>
        <v>11</v>
      </c>
      <c r="B22" s="17" t="s">
        <v>22</v>
      </c>
      <c r="C22" s="9">
        <v>4050270.1499999687</v>
      </c>
      <c r="D22" s="6">
        <f t="shared" si="0"/>
        <v>0</v>
      </c>
      <c r="F22" s="9">
        <v>3435977.9481378198</v>
      </c>
      <c r="G22" s="9">
        <v>570796.59317607712</v>
      </c>
      <c r="H22" s="9">
        <v>20146.30857233936</v>
      </c>
      <c r="I22" s="9">
        <v>21485.304201136343</v>
      </c>
      <c r="J22" s="9">
        <v>1176.8885707331356</v>
      </c>
      <c r="K22" s="9">
        <v>676.47458413988352</v>
      </c>
      <c r="L22" s="9">
        <v>10.632757744286209</v>
      </c>
    </row>
    <row r="23" spans="1:14" x14ac:dyDescent="0.25">
      <c r="A23" s="7">
        <f>IF(B23="","",MAX(A$1:A22)+1)</f>
        <v>12</v>
      </c>
      <c r="B23" s="20" t="s">
        <v>23</v>
      </c>
      <c r="C23" s="21">
        <f>SUM(C21:C22)</f>
        <v>587096664.69857335</v>
      </c>
      <c r="D23" s="6">
        <f t="shared" si="0"/>
        <v>0</v>
      </c>
      <c r="F23" s="21">
        <f t="shared" ref="F23:L23" si="4">SUM(F21:F22)</f>
        <v>385941607.83534968</v>
      </c>
      <c r="G23" s="21">
        <f t="shared" si="4"/>
        <v>148377739.33453965</v>
      </c>
      <c r="H23" s="21">
        <f t="shared" si="4"/>
        <v>24847919.491674729</v>
      </c>
      <c r="I23" s="21">
        <f t="shared" si="4"/>
        <v>12562309.653787795</v>
      </c>
      <c r="J23" s="21">
        <f t="shared" si="4"/>
        <v>1311655.5743017099</v>
      </c>
      <c r="K23" s="21">
        <f t="shared" si="4"/>
        <v>12891926.873654217</v>
      </c>
      <c r="L23" s="21">
        <f t="shared" si="4"/>
        <v>1163505.9352655252</v>
      </c>
    </row>
    <row r="24" spans="1:14" x14ac:dyDescent="0.25">
      <c r="A24" s="7">
        <f>IF(B24="","",MAX(A$1:A23)+1)</f>
        <v>13</v>
      </c>
      <c r="B24" s="17" t="s">
        <v>24</v>
      </c>
      <c r="C24" s="22">
        <f>C23/C15-1</f>
        <v>0.11905008312218435</v>
      </c>
      <c r="D24" s="6"/>
      <c r="F24" s="22">
        <f t="shared" ref="F24:L24" si="5">F23/F15-1</f>
        <v>2.9292512031104057E-2</v>
      </c>
      <c r="G24" s="22">
        <f t="shared" si="5"/>
        <v>0.32952150310198092</v>
      </c>
      <c r="H24" s="22">
        <f t="shared" si="5"/>
        <v>0.1993550802691646</v>
      </c>
      <c r="I24" s="22">
        <f t="shared" si="5"/>
        <v>0.45647773642863054</v>
      </c>
      <c r="J24" s="22">
        <f t="shared" si="5"/>
        <v>-0.12396263230922644</v>
      </c>
      <c r="K24" s="22">
        <f t="shared" si="5"/>
        <v>1.3070923908876693</v>
      </c>
      <c r="L24" s="22">
        <f t="shared" si="5"/>
        <v>-0.29477482547611167</v>
      </c>
    </row>
    <row r="25" spans="1:14" x14ac:dyDescent="0.25">
      <c r="A25" s="7">
        <f>IF(B25="","",MAX(A$1:A24)+1)</f>
        <v>14</v>
      </c>
      <c r="B25" s="17" t="s">
        <v>25</v>
      </c>
      <c r="C25" s="23">
        <f>C23/C$23</f>
        <v>1</v>
      </c>
      <c r="D25" s="6"/>
      <c r="F25" s="23">
        <f t="shared" ref="F25:L25" si="6">F23/F$23</f>
        <v>1</v>
      </c>
      <c r="G25" s="23">
        <f t="shared" si="6"/>
        <v>1</v>
      </c>
      <c r="H25" s="23">
        <f t="shared" si="6"/>
        <v>1</v>
      </c>
      <c r="I25" s="23">
        <f t="shared" si="6"/>
        <v>1</v>
      </c>
      <c r="J25" s="23">
        <f t="shared" si="6"/>
        <v>1</v>
      </c>
      <c r="K25" s="23">
        <f t="shared" si="6"/>
        <v>1</v>
      </c>
      <c r="L25" s="23">
        <f t="shared" si="6"/>
        <v>1</v>
      </c>
    </row>
    <row r="26" spans="1:14" x14ac:dyDescent="0.25">
      <c r="A26" s="7" t="str">
        <f>IF(B26="","",MAX(A$1:A25)+1)</f>
        <v/>
      </c>
      <c r="B26" s="17"/>
      <c r="C26" s="16"/>
      <c r="D26" s="6" t="str">
        <f t="shared" si="0"/>
        <v/>
      </c>
      <c r="F26" s="16"/>
      <c r="G26" s="16"/>
      <c r="H26" s="16"/>
      <c r="I26" s="16"/>
      <c r="J26" s="16"/>
      <c r="K26" s="16"/>
      <c r="L26" s="16"/>
    </row>
    <row r="27" spans="1:14" x14ac:dyDescent="0.25">
      <c r="A27" s="7">
        <f>IF(B27="","",MAX(A$1:A26)+1)</f>
        <v>15</v>
      </c>
      <c r="B27" s="24" t="s">
        <v>26</v>
      </c>
      <c r="C27" s="9">
        <f>SUM(F27:L27)</f>
        <v>522988581.4106881</v>
      </c>
      <c r="D27" s="6">
        <f t="shared" si="0"/>
        <v>0</v>
      </c>
      <c r="F27" s="25">
        <f t="shared" ref="F27:K27" si="7">F15</f>
        <v>374958141.95108706</v>
      </c>
      <c r="G27" s="25">
        <f t="shared" si="7"/>
        <v>111602361.4423319</v>
      </c>
      <c r="H27" s="25">
        <f t="shared" si="7"/>
        <v>20717733.972576536</v>
      </c>
      <c r="I27" s="25">
        <f t="shared" si="7"/>
        <v>8625129.8867027797</v>
      </c>
      <c r="J27" s="25">
        <f t="shared" si="7"/>
        <v>1497259.8460716601</v>
      </c>
      <c r="K27" s="25">
        <f t="shared" si="7"/>
        <v>5587954.3119181115</v>
      </c>
      <c r="L27" s="25"/>
    </row>
    <row r="28" spans="1:14" x14ac:dyDescent="0.25">
      <c r="A28" s="7" t="str">
        <f>IF(B28="","",MAX(A$1:A27)+1)</f>
        <v/>
      </c>
      <c r="B28" s="17"/>
      <c r="D28" s="6" t="str">
        <f t="shared" si="0"/>
        <v/>
      </c>
    </row>
    <row r="29" spans="1:14" x14ac:dyDescent="0.25">
      <c r="A29" s="7">
        <f>IF(B29="","",MAX(A$1:A28)+1)</f>
        <v>16</v>
      </c>
      <c r="B29" s="18" t="s">
        <v>27</v>
      </c>
      <c r="D29" s="6" t="str">
        <f t="shared" si="0"/>
        <v/>
      </c>
    </row>
    <row r="30" spans="1:14" x14ac:dyDescent="0.25">
      <c r="A30" s="7">
        <f>IF(B30="","",MAX(A$1:A29)+1)</f>
        <v>17</v>
      </c>
      <c r="B30" s="17" t="s">
        <v>20</v>
      </c>
      <c r="C30" s="26">
        <f>$C$34*C27</f>
        <v>62458247.210988283</v>
      </c>
      <c r="D30" s="6">
        <f t="shared" si="0"/>
        <v>0</v>
      </c>
      <c r="E30" s="27"/>
      <c r="F30" s="26">
        <f>$C$34*F27</f>
        <v>44779616.909768388</v>
      </c>
      <c r="G30" s="26">
        <f t="shared" ref="G30:L30" si="8">$C$34*G27</f>
        <v>13328183.689007744</v>
      </c>
      <c r="H30" s="26">
        <f t="shared" si="8"/>
        <v>2474228.6851087851</v>
      </c>
      <c r="I30" s="26">
        <f t="shared" si="8"/>
        <v>1030061.6759881637</v>
      </c>
      <c r="J30" s="26">
        <f t="shared" si="8"/>
        <v>178811.21869388266</v>
      </c>
      <c r="K30" s="26">
        <f t="shared" si="8"/>
        <v>667345.03242130764</v>
      </c>
      <c r="L30" s="26">
        <f t="shared" si="8"/>
        <v>0</v>
      </c>
    </row>
    <row r="31" spans="1:14" x14ac:dyDescent="0.25">
      <c r="A31" s="7">
        <f>IF(B31="","",MAX(A$1:A30)+1)</f>
        <v>18</v>
      </c>
      <c r="B31" s="17" t="s">
        <v>28</v>
      </c>
      <c r="C31" s="28">
        <f>C30+C12+C13</f>
        <v>583046394.54857337</v>
      </c>
      <c r="D31" s="6">
        <f t="shared" si="0"/>
        <v>0</v>
      </c>
      <c r="E31" s="27"/>
      <c r="F31" s="28">
        <f>F30+F12+F13</f>
        <v>416301780.91271764</v>
      </c>
      <c r="G31" s="28">
        <f t="shared" ref="G31:L31" si="9">G30+G12+G13</f>
        <v>124359748.53816356</v>
      </c>
      <c r="H31" s="28">
        <f t="shared" si="9"/>
        <v>23171816.349112984</v>
      </c>
      <c r="I31" s="28">
        <f t="shared" si="9"/>
        <v>9633706.2584898062</v>
      </c>
      <c r="J31" s="28">
        <f t="shared" si="9"/>
        <v>1674894.1761948096</v>
      </c>
      <c r="K31" s="28">
        <f t="shared" si="9"/>
        <v>6254622.8697552793</v>
      </c>
      <c r="L31" s="28">
        <f t="shared" si="9"/>
        <v>1649825.4441392999</v>
      </c>
    </row>
    <row r="32" spans="1:14" x14ac:dyDescent="0.25">
      <c r="A32" s="7">
        <f>IF(B32="","",MAX(A$1:A31)+1)</f>
        <v>19</v>
      </c>
      <c r="B32" s="17" t="s">
        <v>22</v>
      </c>
      <c r="C32" s="9">
        <f>C22</f>
        <v>4050270.1499999687</v>
      </c>
      <c r="D32" s="6">
        <f t="shared" si="0"/>
        <v>0</v>
      </c>
      <c r="F32" s="9">
        <f>F22</f>
        <v>3435977.9481378198</v>
      </c>
      <c r="G32" s="9">
        <f t="shared" ref="G32:L32" si="10">G22</f>
        <v>570796.59317607712</v>
      </c>
      <c r="H32" s="9">
        <f t="shared" si="10"/>
        <v>20146.30857233936</v>
      </c>
      <c r="I32" s="9">
        <f t="shared" si="10"/>
        <v>21485.304201136343</v>
      </c>
      <c r="J32" s="9">
        <f t="shared" si="10"/>
        <v>1176.8885707331356</v>
      </c>
      <c r="K32" s="9">
        <f t="shared" si="10"/>
        <v>676.47458413988352</v>
      </c>
      <c r="L32" s="9">
        <f t="shared" si="10"/>
        <v>10.632757744286209</v>
      </c>
    </row>
    <row r="33" spans="1:12" x14ac:dyDescent="0.25">
      <c r="A33" s="7">
        <f>IF(B33="","",MAX(A$1:A32)+1)</f>
        <v>20</v>
      </c>
      <c r="B33" s="20" t="s">
        <v>29</v>
      </c>
      <c r="C33" s="21">
        <f>SUM(C31:C32)</f>
        <v>587096664.69857335</v>
      </c>
      <c r="D33" s="6">
        <f t="shared" si="0"/>
        <v>0</v>
      </c>
      <c r="F33" s="21">
        <f t="shared" ref="F33:L33" si="11">SUM(F31:F32)</f>
        <v>419737758.86085546</v>
      </c>
      <c r="G33" s="21">
        <f t="shared" si="11"/>
        <v>124930545.13133964</v>
      </c>
      <c r="H33" s="21">
        <f t="shared" si="11"/>
        <v>23191962.657685325</v>
      </c>
      <c r="I33" s="21">
        <f t="shared" si="11"/>
        <v>9655191.5626909435</v>
      </c>
      <c r="J33" s="21">
        <f t="shared" si="11"/>
        <v>1676071.0647655427</v>
      </c>
      <c r="K33" s="21">
        <f t="shared" si="11"/>
        <v>6255299.3443394192</v>
      </c>
      <c r="L33" s="21">
        <f t="shared" si="11"/>
        <v>1649836.0768970442</v>
      </c>
    </row>
    <row r="34" spans="1:12" x14ac:dyDescent="0.25">
      <c r="A34" s="7">
        <f>IF(B34="","",MAX(A$1:A33)+1)</f>
        <v>21</v>
      </c>
      <c r="B34" s="17" t="s">
        <v>30</v>
      </c>
      <c r="C34" s="22">
        <f>C20/C27</f>
        <v>0.11942564222437888</v>
      </c>
      <c r="D34" s="6">
        <f t="shared" si="0"/>
        <v>0</v>
      </c>
      <c r="F34" s="29">
        <f>F33/F15-1</f>
        <v>0.1194256422243789</v>
      </c>
      <c r="G34" s="29">
        <f t="shared" ref="G34:L34" si="12">G33/G15-1</f>
        <v>0.1194256422243789</v>
      </c>
      <c r="H34" s="29">
        <f t="shared" si="12"/>
        <v>0.11942564222437912</v>
      </c>
      <c r="I34" s="29">
        <f t="shared" si="12"/>
        <v>0.1194256422243789</v>
      </c>
      <c r="J34" s="29">
        <f t="shared" si="12"/>
        <v>0.1194256422243789</v>
      </c>
      <c r="K34" s="29">
        <f t="shared" si="12"/>
        <v>0.1194256422243789</v>
      </c>
      <c r="L34" s="29">
        <f t="shared" si="12"/>
        <v>0</v>
      </c>
    </row>
    <row r="35" spans="1:12" x14ac:dyDescent="0.25">
      <c r="A35" s="7">
        <f>IF(B35="","",MAX(A$1:A34)+1)</f>
        <v>22</v>
      </c>
      <c r="B35" s="17" t="s">
        <v>18</v>
      </c>
      <c r="C35" s="23">
        <f>C31/C$21</f>
        <v>1</v>
      </c>
      <c r="D35" s="6"/>
      <c r="F35" s="23">
        <f>F31/F$21</f>
        <v>1.0883546499314825</v>
      </c>
      <c r="G35" s="23">
        <f t="shared" ref="G35:L35" si="13">G31/G$21</f>
        <v>0.84136608356598963</v>
      </c>
      <c r="H35" s="23">
        <f t="shared" si="13"/>
        <v>0.93330224093087666</v>
      </c>
      <c r="I35" s="23">
        <f t="shared" si="13"/>
        <v>0.76818763981869587</v>
      </c>
      <c r="J35" s="23">
        <f t="shared" si="13"/>
        <v>1.2780781514661295</v>
      </c>
      <c r="K35" s="23">
        <f t="shared" si="13"/>
        <v>0.48518356839973126</v>
      </c>
      <c r="L35" s="23">
        <f t="shared" si="13"/>
        <v>1.4179906361317403</v>
      </c>
    </row>
    <row r="36" spans="1:12" x14ac:dyDescent="0.25">
      <c r="A36" s="7" t="str">
        <f>IF(B36="","",MAX(A$1:A35)+1)</f>
        <v/>
      </c>
      <c r="B36" s="18"/>
      <c r="D36" s="6" t="str">
        <f t="shared" si="0"/>
        <v/>
      </c>
    </row>
    <row r="37" spans="1:12" x14ac:dyDescent="0.25">
      <c r="A37" s="7">
        <f>IF(B37="","",MAX(A$1:A36)+1)</f>
        <v>23</v>
      </c>
      <c r="B37" s="18" t="s">
        <v>31</v>
      </c>
      <c r="D37" s="6" t="str">
        <f t="shared" si="0"/>
        <v/>
      </c>
    </row>
    <row r="38" spans="1:12" hidden="1" outlineLevel="1" x14ac:dyDescent="0.25">
      <c r="A38" s="7"/>
      <c r="B38" s="30" t="s">
        <v>30</v>
      </c>
      <c r="C38" s="31">
        <f>C34</f>
        <v>0.11942564222437888</v>
      </c>
      <c r="D38" s="32"/>
      <c r="E38" s="33"/>
      <c r="F38" s="34"/>
      <c r="G38" s="34"/>
      <c r="H38" s="34"/>
      <c r="I38" s="34"/>
      <c r="J38" s="34"/>
      <c r="K38" s="34"/>
      <c r="L38" s="34"/>
    </row>
    <row r="39" spans="1:12" hidden="1" outlineLevel="1" x14ac:dyDescent="0.25">
      <c r="A39" s="7"/>
      <c r="B39" s="30" t="s">
        <v>32</v>
      </c>
      <c r="C39" s="35"/>
      <c r="D39" s="32"/>
      <c r="E39" s="33"/>
      <c r="F39" s="34">
        <v>0.8</v>
      </c>
      <c r="G39" s="34">
        <v>1.25</v>
      </c>
      <c r="H39" s="34">
        <v>1.25</v>
      </c>
      <c r="I39" s="34">
        <v>1.5</v>
      </c>
      <c r="J39" s="34">
        <v>0</v>
      </c>
      <c r="K39" s="34">
        <v>1.5</v>
      </c>
      <c r="L39" s="34">
        <v>0</v>
      </c>
    </row>
    <row r="40" spans="1:12" hidden="1" outlineLevel="1" x14ac:dyDescent="0.25">
      <c r="A40" s="7"/>
      <c r="B40" s="30" t="s">
        <v>33</v>
      </c>
      <c r="C40" s="34"/>
      <c r="D40" s="32"/>
      <c r="E40" s="33"/>
      <c r="F40" s="31">
        <f>$C$38*F39</f>
        <v>9.5540513779503108E-2</v>
      </c>
      <c r="G40" s="31">
        <f t="shared" ref="G40:L40" si="14">$C$38*G39</f>
        <v>0.1492820527804736</v>
      </c>
      <c r="H40" s="31">
        <f t="shared" si="14"/>
        <v>0.1492820527804736</v>
      </c>
      <c r="I40" s="31">
        <f t="shared" si="14"/>
        <v>0.1791384633365683</v>
      </c>
      <c r="J40" s="31">
        <f t="shared" si="14"/>
        <v>0</v>
      </c>
      <c r="K40" s="31">
        <f t="shared" si="14"/>
        <v>0.1791384633365683</v>
      </c>
      <c r="L40" s="31">
        <f t="shared" si="14"/>
        <v>0</v>
      </c>
    </row>
    <row r="41" spans="1:12" hidden="1" outlineLevel="1" x14ac:dyDescent="0.25">
      <c r="A41" s="7"/>
      <c r="B41" s="30" t="s">
        <v>34</v>
      </c>
      <c r="C41" s="36">
        <f>SUM(F41:L41)</f>
        <v>58267306.018074587</v>
      </c>
      <c r="D41" s="32"/>
      <c r="E41" s="33"/>
      <c r="F41" s="36">
        <f t="shared" ref="F41:K41" si="15">F40*F27</f>
        <v>35823693.527814716</v>
      </c>
      <c r="G41" s="36">
        <f t="shared" si="15"/>
        <v>16660229.611259682</v>
      </c>
      <c r="H41" s="36">
        <f t="shared" si="15"/>
        <v>3092785.8563859817</v>
      </c>
      <c r="I41" s="36">
        <f t="shared" si="15"/>
        <v>1545092.5139822455</v>
      </c>
      <c r="J41" s="36">
        <f t="shared" si="15"/>
        <v>0</v>
      </c>
      <c r="K41" s="36">
        <f t="shared" si="15"/>
        <v>1001017.5486319613</v>
      </c>
      <c r="L41" s="37">
        <v>144486.95999999973</v>
      </c>
    </row>
    <row r="42" spans="1:12" hidden="1" outlineLevel="1" x14ac:dyDescent="0.25">
      <c r="A42" s="7"/>
      <c r="B42" s="38" t="s">
        <v>35</v>
      </c>
      <c r="C42" s="36">
        <f>C30-C41</f>
        <v>4190941.1929136962</v>
      </c>
      <c r="D42" s="32"/>
      <c r="E42" s="33"/>
      <c r="F42" s="34"/>
      <c r="G42" s="34"/>
      <c r="H42" s="34"/>
      <c r="I42" s="34"/>
      <c r="J42" s="34"/>
      <c r="K42" s="34"/>
      <c r="L42" s="34"/>
    </row>
    <row r="43" spans="1:12" hidden="1" outlineLevel="1" x14ac:dyDescent="0.25">
      <c r="A43" s="7"/>
      <c r="B43" s="30" t="s">
        <v>36</v>
      </c>
      <c r="C43" s="36"/>
      <c r="D43" s="32"/>
      <c r="E43" s="33"/>
      <c r="F43" s="36">
        <f>C42</f>
        <v>4190941.1929136962</v>
      </c>
      <c r="G43" s="36"/>
      <c r="H43" s="36"/>
      <c r="I43" s="36"/>
      <c r="J43" s="36"/>
      <c r="K43" s="36"/>
      <c r="L43" s="36"/>
    </row>
    <row r="44" spans="1:12" collapsed="1" x14ac:dyDescent="0.25">
      <c r="A44" s="7">
        <f>IF(B44="","",MAX(A$1:A43)+1)</f>
        <v>24</v>
      </c>
      <c r="B44" s="17" t="s">
        <v>37</v>
      </c>
      <c r="C44" s="26"/>
      <c r="D44" s="6"/>
      <c r="F44" s="39">
        <f>F50/$C$38</f>
        <v>0.89359037620528325</v>
      </c>
      <c r="G44" s="39">
        <f t="shared" ref="G44:L44" si="16">G50/$C$38</f>
        <v>1.2500000000000007</v>
      </c>
      <c r="H44" s="39">
        <f t="shared" si="16"/>
        <v>1.2500000000000007</v>
      </c>
      <c r="I44" s="39">
        <f t="shared" si="16"/>
        <v>1.5000000000000013</v>
      </c>
      <c r="J44" s="40">
        <f t="shared" si="16"/>
        <v>0</v>
      </c>
      <c r="K44" s="39">
        <f>K50/$C$38</f>
        <v>1.4999999999999993</v>
      </c>
      <c r="L44" s="40">
        <f t="shared" si="16"/>
        <v>0.73331449939600979</v>
      </c>
    </row>
    <row r="45" spans="1:12" x14ac:dyDescent="0.25">
      <c r="A45" s="7">
        <f>IF(B45="","",MAX(A$1:A44)+1)</f>
        <v>25</v>
      </c>
      <c r="B45" s="17" t="s">
        <v>24</v>
      </c>
      <c r="C45" s="26"/>
      <c r="D45" s="6"/>
      <c r="F45" s="22">
        <f>$C$38*F44</f>
        <v>0.10671760456384027</v>
      </c>
      <c r="G45" s="22">
        <f t="shared" ref="G45:L45" si="17">$C$38*G44</f>
        <v>0.14928205278047368</v>
      </c>
      <c r="H45" s="22">
        <f t="shared" si="17"/>
        <v>0.14928205278047368</v>
      </c>
      <c r="I45" s="22">
        <f t="shared" si="17"/>
        <v>0.17913846333656847</v>
      </c>
      <c r="J45" s="22">
        <f t="shared" si="17"/>
        <v>0</v>
      </c>
      <c r="K45" s="22">
        <f t="shared" si="17"/>
        <v>0.17913846333656824</v>
      </c>
      <c r="L45" s="22">
        <f t="shared" si="17"/>
        <v>8.7576555042817361E-2</v>
      </c>
    </row>
    <row r="46" spans="1:12" x14ac:dyDescent="0.25">
      <c r="A46" s="7">
        <f>IF(B46="","",MAX(A$1:A45)+1)</f>
        <v>26</v>
      </c>
      <c r="B46" s="17" t="s">
        <v>20</v>
      </c>
      <c r="C46" s="26">
        <f>SUM(F46:L46)</f>
        <v>62458247.210988283</v>
      </c>
      <c r="D46" s="6">
        <f t="shared" si="0"/>
        <v>0</v>
      </c>
      <c r="E46" s="27"/>
      <c r="F46" s="26">
        <f>F41+F43</f>
        <v>40014634.720728412</v>
      </c>
      <c r="G46" s="26">
        <f t="shared" ref="G46:L46" si="18">G41+G43</f>
        <v>16660229.611259682</v>
      </c>
      <c r="H46" s="26">
        <f t="shared" si="18"/>
        <v>3092785.8563859817</v>
      </c>
      <c r="I46" s="26">
        <f t="shared" si="18"/>
        <v>1545092.5139822455</v>
      </c>
      <c r="J46" s="26">
        <f t="shared" si="18"/>
        <v>0</v>
      </c>
      <c r="K46" s="26">
        <f t="shared" si="18"/>
        <v>1001017.5486319613</v>
      </c>
      <c r="L46" s="26">
        <f t="shared" si="18"/>
        <v>144486.95999999973</v>
      </c>
    </row>
    <row r="47" spans="1:12" x14ac:dyDescent="0.25">
      <c r="A47" s="7">
        <f>IF(B47="","",MAX(A$1:A46)+1)</f>
        <v>27</v>
      </c>
      <c r="B47" s="17" t="s">
        <v>28</v>
      </c>
      <c r="C47" s="26">
        <f>SUM(F47:L47)</f>
        <v>583046394.54857337</v>
      </c>
      <c r="D47" s="6">
        <f t="shared" si="0"/>
        <v>0</v>
      </c>
      <c r="E47" s="27"/>
      <c r="F47" s="28">
        <f t="shared" ref="F47:L47" si="19">F46+F12+F13</f>
        <v>411536798.72367764</v>
      </c>
      <c r="G47" s="28">
        <f t="shared" si="19"/>
        <v>127691794.4604155</v>
      </c>
      <c r="H47" s="28">
        <f t="shared" si="19"/>
        <v>23790373.520390179</v>
      </c>
      <c r="I47" s="28">
        <f t="shared" si="19"/>
        <v>10148737.09648389</v>
      </c>
      <c r="J47" s="28">
        <f t="shared" si="19"/>
        <v>1496082.9575009269</v>
      </c>
      <c r="K47" s="28">
        <f t="shared" si="19"/>
        <v>6588295.3859659331</v>
      </c>
      <c r="L47" s="28">
        <f t="shared" si="19"/>
        <v>1794312.4041392996</v>
      </c>
    </row>
    <row r="48" spans="1:12" x14ac:dyDescent="0.25">
      <c r="A48" s="7">
        <f>IF(B48="","",MAX(A$1:A47)+1)</f>
        <v>28</v>
      </c>
      <c r="B48" s="17" t="s">
        <v>22</v>
      </c>
      <c r="C48" s="9">
        <f>C32</f>
        <v>4050270.1499999687</v>
      </c>
      <c r="D48" s="6">
        <f t="shared" si="0"/>
        <v>0</v>
      </c>
      <c r="F48" s="9">
        <f>F32</f>
        <v>3435977.9481378198</v>
      </c>
      <c r="G48" s="9">
        <f t="shared" ref="G48:L48" si="20">G32</f>
        <v>570796.59317607712</v>
      </c>
      <c r="H48" s="9">
        <f t="shared" si="20"/>
        <v>20146.30857233936</v>
      </c>
      <c r="I48" s="9">
        <f t="shared" si="20"/>
        <v>21485.304201136343</v>
      </c>
      <c r="J48" s="9">
        <f t="shared" si="20"/>
        <v>1176.8885707331356</v>
      </c>
      <c r="K48" s="9">
        <f t="shared" si="20"/>
        <v>676.47458413988352</v>
      </c>
      <c r="L48" s="9">
        <f t="shared" si="20"/>
        <v>10.632757744286209</v>
      </c>
    </row>
    <row r="49" spans="1:12" x14ac:dyDescent="0.25">
      <c r="A49" s="7">
        <f>IF(B49="","",MAX(A$1:A48)+1)</f>
        <v>29</v>
      </c>
      <c r="B49" s="20" t="s">
        <v>29</v>
      </c>
      <c r="C49" s="21">
        <f>SUM(C47:C48)</f>
        <v>587096664.69857335</v>
      </c>
      <c r="D49" s="6">
        <f t="shared" si="0"/>
        <v>0</v>
      </c>
      <c r="F49" s="21">
        <f>SUM(F47:F48)</f>
        <v>414972776.67181545</v>
      </c>
      <c r="G49" s="21">
        <f t="shared" ref="G49:L49" si="21">SUM(G47:G48)</f>
        <v>128262591.05359158</v>
      </c>
      <c r="H49" s="21">
        <f t="shared" si="21"/>
        <v>23810519.82896252</v>
      </c>
      <c r="I49" s="21">
        <f t="shared" si="21"/>
        <v>10170222.400685027</v>
      </c>
      <c r="J49" s="21">
        <f t="shared" si="21"/>
        <v>1497259.8460716601</v>
      </c>
      <c r="K49" s="21">
        <f t="shared" si="21"/>
        <v>6588971.860550073</v>
      </c>
      <c r="L49" s="21">
        <f t="shared" si="21"/>
        <v>1794323.0368970439</v>
      </c>
    </row>
    <row r="50" spans="1:12" x14ac:dyDescent="0.25">
      <c r="A50" s="7">
        <f>IF(B50="","",MAX(A$1:A49)+1)</f>
        <v>30</v>
      </c>
      <c r="B50" s="17" t="s">
        <v>24</v>
      </c>
      <c r="C50" s="22">
        <f>C49/C15-1</f>
        <v>0.11905008312218435</v>
      </c>
      <c r="D50" s="6">
        <f t="shared" si="0"/>
        <v>0</v>
      </c>
      <c r="F50" s="22">
        <f t="shared" ref="F50:L50" si="22">F49/F15-1</f>
        <v>0.10671760456384027</v>
      </c>
      <c r="G50" s="22">
        <f t="shared" si="22"/>
        <v>0.14928205278047368</v>
      </c>
      <c r="H50" s="22">
        <f t="shared" si="22"/>
        <v>0.14928205278047368</v>
      </c>
      <c r="I50" s="22">
        <f t="shared" si="22"/>
        <v>0.17913846333656847</v>
      </c>
      <c r="J50" s="22">
        <f t="shared" si="22"/>
        <v>0</v>
      </c>
      <c r="K50" s="22">
        <f t="shared" si="22"/>
        <v>0.17913846333656824</v>
      </c>
      <c r="L50" s="22">
        <f t="shared" si="22"/>
        <v>8.7576555042817361E-2</v>
      </c>
    </row>
    <row r="51" spans="1:12" x14ac:dyDescent="0.25">
      <c r="A51" s="7">
        <f>IF(B51="","",MAX(A$1:A50)+1)</f>
        <v>31</v>
      </c>
      <c r="B51" s="17" t="s">
        <v>38</v>
      </c>
      <c r="C51" s="23">
        <f>C47/C$21</f>
        <v>1</v>
      </c>
      <c r="D51" s="6"/>
      <c r="F51" s="23">
        <f>F47/F$21</f>
        <v>1.07589736351077</v>
      </c>
      <c r="G51" s="23">
        <f t="shared" ref="G51:L51" si="23">G47/G$21</f>
        <v>0.86390931367719248</v>
      </c>
      <c r="H51" s="23">
        <f t="shared" si="23"/>
        <v>0.95821616159204093</v>
      </c>
      <c r="I51" s="23">
        <f t="shared" si="23"/>
        <v>0.80925597979676589</v>
      </c>
      <c r="J51" s="23">
        <f t="shared" si="23"/>
        <v>1.1416308970080054</v>
      </c>
      <c r="K51" s="23">
        <f t="shared" si="23"/>
        <v>0.511067210861189</v>
      </c>
      <c r="L51" s="23">
        <f t="shared" si="23"/>
        <v>1.5421741714572157</v>
      </c>
    </row>
    <row r="52" spans="1:12" x14ac:dyDescent="0.25">
      <c r="A52" s="7">
        <f>IF(B52="","",MAX(A$1:A51)+1)</f>
        <v>32</v>
      </c>
      <c r="B52" s="17" t="s">
        <v>39</v>
      </c>
      <c r="C52" s="41">
        <f>C17</f>
        <v>1</v>
      </c>
      <c r="D52" s="6"/>
      <c r="F52" s="41">
        <f t="shared" ref="F52:L52" si="24">F17</f>
        <v>1.087816731119569</v>
      </c>
      <c r="G52" s="41">
        <f t="shared" si="24"/>
        <v>0.84131855019612056</v>
      </c>
      <c r="H52" s="41">
        <f t="shared" si="24"/>
        <v>0.93366439981856919</v>
      </c>
      <c r="I52" s="41">
        <f t="shared" si="24"/>
        <v>0.76836082548199913</v>
      </c>
      <c r="J52" s="41">
        <f t="shared" si="24"/>
        <v>1.2785995643772026</v>
      </c>
      <c r="K52" s="41">
        <f t="shared" si="24"/>
        <v>0.48541597174691475</v>
      </c>
      <c r="L52" s="41">
        <f t="shared" si="24"/>
        <v>1.5881159264352689</v>
      </c>
    </row>
    <row r="53" spans="1:12" x14ac:dyDescent="0.25">
      <c r="A53" s="7"/>
      <c r="B53" s="17"/>
      <c r="C53" s="17"/>
      <c r="D53" s="6"/>
      <c r="F53" s="17"/>
      <c r="G53" s="17"/>
      <c r="H53" s="17"/>
      <c r="I53" s="17"/>
      <c r="J53" s="17"/>
      <c r="K53" s="17"/>
      <c r="L53" s="17"/>
    </row>
    <row r="54" spans="1:12" x14ac:dyDescent="0.25">
      <c r="A54" s="7">
        <f>IF(B54="","",MAX(A$1:A52)+1)</f>
        <v>33</v>
      </c>
      <c r="B54" s="8" t="s">
        <v>40</v>
      </c>
      <c r="C54" s="42"/>
      <c r="D54" s="6" t="str">
        <f t="shared" si="0"/>
        <v/>
      </c>
    </row>
    <row r="55" spans="1:12" x14ac:dyDescent="0.25">
      <c r="A55" s="7" t="str">
        <f>IF(B55="","",MAX(A$1:A54)+1)</f>
        <v/>
      </c>
      <c r="B55" s="43"/>
      <c r="C55" s="42"/>
      <c r="D55" s="6" t="str">
        <f t="shared" si="0"/>
        <v/>
      </c>
    </row>
    <row r="56" spans="1:12" x14ac:dyDescent="0.25">
      <c r="A56" s="7">
        <f>IF(B56="","",MAX(A$1:A55)+1)</f>
        <v>34</v>
      </c>
      <c r="B56" s="44" t="s">
        <v>41</v>
      </c>
      <c r="C56" s="45">
        <f>SUM(F56:L56)</f>
        <v>2567387452.5498719</v>
      </c>
      <c r="D56" s="6">
        <f t="shared" si="0"/>
        <v>0</v>
      </c>
      <c r="F56" s="45">
        <f t="shared" ref="F56:K56" si="25">F10</f>
        <v>1649102381.2977476</v>
      </c>
      <c r="G56" s="45">
        <f t="shared" si="25"/>
        <v>690261626.93631482</v>
      </c>
      <c r="H56" s="45">
        <f t="shared" si="25"/>
        <v>111092311.15209772</v>
      </c>
      <c r="I56" s="45">
        <f t="shared" si="25"/>
        <v>55438887.004053399</v>
      </c>
      <c r="J56" s="45">
        <f t="shared" si="25"/>
        <v>5559255.0202087089</v>
      </c>
      <c r="K56" s="45">
        <f t="shared" si="25"/>
        <v>55932991.139449477</v>
      </c>
      <c r="L56" s="9"/>
    </row>
    <row r="57" spans="1:12" x14ac:dyDescent="0.25">
      <c r="A57" s="7">
        <f>IF(B57="","",MAX(A$1:A56)+1)</f>
        <v>35</v>
      </c>
      <c r="B57" s="46" t="s">
        <v>42</v>
      </c>
      <c r="C57" s="22">
        <f>SUM(F57:K57)</f>
        <v>0.99999999999999989</v>
      </c>
      <c r="D57" s="6">
        <f t="shared" si="0"/>
        <v>0</v>
      </c>
      <c r="F57" s="22">
        <f>F56/$C$56</f>
        <v>0.64232703936443092</v>
      </c>
      <c r="G57" s="22">
        <f t="shared" ref="G57:K57" si="26">G56/$C$56</f>
        <v>0.26885759928863184</v>
      </c>
      <c r="H57" s="22">
        <f t="shared" si="26"/>
        <v>4.327056714473046E-2</v>
      </c>
      <c r="I57" s="22">
        <f t="shared" si="26"/>
        <v>2.1593502355475303E-2</v>
      </c>
      <c r="J57" s="22">
        <f t="shared" si="26"/>
        <v>2.165335432596035E-3</v>
      </c>
      <c r="K57" s="22">
        <f t="shared" si="26"/>
        <v>2.1785956414135343E-2</v>
      </c>
      <c r="L57" s="22"/>
    </row>
    <row r="58" spans="1:12" x14ac:dyDescent="0.25">
      <c r="A58" s="7" t="str">
        <f>IF(B58="","",MAX(A$1:A57)+1)</f>
        <v/>
      </c>
      <c r="B58" s="44"/>
      <c r="C58" s="47"/>
      <c r="D58" s="6" t="str">
        <f t="shared" si="0"/>
        <v/>
      </c>
    </row>
    <row r="59" spans="1:12" x14ac:dyDescent="0.25">
      <c r="A59" s="7">
        <f>IF(B59="","",MAX(A$1:A58)+1)</f>
        <v>36</v>
      </c>
      <c r="B59" s="44" t="s">
        <v>43</v>
      </c>
      <c r="C59" s="47"/>
      <c r="D59" s="6" t="str">
        <f t="shared" si="0"/>
        <v/>
      </c>
    </row>
    <row r="60" spans="1:12" x14ac:dyDescent="0.25">
      <c r="A60" s="7">
        <f>IF(B60="","",MAX(A$1:A59)+1)</f>
        <v>37</v>
      </c>
      <c r="B60" s="48" t="s">
        <v>44</v>
      </c>
      <c r="C60" s="49">
        <v>21868396.583618969</v>
      </c>
      <c r="D60" s="6"/>
      <c r="F60" s="19"/>
      <c r="G60" s="19"/>
      <c r="H60" s="19"/>
      <c r="I60" s="19"/>
      <c r="J60" s="19"/>
      <c r="K60" s="19"/>
    </row>
    <row r="61" spans="1:12" x14ac:dyDescent="0.25">
      <c r="A61" s="7">
        <f>IF(B61="","",MAX(A$1:A60)+1)</f>
        <v>38</v>
      </c>
      <c r="B61" s="48" t="s">
        <v>45</v>
      </c>
      <c r="C61" s="49">
        <f>'Exh JDT-5 (MYRP-SUM)'!G22</f>
        <v>2300420.1606344581</v>
      </c>
      <c r="D61" s="6"/>
      <c r="F61" s="25"/>
      <c r="G61" s="25"/>
      <c r="H61" s="25"/>
      <c r="I61" s="25"/>
      <c r="J61" s="25"/>
      <c r="K61" s="25"/>
    </row>
    <row r="62" spans="1:12" x14ac:dyDescent="0.25">
      <c r="A62" s="7">
        <f>IF(B62="","",MAX(A$1:A61)+1)</f>
        <v>39</v>
      </c>
      <c r="B62" s="50" t="s">
        <v>46</v>
      </c>
      <c r="C62" s="45">
        <f>C60-C61</f>
        <v>19567976.422984511</v>
      </c>
      <c r="D62" s="6">
        <f t="shared" si="0"/>
        <v>0</v>
      </c>
      <c r="E62" s="44"/>
      <c r="F62" s="45">
        <f>$C$62*F57</f>
        <v>12569040.362128628</v>
      </c>
      <c r="G62" s="45">
        <f t="shared" ref="G62:K62" si="27">$C$62*G57</f>
        <v>5260999.1640201649</v>
      </c>
      <c r="H62" s="45">
        <f t="shared" si="27"/>
        <v>846717.43769725377</v>
      </c>
      <c r="I62" s="45">
        <f t="shared" si="27"/>
        <v>422541.14498160122</v>
      </c>
      <c r="J62" s="45">
        <f t="shared" si="27"/>
        <v>42371.232692892176</v>
      </c>
      <c r="K62" s="45">
        <f t="shared" si="27"/>
        <v>426307.08146396856</v>
      </c>
      <c r="L62" s="19"/>
    </row>
    <row r="63" spans="1:12" x14ac:dyDescent="0.25">
      <c r="A63" s="7" t="str">
        <f>IF(B63="","",MAX(A$1:A62)+1)</f>
        <v/>
      </c>
      <c r="B63" s="48"/>
      <c r="C63" s="49"/>
      <c r="D63" s="6" t="str">
        <f t="shared" si="0"/>
        <v/>
      </c>
      <c r="F63" s="19"/>
      <c r="G63" s="19"/>
      <c r="H63" s="19"/>
      <c r="I63" s="19"/>
      <c r="J63" s="19"/>
      <c r="K63" s="19"/>
      <c r="L63" s="19"/>
    </row>
    <row r="64" spans="1:12" x14ac:dyDescent="0.25">
      <c r="A64" s="7">
        <f>IF(B64="","",MAX(A$1:A63)+1)</f>
        <v>40</v>
      </c>
      <c r="B64" s="48" t="s">
        <v>47</v>
      </c>
      <c r="C64" s="49">
        <v>-1954133.3024679422</v>
      </c>
      <c r="D64" s="6"/>
      <c r="F64" s="19"/>
      <c r="G64" s="19"/>
      <c r="H64" s="19"/>
      <c r="I64" s="19"/>
      <c r="J64" s="19"/>
      <c r="K64" s="19"/>
      <c r="L64" s="19"/>
    </row>
    <row r="65" spans="1:12" x14ac:dyDescent="0.25">
      <c r="A65" s="7">
        <f>IF(B65="","",MAX(A$1:A64)+1)</f>
        <v>41</v>
      </c>
      <c r="B65" s="48" t="s">
        <v>45</v>
      </c>
      <c r="C65" s="49">
        <f>'Exh JDT-5 (MYRP-SUM)'!L22</f>
        <v>2811968.2622005343</v>
      </c>
      <c r="D65" s="6"/>
      <c r="F65" s="51"/>
      <c r="G65" s="51"/>
      <c r="H65" s="51"/>
      <c r="I65" s="51"/>
      <c r="J65" s="51"/>
      <c r="K65" s="51"/>
      <c r="L65" s="19"/>
    </row>
    <row r="66" spans="1:12" x14ac:dyDescent="0.25">
      <c r="A66" s="7">
        <f>IF(B66="","",MAX(A$1:A65)+1)</f>
        <v>42</v>
      </c>
      <c r="B66" s="50" t="s">
        <v>48</v>
      </c>
      <c r="C66" s="45">
        <f>C64-C65</f>
        <v>-4766101.5646684766</v>
      </c>
      <c r="D66" s="6">
        <f t="shared" si="0"/>
        <v>0</v>
      </c>
      <c r="E66" s="44"/>
      <c r="F66" s="45">
        <f>$C$66*F57</f>
        <v>-3061395.9073436842</v>
      </c>
      <c r="G66" s="45">
        <f t="shared" ref="G66:K66" si="28">$C$66*G57</f>
        <v>-1281402.6246425586</v>
      </c>
      <c r="H66" s="45">
        <f t="shared" si="28"/>
        <v>-206231.91777259222</v>
      </c>
      <c r="I66" s="45">
        <f t="shared" si="28"/>
        <v>-102916.82536310327</v>
      </c>
      <c r="J66" s="45">
        <f t="shared" si="28"/>
        <v>-10320.208593328054</v>
      </c>
      <c r="K66" s="45">
        <f t="shared" si="28"/>
        <v>-103834.08095320969</v>
      </c>
      <c r="L66" s="19"/>
    </row>
    <row r="67" spans="1:12" x14ac:dyDescent="0.25">
      <c r="A67" s="7" t="str">
        <f>IF(B67="","",MAX(A$1:A66)+1)</f>
        <v/>
      </c>
      <c r="B67" s="48"/>
      <c r="C67" s="49"/>
      <c r="D67" s="6" t="str">
        <f t="shared" si="0"/>
        <v/>
      </c>
      <c r="F67" s="19"/>
      <c r="G67" s="19"/>
      <c r="H67" s="19"/>
      <c r="I67" s="19"/>
      <c r="J67" s="19"/>
      <c r="K67" s="19"/>
      <c r="L67" s="19"/>
    </row>
    <row r="68" spans="1:12" x14ac:dyDescent="0.25">
      <c r="A68" s="7">
        <f>IF(B68="","",MAX(A$1:A67)+1)</f>
        <v>43</v>
      </c>
      <c r="B68" s="48" t="s">
        <v>49</v>
      </c>
      <c r="C68" s="49">
        <v>-18545214.794882685</v>
      </c>
      <c r="D68" s="6"/>
      <c r="F68" s="19"/>
      <c r="G68" s="19"/>
      <c r="H68" s="19"/>
      <c r="I68" s="19"/>
      <c r="J68" s="19"/>
      <c r="K68" s="19"/>
      <c r="L68" s="19"/>
    </row>
    <row r="69" spans="1:12" x14ac:dyDescent="0.25">
      <c r="A69" s="7">
        <f>IF(B69="","",MAX(A$1:A68)+1)</f>
        <v>44</v>
      </c>
      <c r="B69" s="48" t="s">
        <v>45</v>
      </c>
      <c r="C69" s="49">
        <f>'Exh JDT-5 (MYRP-SUM)'!Q22</f>
        <v>2911224.1942508817</v>
      </c>
      <c r="D69" s="6"/>
      <c r="F69" s="51"/>
      <c r="G69" s="51"/>
      <c r="H69" s="51"/>
      <c r="I69" s="51"/>
      <c r="J69" s="51"/>
      <c r="K69" s="51"/>
      <c r="L69" s="19"/>
    </row>
    <row r="70" spans="1:12" x14ac:dyDescent="0.25">
      <c r="A70" s="7">
        <f>IF(B70="","",MAX(A$1:A69)+1)</f>
        <v>45</v>
      </c>
      <c r="B70" s="50" t="s">
        <v>50</v>
      </c>
      <c r="C70" s="45">
        <f>C68-C69</f>
        <v>-21456438.989133567</v>
      </c>
      <c r="D70" s="6">
        <f t="shared" ref="D70:D75" si="29">IFERROR(IF(C70="","",IF(C70=0,0,IF(ABS(C70-SUM($F70:$L70))&lt;1,0,1))),1)</f>
        <v>0</v>
      </c>
      <c r="E70" s="44"/>
      <c r="F70" s="45">
        <f>$C$70*F57</f>
        <v>-13782050.931193708</v>
      </c>
      <c r="G70" s="45">
        <f t="shared" ref="G70:K70" si="30">$C$70*G57</f>
        <v>-5768726.6759014493</v>
      </c>
      <c r="H70" s="45">
        <f t="shared" si="30"/>
        <v>-928432.28396611649</v>
      </c>
      <c r="I70" s="45">
        <f t="shared" si="30"/>
        <v>-463319.66585196782</v>
      </c>
      <c r="J70" s="45">
        <f t="shared" si="30"/>
        <v>-46460.387600505965</v>
      </c>
      <c r="K70" s="45">
        <f t="shared" si="30"/>
        <v>-467449.0446198181</v>
      </c>
      <c r="L70" s="19"/>
    </row>
    <row r="71" spans="1:12" x14ac:dyDescent="0.25">
      <c r="A71" s="7" t="str">
        <f>IF(B71="","",MAX(A$1:A70)+1)</f>
        <v/>
      </c>
      <c r="B71" s="44"/>
      <c r="C71" s="42"/>
      <c r="D71" s="6" t="str">
        <f t="shared" si="29"/>
        <v/>
      </c>
    </row>
    <row r="72" spans="1:12" x14ac:dyDescent="0.25">
      <c r="A72" s="7">
        <f>IF(B72="","",MAX(A$1:A71)+1)</f>
        <v>46</v>
      </c>
      <c r="B72" s="44" t="s">
        <v>51</v>
      </c>
      <c r="C72" s="52"/>
      <c r="D72" s="6" t="str">
        <f t="shared" si="29"/>
        <v/>
      </c>
    </row>
    <row r="73" spans="1:12" x14ac:dyDescent="0.25">
      <c r="A73" s="7">
        <f>IF(B73="","",MAX(A$1:A72)+1)</f>
        <v>47</v>
      </c>
      <c r="B73" s="44" t="s">
        <v>52</v>
      </c>
      <c r="C73" s="11">
        <v>81156534.540021002</v>
      </c>
      <c r="D73" s="6">
        <f t="shared" si="29"/>
        <v>0</v>
      </c>
      <c r="E73" s="44"/>
      <c r="F73" s="45">
        <f>$C73*F$57</f>
        <v>52129036.556168869</v>
      </c>
      <c r="G73" s="45">
        <f t="shared" ref="G73:K75" si="31">$C73*G$57</f>
        <v>21819551.043014977</v>
      </c>
      <c r="H73" s="45">
        <f t="shared" si="31"/>
        <v>3511689.2770476155</v>
      </c>
      <c r="I73" s="45">
        <f t="shared" si="31"/>
        <v>1752453.8197521563</v>
      </c>
      <c r="J73" s="45">
        <f t="shared" si="31"/>
        <v>175731.11982621142</v>
      </c>
      <c r="K73" s="45">
        <f t="shared" si="31"/>
        <v>1768072.7242111671</v>
      </c>
      <c r="L73" s="19"/>
    </row>
    <row r="74" spans="1:12" x14ac:dyDescent="0.25">
      <c r="A74" s="7">
        <f>IF(B74="","",MAX(A$1:A73)+1)</f>
        <v>48</v>
      </c>
      <c r="B74" s="44" t="s">
        <v>53</v>
      </c>
      <c r="C74" s="11">
        <v>134868990.9619166</v>
      </c>
      <c r="D74" s="6">
        <f t="shared" si="29"/>
        <v>0</v>
      </c>
      <c r="E74" s="44"/>
      <c r="F74" s="45">
        <f t="shared" ref="F74:F75" si="32">$C74*F$57</f>
        <v>86629999.66663608</v>
      </c>
      <c r="G74" s="45">
        <f t="shared" si="31"/>
        <v>36260553.12850108</v>
      </c>
      <c r="H74" s="45">
        <f t="shared" si="31"/>
        <v>5835857.7291596578</v>
      </c>
      <c r="I74" s="45">
        <f t="shared" si="31"/>
        <v>2912293.8740167231</v>
      </c>
      <c r="J74" s="45">
        <f t="shared" si="31"/>
        <v>292036.6048883124</v>
      </c>
      <c r="K74" s="45">
        <f t="shared" si="31"/>
        <v>2938249.9587147282</v>
      </c>
      <c r="L74" s="19"/>
    </row>
    <row r="75" spans="1:12" x14ac:dyDescent="0.25">
      <c r="A75" s="7">
        <f>IF(B75="","",MAX(A$1:A74)+1)</f>
        <v>49</v>
      </c>
      <c r="B75" s="44" t="s">
        <v>54</v>
      </c>
      <c r="C75" s="11">
        <v>174787254.64598063</v>
      </c>
      <c r="D75" s="6">
        <f t="shared" si="29"/>
        <v>0</v>
      </c>
      <c r="E75" s="44"/>
      <c r="F75" s="45">
        <f t="shared" si="32"/>
        <v>112270579.79538961</v>
      </c>
      <c r="G75" s="45">
        <f t="shared" si="31"/>
        <v>46992881.670369111</v>
      </c>
      <c r="H75" s="45">
        <f t="shared" si="31"/>
        <v>7563143.638202006</v>
      </c>
      <c r="I75" s="45">
        <f t="shared" si="31"/>
        <v>3774268.9949050443</v>
      </c>
      <c r="J75" s="45">
        <f t="shared" si="31"/>
        <v>378473.03565112781</v>
      </c>
      <c r="K75" s="45">
        <f t="shared" si="31"/>
        <v>3807907.5114637092</v>
      </c>
      <c r="L75" s="19"/>
    </row>
    <row r="76" spans="1:12" x14ac:dyDescent="0.25">
      <c r="D76" s="6" t="str">
        <f>IFERROR(IF(C76="","",IF(C76=0,0,IF(ABS(C76-SUM($F76:$L76))&lt;1,0,1))),1)</f>
        <v/>
      </c>
    </row>
    <row r="77" spans="1:12" x14ac:dyDescent="0.25">
      <c r="D77" s="6" t="str">
        <f>IFERROR(IF(C77="","",IF(C77=0,0,IF(ABS(C77-SUM($F77:$L77))&lt;1,0,1))),1)</f>
        <v/>
      </c>
    </row>
    <row r="78" spans="1:12" x14ac:dyDescent="0.25">
      <c r="C78" s="19"/>
      <c r="D78" s="6"/>
    </row>
    <row r="80" spans="1:12" x14ac:dyDescent="0.25">
      <c r="C80" s="19"/>
    </row>
    <row r="83" spans="3:3" x14ac:dyDescent="0.25">
      <c r="C83" s="19"/>
    </row>
  </sheetData>
  <pageMargins left="0.7" right="0.7" top="0.75" bottom="0.75" header="0.3" footer="0.3"/>
  <pageSetup scale="60" orientation="landscape" horizontalDpi="300" verticalDpi="300" r:id="rId1"/>
  <headerFooter>
    <oddFooter>&amp;R&amp;A
 Page &amp;P of &amp;N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80" zoomScaleNormal="80" workbookViewId="0">
      <pane xSplit="3" ySplit="7" topLeftCell="D8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ColWidth="42.28515625" defaultRowHeight="12.75" x14ac:dyDescent="0.2"/>
  <cols>
    <col min="1" max="1" width="26.5703125" style="154" customWidth="1"/>
    <col min="2" max="2" width="26.7109375" style="15" bestFit="1" customWidth="1"/>
    <col min="3" max="3" width="22.140625" style="15" bestFit="1" customWidth="1"/>
    <col min="4" max="5" width="12.85546875" style="15" customWidth="1"/>
    <col min="6" max="6" width="12.85546875" style="54" customWidth="1"/>
    <col min="7" max="8" width="12.85546875" style="15" customWidth="1"/>
    <col min="9" max="9" width="12.85546875" style="54" customWidth="1"/>
    <col min="10" max="15" width="12.85546875" style="15" customWidth="1"/>
    <col min="16" max="17" width="13.5703125" style="15" customWidth="1"/>
    <col min="18" max="18" width="13.5703125" style="54" customWidth="1"/>
    <col min="19" max="20" width="13.5703125" style="15" customWidth="1"/>
    <col min="21" max="21" width="13.5703125" style="54" customWidth="1"/>
    <col min="22" max="23" width="13.5703125" style="15" customWidth="1"/>
    <col min="24" max="24" width="13.5703125" style="54" customWidth="1"/>
    <col min="25" max="16384" width="42.28515625" style="15"/>
  </cols>
  <sheetData>
    <row r="1" spans="1:24" x14ac:dyDescent="0.2">
      <c r="A1" s="1" t="s">
        <v>253</v>
      </c>
      <c r="B1" s="53"/>
      <c r="C1" s="53"/>
      <c r="D1" s="53"/>
      <c r="G1" s="53"/>
      <c r="H1" s="53"/>
      <c r="I1" s="53"/>
      <c r="J1" s="53"/>
      <c r="K1" s="53"/>
      <c r="L1" s="53"/>
    </row>
    <row r="2" spans="1:24" x14ac:dyDescent="0.2">
      <c r="A2" s="1" t="s">
        <v>254</v>
      </c>
      <c r="B2" s="53"/>
      <c r="C2" s="53"/>
      <c r="D2" s="53"/>
      <c r="G2" s="53"/>
      <c r="H2" s="53"/>
      <c r="I2" s="53"/>
      <c r="J2" s="53"/>
      <c r="K2" s="53"/>
      <c r="L2" s="53"/>
    </row>
    <row r="3" spans="1:24" x14ac:dyDescent="0.2">
      <c r="A3" s="1" t="s">
        <v>255</v>
      </c>
      <c r="B3" s="55"/>
      <c r="C3" s="55"/>
      <c r="D3" s="53"/>
      <c r="G3" s="53"/>
      <c r="H3" s="53"/>
      <c r="I3" s="53"/>
      <c r="J3" s="53"/>
      <c r="K3" s="53"/>
      <c r="L3" s="53"/>
    </row>
    <row r="4" spans="1:24" x14ac:dyDescent="0.2">
      <c r="A4" s="1" t="s">
        <v>55</v>
      </c>
      <c r="B4" s="55"/>
      <c r="C4" s="55"/>
      <c r="D4" s="53"/>
      <c r="G4" s="53"/>
      <c r="H4" s="53"/>
      <c r="I4" s="53"/>
      <c r="J4" s="53"/>
      <c r="K4" s="53"/>
      <c r="L4" s="53"/>
    </row>
    <row r="6" spans="1:24" s="63" customFormat="1" ht="27" customHeight="1" x14ac:dyDescent="0.25">
      <c r="A6" s="56" t="s">
        <v>56</v>
      </c>
      <c r="B6" s="57" t="s">
        <v>57</v>
      </c>
      <c r="C6" s="58"/>
      <c r="D6" s="59" t="s">
        <v>58</v>
      </c>
      <c r="E6" s="59"/>
      <c r="F6" s="59"/>
      <c r="G6" s="59" t="s">
        <v>59</v>
      </c>
      <c r="H6" s="59"/>
      <c r="I6" s="59"/>
      <c r="J6" s="60" t="s">
        <v>60</v>
      </c>
      <c r="K6" s="61"/>
      <c r="L6" s="62"/>
      <c r="M6" s="60" t="s">
        <v>61</v>
      </c>
      <c r="N6" s="61"/>
      <c r="O6" s="62"/>
      <c r="P6" s="59" t="s">
        <v>62</v>
      </c>
      <c r="Q6" s="59"/>
      <c r="R6" s="59"/>
      <c r="S6" s="59" t="s">
        <v>63</v>
      </c>
      <c r="T6" s="59"/>
      <c r="U6" s="59"/>
      <c r="V6" s="59" t="s">
        <v>64</v>
      </c>
      <c r="W6" s="59"/>
      <c r="X6" s="59"/>
    </row>
    <row r="7" spans="1:24" s="63" customFormat="1" ht="25.5" x14ac:dyDescent="0.25">
      <c r="A7" s="64"/>
      <c r="B7" s="65"/>
      <c r="C7" s="66"/>
      <c r="D7" s="67" t="s">
        <v>65</v>
      </c>
      <c r="E7" s="67" t="s">
        <v>66</v>
      </c>
      <c r="F7" s="67" t="s">
        <v>67</v>
      </c>
      <c r="G7" s="67" t="s">
        <v>65</v>
      </c>
      <c r="H7" s="67" t="s">
        <v>66</v>
      </c>
      <c r="I7" s="67" t="s">
        <v>67</v>
      </c>
      <c r="J7" s="67" t="s">
        <v>65</v>
      </c>
      <c r="K7" s="67" t="s">
        <v>66</v>
      </c>
      <c r="L7" s="67" t="s">
        <v>67</v>
      </c>
      <c r="M7" s="67" t="s">
        <v>65</v>
      </c>
      <c r="N7" s="67" t="s">
        <v>66</v>
      </c>
      <c r="O7" s="67" t="s">
        <v>67</v>
      </c>
      <c r="P7" s="67" t="s">
        <v>65</v>
      </c>
      <c r="Q7" s="67" t="s">
        <v>66</v>
      </c>
      <c r="R7" s="67" t="s">
        <v>67</v>
      </c>
      <c r="S7" s="68" t="s">
        <v>68</v>
      </c>
      <c r="T7" s="68" t="s">
        <v>69</v>
      </c>
      <c r="U7" s="68" t="s">
        <v>70</v>
      </c>
      <c r="V7" s="68" t="s">
        <v>68</v>
      </c>
      <c r="W7" s="68" t="s">
        <v>69</v>
      </c>
      <c r="X7" s="68" t="s">
        <v>70</v>
      </c>
    </row>
    <row r="8" spans="1:24" s="63" customFormat="1" x14ac:dyDescent="0.25">
      <c r="A8" s="69"/>
      <c r="B8" s="70"/>
      <c r="C8" s="71"/>
      <c r="D8" s="72"/>
      <c r="E8" s="73"/>
      <c r="F8" s="71"/>
      <c r="G8" s="74"/>
      <c r="H8" s="73"/>
      <c r="I8" s="75"/>
      <c r="J8" s="76"/>
      <c r="K8" s="77"/>
      <c r="L8" s="78"/>
      <c r="M8" s="72"/>
      <c r="N8" s="73"/>
      <c r="O8" s="79"/>
      <c r="P8" s="72"/>
      <c r="Q8" s="73"/>
      <c r="R8" s="70"/>
      <c r="S8" s="80"/>
      <c r="T8" s="81"/>
      <c r="U8" s="82"/>
      <c r="V8" s="80"/>
      <c r="W8" s="81"/>
      <c r="X8" s="82"/>
    </row>
    <row r="9" spans="1:24" s="53" customFormat="1" x14ac:dyDescent="0.2">
      <c r="A9" s="83" t="s">
        <v>71</v>
      </c>
      <c r="B9" s="84" t="s">
        <v>72</v>
      </c>
      <c r="C9" s="85" t="s">
        <v>73</v>
      </c>
      <c r="D9" s="86">
        <f>'Exh JDT-5 (RES_RD)'!E13</f>
        <v>0.41964000000000001</v>
      </c>
      <c r="E9" s="87">
        <f>'Exh JDT-5 (RES_RD)'!H13</f>
        <v>0.46500000000000002</v>
      </c>
      <c r="F9" s="88">
        <f>IFERROR((E9-D9)/D9,"na")</f>
        <v>0.10809265084358023</v>
      </c>
      <c r="G9" s="89">
        <f>'Exh JDT-5 (RES_RD)'!E12</f>
        <v>11.52</v>
      </c>
      <c r="H9" s="90">
        <f>'Exh JDT-5 (RES_RD)'!H12</f>
        <v>12.75</v>
      </c>
      <c r="I9" s="88">
        <f>IFERROR((H9-G9)/G9,"na")</f>
        <v>0.10677083333333337</v>
      </c>
      <c r="J9" s="91"/>
      <c r="K9" s="92"/>
      <c r="L9" s="88" t="str">
        <f t="shared" ref="L9:L11" si="0">IFERROR((K9-J9)/J9,"na")</f>
        <v>na</v>
      </c>
      <c r="M9" s="93" t="s">
        <v>74</v>
      </c>
      <c r="N9" s="94" t="s">
        <v>74</v>
      </c>
      <c r="O9" s="95" t="s">
        <v>74</v>
      </c>
      <c r="P9" s="93" t="s">
        <v>74</v>
      </c>
      <c r="Q9" s="94" t="s">
        <v>74</v>
      </c>
      <c r="R9" s="96" t="str">
        <f>IFERROR((Q9-P9)/P9,"na")</f>
        <v>na</v>
      </c>
      <c r="S9" s="86">
        <f>'Exh JDT-5 (MYRP)'!$H$11</f>
        <v>1.975E-2</v>
      </c>
      <c r="T9" s="87">
        <f>'Exh JDT-5 (MYRP)'!$N$11</f>
        <v>-4.79E-3</v>
      </c>
      <c r="U9" s="97">
        <f>'Exh JDT-5 (MYRP)'!$T$11</f>
        <v>-2.1590000000000002E-2</v>
      </c>
      <c r="V9" s="86">
        <f>'Exh JDT-5 (MYRP)'!$I$11</f>
        <v>8.1920000000000007E-2</v>
      </c>
      <c r="W9" s="87">
        <f>'Exh JDT-5 (MYRP)'!$O$11</f>
        <v>0.13547000000000001</v>
      </c>
      <c r="X9" s="97">
        <f>'Exh JDT-5 (MYRP)'!$U$11</f>
        <v>0.1759</v>
      </c>
    </row>
    <row r="10" spans="1:24" s="53" customFormat="1" x14ac:dyDescent="0.2">
      <c r="A10" s="83" t="s">
        <v>71</v>
      </c>
      <c r="B10" s="84" t="s">
        <v>75</v>
      </c>
      <c r="C10" s="85" t="s">
        <v>73</v>
      </c>
      <c r="D10" s="86">
        <f>'Exh JDT-5 (RES_RD)'!E21</f>
        <v>0.41964000000000001</v>
      </c>
      <c r="E10" s="87">
        <f>'Exh JDT-5 (RES_RD)'!H21</f>
        <v>0.46500000000000002</v>
      </c>
      <c r="F10" s="88">
        <f>IFERROR((E10-D10)/D10,"na")</f>
        <v>0.10809265084358023</v>
      </c>
      <c r="G10" s="89">
        <f>'Exh JDT-5 (RES_RD)'!E20</f>
        <v>11.52</v>
      </c>
      <c r="H10" s="90">
        <f>'Exh JDT-5 (RES_RD)'!H20</f>
        <v>12.75</v>
      </c>
      <c r="I10" s="88">
        <f>IFERROR((H10-G10)/G10,"na")</f>
        <v>0.10677083333333337</v>
      </c>
      <c r="J10" s="91"/>
      <c r="K10" s="92"/>
      <c r="L10" s="88" t="str">
        <f t="shared" si="0"/>
        <v>na</v>
      </c>
      <c r="M10" s="93" t="s">
        <v>74</v>
      </c>
      <c r="N10" s="94" t="s">
        <v>74</v>
      </c>
      <c r="O10" s="95" t="s">
        <v>74</v>
      </c>
      <c r="P10" s="93" t="s">
        <v>74</v>
      </c>
      <c r="Q10" s="94" t="s">
        <v>74</v>
      </c>
      <c r="R10" s="96" t="str">
        <f>IFERROR((Q10-P10)/P10,"na")</f>
        <v>na</v>
      </c>
      <c r="S10" s="86">
        <f>'Exh JDT-5 (MYRP)'!$H$11</f>
        <v>1.975E-2</v>
      </c>
      <c r="T10" s="87">
        <f>'Exh JDT-5 (MYRP)'!$N$11</f>
        <v>-4.79E-3</v>
      </c>
      <c r="U10" s="97">
        <f>'Exh JDT-5 (MYRP)'!$T$11</f>
        <v>-2.1590000000000002E-2</v>
      </c>
      <c r="V10" s="86">
        <f>'Exh JDT-5 (MYRP)'!$I$11</f>
        <v>8.1920000000000007E-2</v>
      </c>
      <c r="W10" s="87">
        <f>'Exh JDT-5 (MYRP)'!$O$11</f>
        <v>0.13547000000000001</v>
      </c>
      <c r="X10" s="97">
        <f>'Exh JDT-5 (MYRP)'!$U$11</f>
        <v>0.1759</v>
      </c>
    </row>
    <row r="11" spans="1:24" s="53" customFormat="1" x14ac:dyDescent="0.2">
      <c r="A11" s="83" t="s">
        <v>71</v>
      </c>
      <c r="B11" s="84" t="s">
        <v>76</v>
      </c>
      <c r="C11" s="85" t="s">
        <v>77</v>
      </c>
      <c r="D11" s="93" t="s">
        <v>74</v>
      </c>
      <c r="E11" s="94" t="s">
        <v>74</v>
      </c>
      <c r="F11" s="88" t="str">
        <f>IFERROR((E11-D11)/D11,"na")</f>
        <v>na</v>
      </c>
      <c r="G11" s="89">
        <f>'Exh JDT-5 (RES_RD)'!E28</f>
        <v>11.24</v>
      </c>
      <c r="H11" s="90">
        <f>'Exh JDT-5 (RES_RD)'!H28</f>
        <v>12.44</v>
      </c>
      <c r="I11" s="88">
        <f>IFERROR((H11-G11)/G11,"na")</f>
        <v>0.10676156583629887</v>
      </c>
      <c r="J11" s="91"/>
      <c r="K11" s="92"/>
      <c r="L11" s="88" t="str">
        <f t="shared" si="0"/>
        <v>na</v>
      </c>
      <c r="M11" s="93" t="s">
        <v>74</v>
      </c>
      <c r="N11" s="94" t="s">
        <v>74</v>
      </c>
      <c r="O11" s="95" t="s">
        <v>74</v>
      </c>
      <c r="P11" s="93" t="s">
        <v>74</v>
      </c>
      <c r="Q11" s="94" t="s">
        <v>74</v>
      </c>
      <c r="R11" s="96" t="str">
        <f>IFERROR((Q11-P11)/P11,"na")</f>
        <v>na</v>
      </c>
      <c r="S11" s="91">
        <f>ROUND('Exh JDT-5 (MYRP)'!$H$11*19,2)</f>
        <v>0.38</v>
      </c>
      <c r="T11" s="92">
        <f>ROUND('Exh JDT-5 (MYRP)'!$N$11*19,2)</f>
        <v>-0.09</v>
      </c>
      <c r="U11" s="98">
        <f>ROUND('Exh JDT-5 (MYRP)'!$T$11*19,2)</f>
        <v>-0.41</v>
      </c>
      <c r="V11" s="91">
        <f>ROUND('Exh JDT-5 (MYRP)'!$I$11*19,2)</f>
        <v>1.56</v>
      </c>
      <c r="W11" s="92">
        <f>ROUND('Exh JDT-5 (MYRP)'!$O$11*19,2)</f>
        <v>2.57</v>
      </c>
      <c r="X11" s="98">
        <f>ROUND('Exh JDT-5 (MYRP)'!$U$11*19,2)</f>
        <v>3.34</v>
      </c>
    </row>
    <row r="12" spans="1:24" s="53" customFormat="1" x14ac:dyDescent="0.2">
      <c r="A12" s="83"/>
      <c r="B12" s="84"/>
      <c r="C12" s="85"/>
      <c r="D12" s="86"/>
      <c r="E12" s="87"/>
      <c r="F12" s="88"/>
      <c r="G12" s="89"/>
      <c r="H12" s="90"/>
      <c r="I12" s="88"/>
      <c r="J12" s="91"/>
      <c r="K12" s="92"/>
      <c r="L12" s="88"/>
      <c r="M12" s="99"/>
      <c r="N12" s="100"/>
      <c r="O12" s="78"/>
      <c r="P12" s="86"/>
      <c r="Q12" s="87"/>
      <c r="R12" s="96"/>
      <c r="S12" s="86"/>
      <c r="T12" s="87"/>
      <c r="U12" s="97"/>
      <c r="V12" s="86"/>
      <c r="W12" s="87"/>
      <c r="X12" s="97"/>
    </row>
    <row r="13" spans="1:24" s="53" customFormat="1" x14ac:dyDescent="0.2">
      <c r="A13" s="83" t="s">
        <v>78</v>
      </c>
      <c r="B13" s="84" t="s">
        <v>79</v>
      </c>
      <c r="C13" s="101" t="s">
        <v>73</v>
      </c>
      <c r="D13" s="86">
        <f>'Exh JDT-5 (C&amp;I-RD)'!E13</f>
        <v>0.37956000000000001</v>
      </c>
      <c r="E13" s="87">
        <f>'Exh JDT-5 (C&amp;I-RD)'!H13</f>
        <v>0.43728</v>
      </c>
      <c r="F13" s="88">
        <f>IFERROR((E13-D13)/D13,"na")</f>
        <v>0.15207081884287066</v>
      </c>
      <c r="G13" s="89">
        <f>'Exh JDT-5 (C&amp;I-RD)'!E12</f>
        <v>33.840000000000003</v>
      </c>
      <c r="H13" s="90">
        <f>'Exh JDT-5 (C&amp;I-RD)'!H12</f>
        <v>38.89</v>
      </c>
      <c r="I13" s="88">
        <f>IFERROR((H13-G13)/G13,"na")</f>
        <v>0.14923167848699753</v>
      </c>
      <c r="J13" s="91"/>
      <c r="K13" s="92"/>
      <c r="L13" s="88" t="str">
        <f t="shared" ref="L13:L14" si="1">IFERROR((K13-J13)/J13,"na")</f>
        <v>na</v>
      </c>
      <c r="M13" s="86">
        <f>'Exh JDT-5 (C&amp;I-RD)'!E14</f>
        <v>1.371E-2</v>
      </c>
      <c r="N13" s="87">
        <f>'Exh JDT-5 (C&amp;I-RD)'!H14</f>
        <v>1.5089999999999999E-2</v>
      </c>
      <c r="O13" s="88">
        <f>IFERROR((N13-M13)/M13,"na")</f>
        <v>0.1006564551422319</v>
      </c>
      <c r="P13" s="93" t="s">
        <v>74</v>
      </c>
      <c r="Q13" s="94" t="s">
        <v>74</v>
      </c>
      <c r="R13" s="96" t="str">
        <f>IFERROR((Q13-P13)/P13,"na")</f>
        <v>na</v>
      </c>
      <c r="S13" s="86">
        <f>'Exh JDT-5 (MYRP)'!$H$40</f>
        <v>2.163E-2</v>
      </c>
      <c r="T13" s="87">
        <f>'Exh JDT-5 (MYRP)'!$N$40</f>
        <v>-5.2100000000000002E-3</v>
      </c>
      <c r="U13" s="97">
        <f>'Exh JDT-5 (MYRP)'!$T$40</f>
        <v>-2.3460000000000002E-2</v>
      </c>
      <c r="V13" s="86">
        <f>'Exh JDT-5 (MYRP)'!$I$40</f>
        <v>8.9709999999999998E-2</v>
      </c>
      <c r="W13" s="87">
        <f>'Exh JDT-5 (MYRP)'!$O$40</f>
        <v>0.14742</v>
      </c>
      <c r="X13" s="97">
        <f>'Exh JDT-5 (MYRP)'!$U$40</f>
        <v>0.19109999999999999</v>
      </c>
    </row>
    <row r="14" spans="1:24" s="53" customFormat="1" x14ac:dyDescent="0.2">
      <c r="A14" s="83" t="s">
        <v>78</v>
      </c>
      <c r="B14" s="84" t="s">
        <v>80</v>
      </c>
      <c r="C14" s="101" t="s">
        <v>73</v>
      </c>
      <c r="D14" s="86">
        <f>'Exh JDT-5 (C&amp;I-RD)'!E23</f>
        <v>0.37956000000000001</v>
      </c>
      <c r="E14" s="87">
        <f>'Exh JDT-5 (C&amp;I-RD)'!H23</f>
        <v>0.43728</v>
      </c>
      <c r="F14" s="88">
        <f>IFERROR((E14-D14)/D14,"na")</f>
        <v>0.15207081884287066</v>
      </c>
      <c r="G14" s="89">
        <f>'Exh JDT-5 (C&amp;I-RD)'!E22</f>
        <v>364.04</v>
      </c>
      <c r="H14" s="90">
        <f>'Exh JDT-5 (C&amp;I-RD)'!H22</f>
        <v>364.04</v>
      </c>
      <c r="I14" s="88">
        <f>IFERROR((H14-G14)/G14,"na")</f>
        <v>0</v>
      </c>
      <c r="J14" s="91"/>
      <c r="K14" s="92"/>
      <c r="L14" s="88" t="str">
        <f t="shared" si="1"/>
        <v>na</v>
      </c>
      <c r="M14" s="93" t="s">
        <v>74</v>
      </c>
      <c r="N14" s="94" t="s">
        <v>74</v>
      </c>
      <c r="O14" s="95" t="s">
        <v>74</v>
      </c>
      <c r="P14" s="93" t="s">
        <v>74</v>
      </c>
      <c r="Q14" s="94" t="s">
        <v>74</v>
      </c>
      <c r="R14" s="96" t="str">
        <f>IFERROR((Q14-P14)/P14,"na")</f>
        <v>na</v>
      </c>
      <c r="S14" s="86">
        <f>'Exh JDT-5 (MYRP)'!$H$40</f>
        <v>2.163E-2</v>
      </c>
      <c r="T14" s="87">
        <f>'Exh JDT-5 (MYRP)'!$N$40</f>
        <v>-5.2100000000000002E-3</v>
      </c>
      <c r="U14" s="97">
        <f>'Exh JDT-5 (MYRP)'!$T$40</f>
        <v>-2.3460000000000002E-2</v>
      </c>
      <c r="V14" s="86">
        <f>'Exh JDT-5 (MYRP)'!$I$40</f>
        <v>8.9709999999999998E-2</v>
      </c>
      <c r="W14" s="87">
        <f>'Exh JDT-5 (MYRP)'!$O$40</f>
        <v>0.14742</v>
      </c>
      <c r="X14" s="97">
        <f>'Exh JDT-5 (MYRP)'!$U$40</f>
        <v>0.19109999999999999</v>
      </c>
    </row>
    <row r="15" spans="1:24" s="53" customFormat="1" x14ac:dyDescent="0.2">
      <c r="A15" s="83"/>
      <c r="B15" s="84"/>
      <c r="C15" s="101"/>
      <c r="D15" s="86"/>
      <c r="E15" s="87"/>
      <c r="F15" s="88"/>
      <c r="G15" s="89"/>
      <c r="H15" s="90"/>
      <c r="I15" s="88"/>
      <c r="J15" s="91"/>
      <c r="K15" s="92"/>
      <c r="L15" s="78"/>
      <c r="M15" s="99"/>
      <c r="N15" s="100"/>
      <c r="O15" s="78"/>
      <c r="P15" s="86"/>
      <c r="Q15" s="87"/>
      <c r="R15" s="96"/>
      <c r="S15" s="86"/>
      <c r="T15" s="87"/>
      <c r="U15" s="97"/>
      <c r="V15" s="86"/>
      <c r="W15" s="87"/>
      <c r="X15" s="97"/>
    </row>
    <row r="16" spans="1:24" s="53" customFormat="1" x14ac:dyDescent="0.2">
      <c r="A16" s="83" t="s">
        <v>81</v>
      </c>
      <c r="B16" s="84" t="s">
        <v>82</v>
      </c>
      <c r="C16" s="101" t="s">
        <v>83</v>
      </c>
      <c r="D16" s="86">
        <f>'Exh JDT-5 (C&amp;I-RD)'!E46</f>
        <v>0.13758000000000001</v>
      </c>
      <c r="E16" s="87">
        <f>'Exh JDT-5 (C&amp;I-RD)'!H46</f>
        <v>0.1595</v>
      </c>
      <c r="F16" s="88">
        <f>IFERROR((E16-D16)/D16,"na")</f>
        <v>0.15932548335513877</v>
      </c>
      <c r="G16" s="102">
        <f>'Exh JDT-5 (C&amp;I-RD)'!E41</f>
        <v>113.4</v>
      </c>
      <c r="H16" s="103">
        <f>'Exh JDT-5 (C&amp;I-RD)'!H41</f>
        <v>130.33000000000001</v>
      </c>
      <c r="I16" s="104">
        <f>IFERROR((H16-G16)/G16,"na")</f>
        <v>0.14929453262786602</v>
      </c>
      <c r="J16" s="105">
        <f>'Exh JDT-5 (C&amp;I-RD)'!E42</f>
        <v>123.82</v>
      </c>
      <c r="K16" s="106">
        <f>'Exh JDT-5 (C&amp;I-RD)'!H42</f>
        <v>143.55000000000001</v>
      </c>
      <c r="L16" s="104">
        <f>IFERROR((K16-J16)/J16,"na")</f>
        <v>0.15934420933613325</v>
      </c>
      <c r="M16" s="107">
        <f>'Exh JDT-5 (C&amp;I-RD)'!E50</f>
        <v>1.005E-2</v>
      </c>
      <c r="N16" s="108">
        <f>'Exh JDT-5 (C&amp;I-RD)'!H50</f>
        <v>1.1310000000000001E-2</v>
      </c>
      <c r="O16" s="104">
        <f>IFERROR((N16-M16)/M16,"na")</f>
        <v>0.12537313432835828</v>
      </c>
      <c r="P16" s="105">
        <f>'Exh JDT-5 (C&amp;I-RD)'!E43</f>
        <v>1.25</v>
      </c>
      <c r="Q16" s="106">
        <f>'Exh JDT-5 (C&amp;I-RD)'!H43</f>
        <v>1.44</v>
      </c>
      <c r="R16" s="109">
        <f>IFERROR((Q16-P16)/P16,"na")</f>
        <v>0.15199999999999997</v>
      </c>
      <c r="S16" s="110">
        <f>'Exh JDT-5 (MYRP)'!$H$64</f>
        <v>9.1599999999999997E-3</v>
      </c>
      <c r="T16" s="111">
        <f>'Exh JDT-5 (MYRP)'!$N$64</f>
        <v>-2.2100000000000002E-3</v>
      </c>
      <c r="U16" s="112">
        <f>'Exh JDT-5 (MYRP)'!$T$64</f>
        <v>-9.9299999999999996E-3</v>
      </c>
      <c r="V16" s="110">
        <f>'Exh JDT-5 (MYRP)'!$I$64</f>
        <v>3.8010000000000002E-2</v>
      </c>
      <c r="W16" s="111">
        <f>'Exh JDT-5 (MYRP)'!$O$64</f>
        <v>6.2480000000000001E-2</v>
      </c>
      <c r="X16" s="112">
        <f>'Exh JDT-5 (MYRP)'!$U$64</f>
        <v>8.0869999999999997E-2</v>
      </c>
    </row>
    <row r="17" spans="1:24" s="53" customFormat="1" x14ac:dyDescent="0.2">
      <c r="A17" s="83" t="s">
        <v>81</v>
      </c>
      <c r="B17" s="84" t="s">
        <v>82</v>
      </c>
      <c r="C17" s="101" t="s">
        <v>84</v>
      </c>
      <c r="D17" s="86">
        <f>'Exh JDT-5 (C&amp;I-RD)'!E47</f>
        <v>0.13758000000000001</v>
      </c>
      <c r="E17" s="87">
        <f>'Exh JDT-5 (C&amp;I-RD)'!H47</f>
        <v>0.1595</v>
      </c>
      <c r="F17" s="88">
        <f>IFERROR((E17-D17)/D17,"na")</f>
        <v>0.15932548335513877</v>
      </c>
      <c r="G17" s="102"/>
      <c r="H17" s="103"/>
      <c r="I17" s="104"/>
      <c r="J17" s="105"/>
      <c r="K17" s="106"/>
      <c r="L17" s="104"/>
      <c r="M17" s="107"/>
      <c r="N17" s="108"/>
      <c r="O17" s="104"/>
      <c r="P17" s="105"/>
      <c r="Q17" s="106"/>
      <c r="R17" s="109"/>
      <c r="S17" s="110">
        <f>'Exh JDT-5 (MYRP)'!$H$64</f>
        <v>9.1599999999999997E-3</v>
      </c>
      <c r="T17" s="111">
        <f>'Exh JDT-5 (MYRP)'!$N$64</f>
        <v>-2.2100000000000002E-3</v>
      </c>
      <c r="U17" s="112">
        <f>'Exh JDT-5 (MYRP)'!$T$64</f>
        <v>-9.9299999999999996E-3</v>
      </c>
      <c r="V17" s="110">
        <f>'Exh JDT-5 (MYRP)'!$I$64</f>
        <v>3.8010000000000002E-2</v>
      </c>
      <c r="W17" s="111">
        <f>'Exh JDT-5 (MYRP)'!$O$64</f>
        <v>6.2480000000000001E-2</v>
      </c>
      <c r="X17" s="112">
        <f>'Exh JDT-5 (MYRP)'!$U$64</f>
        <v>8.0869999999999997E-2</v>
      </c>
    </row>
    <row r="18" spans="1:24" s="53" customFormat="1" x14ac:dyDescent="0.2">
      <c r="A18" s="83" t="s">
        <v>81</v>
      </c>
      <c r="B18" s="84" t="s">
        <v>82</v>
      </c>
      <c r="C18" s="101" t="s">
        <v>85</v>
      </c>
      <c r="D18" s="86">
        <f>'Exh JDT-5 (C&amp;I-RD)'!E48</f>
        <v>0.11074000000000001</v>
      </c>
      <c r="E18" s="87">
        <f>'Exh JDT-5 (C&amp;I-RD)'!H48</f>
        <v>0.12726999999999999</v>
      </c>
      <c r="F18" s="88">
        <f>IFERROR((E18-D18)/D18,"na")</f>
        <v>0.14926855698031413</v>
      </c>
      <c r="G18" s="102"/>
      <c r="H18" s="103"/>
      <c r="I18" s="104"/>
      <c r="J18" s="105"/>
      <c r="K18" s="106"/>
      <c r="L18" s="104"/>
      <c r="M18" s="107"/>
      <c r="N18" s="108"/>
      <c r="O18" s="104"/>
      <c r="P18" s="105"/>
      <c r="Q18" s="106"/>
      <c r="R18" s="109"/>
      <c r="S18" s="110">
        <f>'Exh JDT-5 (MYRP)'!$H$64</f>
        <v>9.1599999999999997E-3</v>
      </c>
      <c r="T18" s="111">
        <f>'Exh JDT-5 (MYRP)'!$N$64</f>
        <v>-2.2100000000000002E-3</v>
      </c>
      <c r="U18" s="112">
        <f>'Exh JDT-5 (MYRP)'!$T$64</f>
        <v>-9.9299999999999996E-3</v>
      </c>
      <c r="V18" s="110">
        <f>'Exh JDT-5 (MYRP)'!$I$64</f>
        <v>3.8010000000000002E-2</v>
      </c>
      <c r="W18" s="111">
        <f>'Exh JDT-5 (MYRP)'!$O$64</f>
        <v>6.2480000000000001E-2</v>
      </c>
      <c r="X18" s="112">
        <f>'Exh JDT-5 (MYRP)'!$U$64</f>
        <v>8.0869999999999997E-2</v>
      </c>
    </row>
    <row r="19" spans="1:24" s="53" customFormat="1" x14ac:dyDescent="0.2">
      <c r="A19" s="83"/>
      <c r="B19" s="84"/>
      <c r="C19" s="101"/>
      <c r="D19" s="86"/>
      <c r="E19" s="87"/>
      <c r="F19" s="88"/>
      <c r="G19" s="89"/>
      <c r="H19" s="90"/>
      <c r="I19" s="88"/>
      <c r="J19" s="113"/>
      <c r="K19" s="114"/>
      <c r="L19" s="88"/>
      <c r="M19" s="86"/>
      <c r="N19" s="87"/>
      <c r="O19" s="88"/>
      <c r="P19" s="113"/>
      <c r="Q19" s="114"/>
      <c r="R19" s="96"/>
      <c r="S19" s="113"/>
      <c r="T19" s="114"/>
      <c r="U19" s="115"/>
      <c r="V19" s="113"/>
      <c r="W19" s="114"/>
      <c r="X19" s="115"/>
    </row>
    <row r="20" spans="1:24" s="53" customFormat="1" x14ac:dyDescent="0.2">
      <c r="A20" s="83" t="s">
        <v>81</v>
      </c>
      <c r="B20" s="84" t="s">
        <v>86</v>
      </c>
      <c r="C20" s="101" t="s">
        <v>83</v>
      </c>
      <c r="D20" s="86">
        <f>'Exh JDT-5 (C&amp;I-RD)'!E63</f>
        <v>0.13758000000000001</v>
      </c>
      <c r="E20" s="87">
        <f>'Exh JDT-5 (C&amp;I-RD)'!H63</f>
        <v>0.1595</v>
      </c>
      <c r="F20" s="88">
        <f>IFERROR((E20-D20)/D20,"na")</f>
        <v>0.15932548335513877</v>
      </c>
      <c r="G20" s="102">
        <f>'Exh JDT-5 (C&amp;I-RD)'!E58</f>
        <v>422.79</v>
      </c>
      <c r="H20" s="103">
        <f>'Exh JDT-5 (C&amp;I-RD)'!H58</f>
        <v>422.79</v>
      </c>
      <c r="I20" s="104">
        <f>IFERROR((H20-G20)/G20,"na")</f>
        <v>0</v>
      </c>
      <c r="J20" s="105">
        <f>'Exh JDT-5 (C&amp;I-RD)'!E59</f>
        <v>123.82</v>
      </c>
      <c r="K20" s="106">
        <f>'Exh JDT-5 (C&amp;I-RD)'!H59</f>
        <v>143.55000000000001</v>
      </c>
      <c r="L20" s="104">
        <f>IFERROR((K20-J20)/J20,"na")</f>
        <v>0.15934420933613325</v>
      </c>
      <c r="M20" s="116" t="s">
        <v>74</v>
      </c>
      <c r="N20" s="117" t="s">
        <v>74</v>
      </c>
      <c r="O20" s="104" t="str">
        <f>IFERROR((N20-M20)/M20,"na")</f>
        <v>na</v>
      </c>
      <c r="P20" s="105">
        <f>'Exh JDT-5 (C&amp;I-RD)'!E60</f>
        <v>1.25</v>
      </c>
      <c r="Q20" s="106">
        <f>'Exh JDT-5 (C&amp;I-RD)'!H60</f>
        <v>1.44</v>
      </c>
      <c r="R20" s="109">
        <f>IFERROR((Q20-P20)/P20,"na")</f>
        <v>0.15199999999999997</v>
      </c>
      <c r="S20" s="110">
        <f>'Exh JDT-5 (MYRP)'!$H$64</f>
        <v>9.1599999999999997E-3</v>
      </c>
      <c r="T20" s="111">
        <f>'Exh JDT-5 (MYRP)'!$N$64</f>
        <v>-2.2100000000000002E-3</v>
      </c>
      <c r="U20" s="112">
        <f>'Exh JDT-5 (MYRP)'!$T$64</f>
        <v>-9.9299999999999996E-3</v>
      </c>
      <c r="V20" s="110">
        <f>'Exh JDT-5 (MYRP)'!$I$64</f>
        <v>3.8010000000000002E-2</v>
      </c>
      <c r="W20" s="111">
        <f>'Exh JDT-5 (MYRP)'!$O$64</f>
        <v>6.2480000000000001E-2</v>
      </c>
      <c r="X20" s="112">
        <f>'Exh JDT-5 (MYRP)'!$U$64</f>
        <v>8.0869999999999997E-2</v>
      </c>
    </row>
    <row r="21" spans="1:24" s="53" customFormat="1" x14ac:dyDescent="0.2">
      <c r="A21" s="83" t="s">
        <v>81</v>
      </c>
      <c r="B21" s="84" t="s">
        <v>86</v>
      </c>
      <c r="C21" s="101" t="s">
        <v>84</v>
      </c>
      <c r="D21" s="86">
        <f>'Exh JDT-5 (C&amp;I-RD)'!E64</f>
        <v>0.13758000000000001</v>
      </c>
      <c r="E21" s="87">
        <f>'Exh JDT-5 (C&amp;I-RD)'!H64</f>
        <v>0.1595</v>
      </c>
      <c r="F21" s="88">
        <f>IFERROR((E21-D21)/D21,"na")</f>
        <v>0.15932548335513877</v>
      </c>
      <c r="G21" s="102"/>
      <c r="H21" s="103"/>
      <c r="I21" s="104"/>
      <c r="J21" s="105"/>
      <c r="K21" s="106"/>
      <c r="L21" s="104"/>
      <c r="M21" s="116"/>
      <c r="N21" s="117"/>
      <c r="O21" s="104"/>
      <c r="P21" s="105"/>
      <c r="Q21" s="106"/>
      <c r="R21" s="109"/>
      <c r="S21" s="110">
        <f>'Exh JDT-5 (MYRP)'!$H$64</f>
        <v>9.1599999999999997E-3</v>
      </c>
      <c r="T21" s="111">
        <f>'Exh JDT-5 (MYRP)'!$N$64</f>
        <v>-2.2100000000000002E-3</v>
      </c>
      <c r="U21" s="112">
        <f>'Exh JDT-5 (MYRP)'!$T$64</f>
        <v>-9.9299999999999996E-3</v>
      </c>
      <c r="V21" s="110">
        <f>'Exh JDT-5 (MYRP)'!$I$64</f>
        <v>3.8010000000000002E-2</v>
      </c>
      <c r="W21" s="111">
        <f>'Exh JDT-5 (MYRP)'!$O$64</f>
        <v>6.2480000000000001E-2</v>
      </c>
      <c r="X21" s="112">
        <f>'Exh JDT-5 (MYRP)'!$U$64</f>
        <v>8.0869999999999997E-2</v>
      </c>
    </row>
    <row r="22" spans="1:24" s="53" customFormat="1" x14ac:dyDescent="0.2">
      <c r="A22" s="83" t="s">
        <v>81</v>
      </c>
      <c r="B22" s="84" t="s">
        <v>86</v>
      </c>
      <c r="C22" s="101" t="s">
        <v>85</v>
      </c>
      <c r="D22" s="86">
        <f>'Exh JDT-5 (C&amp;I-RD)'!E65</f>
        <v>0.11074000000000001</v>
      </c>
      <c r="E22" s="87">
        <f>'Exh JDT-5 (C&amp;I-RD)'!H65</f>
        <v>0.12726999999999999</v>
      </c>
      <c r="F22" s="88">
        <f>IFERROR((E22-D22)/D22,"na")</f>
        <v>0.14926855698031413</v>
      </c>
      <c r="G22" s="102"/>
      <c r="H22" s="103"/>
      <c r="I22" s="104"/>
      <c r="J22" s="105"/>
      <c r="K22" s="106"/>
      <c r="L22" s="104"/>
      <c r="M22" s="116"/>
      <c r="N22" s="117"/>
      <c r="O22" s="104"/>
      <c r="P22" s="105"/>
      <c r="Q22" s="106"/>
      <c r="R22" s="109"/>
      <c r="S22" s="110">
        <f>'Exh JDT-5 (MYRP)'!$H$64</f>
        <v>9.1599999999999997E-3</v>
      </c>
      <c r="T22" s="111">
        <f>'Exh JDT-5 (MYRP)'!$N$64</f>
        <v>-2.2100000000000002E-3</v>
      </c>
      <c r="U22" s="112">
        <f>'Exh JDT-5 (MYRP)'!$T$64</f>
        <v>-9.9299999999999996E-3</v>
      </c>
      <c r="V22" s="110">
        <f>'Exh JDT-5 (MYRP)'!$I$64</f>
        <v>3.8010000000000002E-2</v>
      </c>
      <c r="W22" s="111">
        <f>'Exh JDT-5 (MYRP)'!$O$64</f>
        <v>6.2480000000000001E-2</v>
      </c>
      <c r="X22" s="112">
        <f>'Exh JDT-5 (MYRP)'!$U$64</f>
        <v>8.0869999999999997E-2</v>
      </c>
    </row>
    <row r="23" spans="1:24" s="53" customFormat="1" x14ac:dyDescent="0.2">
      <c r="A23" s="83"/>
      <c r="B23" s="84"/>
      <c r="C23" s="101"/>
      <c r="D23" s="86"/>
      <c r="E23" s="87"/>
      <c r="F23" s="88"/>
      <c r="G23" s="89"/>
      <c r="H23" s="90"/>
      <c r="I23" s="88"/>
      <c r="J23" s="76"/>
      <c r="K23" s="77"/>
      <c r="L23" s="78"/>
      <c r="M23" s="99"/>
      <c r="N23" s="100"/>
      <c r="O23" s="78"/>
      <c r="P23" s="91"/>
      <c r="Q23" s="92"/>
      <c r="R23" s="96"/>
      <c r="S23" s="91"/>
      <c r="T23" s="92"/>
      <c r="U23" s="98"/>
      <c r="V23" s="91"/>
      <c r="W23" s="92"/>
      <c r="X23" s="98"/>
    </row>
    <row r="24" spans="1:24" s="53" customFormat="1" x14ac:dyDescent="0.2">
      <c r="A24" s="83" t="s">
        <v>87</v>
      </c>
      <c r="B24" s="84" t="s">
        <v>88</v>
      </c>
      <c r="C24" s="101" t="s">
        <v>89</v>
      </c>
      <c r="D24" s="86">
        <f>'Exh JDT-5 (INTRPL-RD)'!E18</f>
        <v>0.1084</v>
      </c>
      <c r="E24" s="87">
        <f>'Exh JDT-5 (INTRPL-RD)'!H18</f>
        <v>0.13239000000000001</v>
      </c>
      <c r="F24" s="88">
        <f>IFERROR((E24-D24)/D24,"na")</f>
        <v>0.22130996309963111</v>
      </c>
      <c r="G24" s="102">
        <f>'Exh JDT-5 (INTRPL-RD)'!E12</f>
        <v>595.08000000000004</v>
      </c>
      <c r="H24" s="103">
        <f>'Exh JDT-5 (INTRPL-RD)'!H12</f>
        <v>701.68</v>
      </c>
      <c r="I24" s="104">
        <f>IFERROR((H24-G24)/G24,"na")</f>
        <v>0.17913557840962543</v>
      </c>
      <c r="J24" s="118"/>
      <c r="K24" s="119"/>
      <c r="L24" s="104" t="str">
        <f>IFERROR((K24-J24)/J24,"na")</f>
        <v>na</v>
      </c>
      <c r="M24" s="107">
        <f>'Exh JDT-5 (INTRPL-RD)'!E14</f>
        <v>7.0499999999999998E-3</v>
      </c>
      <c r="N24" s="108">
        <f>'Exh JDT-5 (INTRPL-RD)'!H14</f>
        <v>8.3099999999999997E-3</v>
      </c>
      <c r="O24" s="104">
        <f>IFERROR((N24-M24)/M24,"na")</f>
        <v>0.17872340425531913</v>
      </c>
      <c r="P24" s="105">
        <f>'Exh JDT-5 (INTRPL-RD)'!E13</f>
        <v>1.3</v>
      </c>
      <c r="Q24" s="106">
        <f>'Exh JDT-5 (INTRPL-RD)'!H13</f>
        <v>1.53</v>
      </c>
      <c r="R24" s="109">
        <f>IFERROR((Q24-P24)/P24,"na")</f>
        <v>0.17692307692307691</v>
      </c>
      <c r="S24" s="110">
        <f>'Exh JDT-5 (MYRP)'!$H$102</f>
        <v>5.7200000000000003E-3</v>
      </c>
      <c r="T24" s="111">
        <f>'Exh JDT-5 (MYRP)'!$N$102</f>
        <v>-1.41E-3</v>
      </c>
      <c r="U24" s="112">
        <f>'Exh JDT-5 (MYRP)'!$T$102</f>
        <v>-6.45E-3</v>
      </c>
      <c r="V24" s="110">
        <f>'Exh JDT-5 (MYRP)'!$I$102</f>
        <v>2.3709999999999998E-2</v>
      </c>
      <c r="W24" s="111">
        <f>'Exh JDT-5 (MYRP)'!$O$102</f>
        <v>3.9879999999999999E-2</v>
      </c>
      <c r="X24" s="112">
        <f>'Exh JDT-5 (MYRP)'!$U$102</f>
        <v>5.2569999999999999E-2</v>
      </c>
    </row>
    <row r="25" spans="1:24" s="53" customFormat="1" x14ac:dyDescent="0.2">
      <c r="A25" s="83" t="s">
        <v>87</v>
      </c>
      <c r="B25" s="84" t="s">
        <v>88</v>
      </c>
      <c r="C25" s="101" t="s">
        <v>90</v>
      </c>
      <c r="D25" s="86">
        <f>'Exh JDT-5 (INTRPL-RD)'!E19</f>
        <v>5.3650000000000003E-2</v>
      </c>
      <c r="E25" s="87">
        <f>'Exh JDT-5 (INTRPL-RD)'!H19</f>
        <v>6.3259999999999997E-2</v>
      </c>
      <c r="F25" s="88">
        <f>IFERROR((E25-D25)/D25,"na")</f>
        <v>0.17912395153774452</v>
      </c>
      <c r="G25" s="102"/>
      <c r="H25" s="103"/>
      <c r="I25" s="104"/>
      <c r="J25" s="118"/>
      <c r="K25" s="119"/>
      <c r="L25" s="104"/>
      <c r="M25" s="107"/>
      <c r="N25" s="108"/>
      <c r="O25" s="104"/>
      <c r="P25" s="105"/>
      <c r="Q25" s="106"/>
      <c r="R25" s="109"/>
      <c r="S25" s="110">
        <f>'Exh JDT-5 (MYRP)'!$H$102</f>
        <v>5.7200000000000003E-3</v>
      </c>
      <c r="T25" s="111">
        <f>'Exh JDT-5 (MYRP)'!$N$102</f>
        <v>-1.41E-3</v>
      </c>
      <c r="U25" s="112">
        <f>'Exh JDT-5 (MYRP)'!$T$102</f>
        <v>-6.45E-3</v>
      </c>
      <c r="V25" s="110">
        <f>'Exh JDT-5 (MYRP)'!$I$102</f>
        <v>2.3709999999999998E-2</v>
      </c>
      <c r="W25" s="111">
        <f>'Exh JDT-5 (MYRP)'!$O$102</f>
        <v>3.9879999999999999E-2</v>
      </c>
      <c r="X25" s="112">
        <f>'Exh JDT-5 (MYRP)'!$U$102</f>
        <v>5.2569999999999999E-2</v>
      </c>
    </row>
    <row r="26" spans="1:24" s="53" customFormat="1" x14ac:dyDescent="0.2">
      <c r="A26" s="83" t="s">
        <v>87</v>
      </c>
      <c r="B26" s="84" t="s">
        <v>88</v>
      </c>
      <c r="C26" s="101" t="s">
        <v>91</v>
      </c>
      <c r="D26" s="86">
        <f>'Exh JDT-5 (INTRPL-RD)'!E20</f>
        <v>5.1319999999999998E-2</v>
      </c>
      <c r="E26" s="87">
        <f>'Exh JDT-5 (INTRPL-RD)'!H20</f>
        <v>6.0510000000000001E-2</v>
      </c>
      <c r="F26" s="88">
        <f>IFERROR((E26-D26)/D26,"na")</f>
        <v>0.17907248636009362</v>
      </c>
      <c r="G26" s="102"/>
      <c r="H26" s="103"/>
      <c r="I26" s="104"/>
      <c r="J26" s="118"/>
      <c r="K26" s="119"/>
      <c r="L26" s="104"/>
      <c r="M26" s="107"/>
      <c r="N26" s="108"/>
      <c r="O26" s="104"/>
      <c r="P26" s="105"/>
      <c r="Q26" s="106"/>
      <c r="R26" s="109"/>
      <c r="S26" s="110">
        <f>'Exh JDT-5 (MYRP)'!$H$102</f>
        <v>5.7200000000000003E-3</v>
      </c>
      <c r="T26" s="111">
        <f>'Exh JDT-5 (MYRP)'!$N$102</f>
        <v>-1.41E-3</v>
      </c>
      <c r="U26" s="112">
        <f>'Exh JDT-5 (MYRP)'!$T$102</f>
        <v>-6.45E-3</v>
      </c>
      <c r="V26" s="110">
        <f>'Exh JDT-5 (MYRP)'!$I$102</f>
        <v>2.3709999999999998E-2</v>
      </c>
      <c r="W26" s="111">
        <f>'Exh JDT-5 (MYRP)'!$O$102</f>
        <v>3.9879999999999999E-2</v>
      </c>
      <c r="X26" s="112">
        <f>'Exh JDT-5 (MYRP)'!$U$102</f>
        <v>5.2569999999999999E-2</v>
      </c>
    </row>
    <row r="27" spans="1:24" s="53" customFormat="1" x14ac:dyDescent="0.2">
      <c r="A27" s="83"/>
      <c r="B27" s="84"/>
      <c r="C27" s="101"/>
      <c r="D27" s="86"/>
      <c r="E27" s="87"/>
      <c r="F27" s="88"/>
      <c r="G27" s="89"/>
      <c r="H27" s="90"/>
      <c r="I27" s="88"/>
      <c r="J27" s="120"/>
      <c r="K27" s="121"/>
      <c r="L27" s="78"/>
      <c r="M27" s="99"/>
      <c r="N27" s="100"/>
      <c r="O27" s="78"/>
      <c r="P27" s="91"/>
      <c r="Q27" s="92"/>
      <c r="R27" s="96"/>
      <c r="S27" s="91"/>
      <c r="T27" s="92"/>
      <c r="U27" s="98"/>
      <c r="V27" s="91"/>
      <c r="W27" s="92"/>
      <c r="X27" s="98"/>
    </row>
    <row r="28" spans="1:24" s="53" customFormat="1" x14ac:dyDescent="0.2">
      <c r="A28" s="83" t="s">
        <v>87</v>
      </c>
      <c r="B28" s="84" t="s">
        <v>92</v>
      </c>
      <c r="C28" s="101" t="s">
        <v>89</v>
      </c>
      <c r="D28" s="86">
        <f>'Exh JDT-5 (INTRPL-RD)'!E33</f>
        <v>0.1084</v>
      </c>
      <c r="E28" s="87">
        <f>'Exh JDT-5 (INTRPL-RD)'!H33</f>
        <v>0.13239000000000001</v>
      </c>
      <c r="F28" s="88">
        <f>IFERROR((E28-D28)/D28,"na")</f>
        <v>0.22130996309963111</v>
      </c>
      <c r="G28" s="102">
        <f>'Exh JDT-5 (INTRPL-RD)'!E28</f>
        <v>903.09</v>
      </c>
      <c r="H28" s="103">
        <f>'Exh JDT-5 (INTRPL-RD)'!H28</f>
        <v>903.09</v>
      </c>
      <c r="I28" s="104">
        <f>IFERROR((H28-G28)/G28,"na")</f>
        <v>0</v>
      </c>
      <c r="J28" s="118"/>
      <c r="K28" s="119"/>
      <c r="L28" s="104" t="str">
        <f>IFERROR((K28-J28)/J28,"na")</f>
        <v>na</v>
      </c>
      <c r="M28" s="116" t="s">
        <v>74</v>
      </c>
      <c r="N28" s="117" t="s">
        <v>74</v>
      </c>
      <c r="O28" s="104" t="str">
        <f>IFERROR((N28-M28)/M28,"na")</f>
        <v>na</v>
      </c>
      <c r="P28" s="105">
        <f>'Exh JDT-5 (INTRPL-RD)'!E29</f>
        <v>1.3</v>
      </c>
      <c r="Q28" s="106">
        <f>'Exh JDT-5 (INTRPL-RD)'!H29</f>
        <v>1.53</v>
      </c>
      <c r="R28" s="109">
        <f>IFERROR((Q28-P28)/P28,"na")</f>
        <v>0.17692307692307691</v>
      </c>
      <c r="S28" s="110">
        <f>'Exh JDT-5 (MYRP)'!$H$102</f>
        <v>5.7200000000000003E-3</v>
      </c>
      <c r="T28" s="111">
        <f>'Exh JDT-5 (MYRP)'!$N$102</f>
        <v>-1.41E-3</v>
      </c>
      <c r="U28" s="112">
        <f>'Exh JDT-5 (MYRP)'!$T$102</f>
        <v>-6.45E-3</v>
      </c>
      <c r="V28" s="110">
        <f>'Exh JDT-5 (MYRP)'!$I$102</f>
        <v>2.3709999999999998E-2</v>
      </c>
      <c r="W28" s="111">
        <f>'Exh JDT-5 (MYRP)'!$O$102</f>
        <v>3.9879999999999999E-2</v>
      </c>
      <c r="X28" s="112">
        <f>'Exh JDT-5 (MYRP)'!$U$102</f>
        <v>5.2569999999999999E-2</v>
      </c>
    </row>
    <row r="29" spans="1:24" s="53" customFormat="1" x14ac:dyDescent="0.2">
      <c r="A29" s="83" t="s">
        <v>87</v>
      </c>
      <c r="B29" s="84" t="s">
        <v>92</v>
      </c>
      <c r="C29" s="101" t="s">
        <v>90</v>
      </c>
      <c r="D29" s="86">
        <f>'Exh JDT-5 (INTRPL-RD)'!E34</f>
        <v>5.3650000000000003E-2</v>
      </c>
      <c r="E29" s="87">
        <f>'Exh JDT-5 (INTRPL-RD)'!H34</f>
        <v>6.3259999999999997E-2</v>
      </c>
      <c r="F29" s="88">
        <f>IFERROR((E29-D29)/D29,"na")</f>
        <v>0.17912395153774452</v>
      </c>
      <c r="G29" s="102"/>
      <c r="H29" s="103"/>
      <c r="I29" s="104"/>
      <c r="J29" s="118"/>
      <c r="K29" s="119"/>
      <c r="L29" s="104"/>
      <c r="M29" s="116"/>
      <c r="N29" s="117"/>
      <c r="O29" s="104"/>
      <c r="P29" s="105"/>
      <c r="Q29" s="106"/>
      <c r="R29" s="109"/>
      <c r="S29" s="110">
        <f>'Exh JDT-5 (MYRP)'!$H$102</f>
        <v>5.7200000000000003E-3</v>
      </c>
      <c r="T29" s="111">
        <f>'Exh JDT-5 (MYRP)'!$N$102</f>
        <v>-1.41E-3</v>
      </c>
      <c r="U29" s="112">
        <f>'Exh JDT-5 (MYRP)'!$T$102</f>
        <v>-6.45E-3</v>
      </c>
      <c r="V29" s="110">
        <f>'Exh JDT-5 (MYRP)'!$I$102</f>
        <v>2.3709999999999998E-2</v>
      </c>
      <c r="W29" s="111">
        <f>'Exh JDT-5 (MYRP)'!$O$102</f>
        <v>3.9879999999999999E-2</v>
      </c>
      <c r="X29" s="112">
        <f>'Exh JDT-5 (MYRP)'!$U$102</f>
        <v>5.2569999999999999E-2</v>
      </c>
    </row>
    <row r="30" spans="1:24" s="53" customFormat="1" x14ac:dyDescent="0.2">
      <c r="A30" s="83" t="s">
        <v>87</v>
      </c>
      <c r="B30" s="84" t="s">
        <v>92</v>
      </c>
      <c r="C30" s="101" t="s">
        <v>91</v>
      </c>
      <c r="D30" s="86">
        <f>'Exh JDT-5 (INTRPL-RD)'!E35</f>
        <v>5.1319999999999998E-2</v>
      </c>
      <c r="E30" s="87">
        <f>'Exh JDT-5 (INTRPL-RD)'!H35</f>
        <v>6.0510000000000001E-2</v>
      </c>
      <c r="F30" s="88">
        <f>IFERROR((E30-D30)/D30,"na")</f>
        <v>0.17907248636009362</v>
      </c>
      <c r="G30" s="102"/>
      <c r="H30" s="103"/>
      <c r="I30" s="104"/>
      <c r="J30" s="118"/>
      <c r="K30" s="119"/>
      <c r="L30" s="104"/>
      <c r="M30" s="116"/>
      <c r="N30" s="117"/>
      <c r="O30" s="104"/>
      <c r="P30" s="105"/>
      <c r="Q30" s="106"/>
      <c r="R30" s="109"/>
      <c r="S30" s="110">
        <f>'Exh JDT-5 (MYRP)'!$H$102</f>
        <v>5.7200000000000003E-3</v>
      </c>
      <c r="T30" s="111">
        <f>'Exh JDT-5 (MYRP)'!$N$102</f>
        <v>-1.41E-3</v>
      </c>
      <c r="U30" s="112">
        <f>'Exh JDT-5 (MYRP)'!$T$102</f>
        <v>-6.45E-3</v>
      </c>
      <c r="V30" s="110">
        <f>'Exh JDT-5 (MYRP)'!$I$102</f>
        <v>2.3709999999999998E-2</v>
      </c>
      <c r="W30" s="111">
        <f>'Exh JDT-5 (MYRP)'!$O$102</f>
        <v>3.9879999999999999E-2</v>
      </c>
      <c r="X30" s="112">
        <f>'Exh JDT-5 (MYRP)'!$U$102</f>
        <v>5.2569999999999999E-2</v>
      </c>
    </row>
    <row r="31" spans="1:24" s="53" customFormat="1" x14ac:dyDescent="0.2">
      <c r="A31" s="83"/>
      <c r="B31" s="84"/>
      <c r="C31" s="101"/>
      <c r="D31" s="86"/>
      <c r="E31" s="87"/>
      <c r="F31" s="88"/>
      <c r="G31" s="89"/>
      <c r="H31" s="90"/>
      <c r="I31" s="88"/>
      <c r="J31" s="120"/>
      <c r="K31" s="121"/>
      <c r="L31" s="78"/>
      <c r="M31" s="99"/>
      <c r="N31" s="100"/>
      <c r="O31" s="78"/>
      <c r="P31" s="91"/>
      <c r="Q31" s="92"/>
      <c r="R31" s="96"/>
      <c r="S31" s="91"/>
      <c r="T31" s="92"/>
      <c r="U31" s="98"/>
      <c r="V31" s="91"/>
      <c r="W31" s="92"/>
      <c r="X31" s="98"/>
    </row>
    <row r="32" spans="1:24" s="53" customFormat="1" x14ac:dyDescent="0.2">
      <c r="A32" s="83" t="s">
        <v>93</v>
      </c>
      <c r="B32" s="84" t="s">
        <v>94</v>
      </c>
      <c r="C32" s="101" t="s">
        <v>95</v>
      </c>
      <c r="D32" s="86">
        <f>'Exh JDT-5 (INTRPL-RD)'!E65</f>
        <v>0.18382000000000001</v>
      </c>
      <c r="E32" s="87">
        <f>'Exh JDT-5 (INTRPL-RD)'!H65</f>
        <v>0.18382000000000001</v>
      </c>
      <c r="F32" s="88">
        <f>IFERROR((E32-D32)/D32,"na")</f>
        <v>0</v>
      </c>
      <c r="G32" s="102">
        <f>'Exh JDT-5 (INTRPL-RD)'!E59</f>
        <v>148.82</v>
      </c>
      <c r="H32" s="103">
        <f>'Exh JDT-5 (INTRPL-RD)'!H59</f>
        <v>148.82</v>
      </c>
      <c r="I32" s="122">
        <f>IFERROR((H32-G32)/G32,"na")</f>
        <v>0</v>
      </c>
      <c r="J32" s="118"/>
      <c r="K32" s="119"/>
      <c r="L32" s="122" t="str">
        <f>IFERROR((K32-J32)/J32,"na")</f>
        <v>na</v>
      </c>
      <c r="M32" s="107">
        <f>'Exh JDT-5 (INTRPL-RD)'!E61</f>
        <v>1.222E-2</v>
      </c>
      <c r="N32" s="108">
        <f>'Exh JDT-5 (INTRPL-RD)'!H61</f>
        <v>1.222E-2</v>
      </c>
      <c r="O32" s="122">
        <f>IFERROR((N32-M32)/M32,"na")</f>
        <v>0</v>
      </c>
      <c r="P32" s="105">
        <f>'Exh JDT-5 (INTRPL-RD)'!E60</f>
        <v>1.35</v>
      </c>
      <c r="Q32" s="106">
        <f>'Exh JDT-5 (INTRPL-RD)'!H60</f>
        <v>1.35</v>
      </c>
      <c r="R32" s="123">
        <f>IFERROR((Q32-P32)/P32,"na")</f>
        <v>0</v>
      </c>
      <c r="S32" s="110">
        <f>'Exh JDT-5 (MYRP)'!$H$139</f>
        <v>6.7999999999999996E-3</v>
      </c>
      <c r="T32" s="111">
        <f>'Exh JDT-5 (MYRP)'!$N$139</f>
        <v>-1.6999999999999999E-3</v>
      </c>
      <c r="U32" s="112">
        <f>'Exh JDT-5 (MYRP)'!$T$139</f>
        <v>-7.9699999999999997E-3</v>
      </c>
      <c r="V32" s="110">
        <f>'Exh JDT-5 (MYRP)'!$I$139</f>
        <v>2.819E-2</v>
      </c>
      <c r="W32" s="111">
        <f>'Exh JDT-5 (MYRP)'!$O$139</f>
        <v>4.8129999999999999E-2</v>
      </c>
      <c r="X32" s="112">
        <f>'Exh JDT-5 (MYRP)'!$U$139</f>
        <v>6.4939999999999998E-2</v>
      </c>
    </row>
    <row r="33" spans="1:24" s="53" customFormat="1" x14ac:dyDescent="0.2">
      <c r="A33" s="83" t="s">
        <v>93</v>
      </c>
      <c r="B33" s="84" t="s">
        <v>94</v>
      </c>
      <c r="C33" s="101" t="s">
        <v>96</v>
      </c>
      <c r="D33" s="86">
        <f>'Exh JDT-5 (INTRPL-RD)'!E66</f>
        <v>0.13031000000000001</v>
      </c>
      <c r="E33" s="87">
        <f>'Exh JDT-5 (INTRPL-RD)'!H66</f>
        <v>0.13031000000000001</v>
      </c>
      <c r="F33" s="88">
        <f>IFERROR((E33-D33)/D33,"na")</f>
        <v>0</v>
      </c>
      <c r="G33" s="102"/>
      <c r="H33" s="103"/>
      <c r="I33" s="122"/>
      <c r="J33" s="118"/>
      <c r="K33" s="119"/>
      <c r="L33" s="122"/>
      <c r="M33" s="107"/>
      <c r="N33" s="108"/>
      <c r="O33" s="122"/>
      <c r="P33" s="105"/>
      <c r="Q33" s="106"/>
      <c r="R33" s="123"/>
      <c r="S33" s="110">
        <f>'Exh JDT-5 (MYRP)'!$H$139</f>
        <v>6.7999999999999996E-3</v>
      </c>
      <c r="T33" s="111">
        <f>'Exh JDT-5 (MYRP)'!$N$139</f>
        <v>-1.6999999999999999E-3</v>
      </c>
      <c r="U33" s="112">
        <f>'Exh JDT-5 (MYRP)'!$T$139</f>
        <v>-7.9699999999999997E-3</v>
      </c>
      <c r="V33" s="110">
        <f>'Exh JDT-5 (MYRP)'!$I$139</f>
        <v>2.819E-2</v>
      </c>
      <c r="W33" s="111">
        <f>'Exh JDT-5 (MYRP)'!$O$139</f>
        <v>4.8129999999999999E-2</v>
      </c>
      <c r="X33" s="112">
        <f>'Exh JDT-5 (MYRP)'!$U$139</f>
        <v>6.4939999999999998E-2</v>
      </c>
    </row>
    <row r="34" spans="1:24" s="53" customFormat="1" x14ac:dyDescent="0.2">
      <c r="A34" s="83"/>
      <c r="B34" s="84"/>
      <c r="C34" s="101"/>
      <c r="D34" s="86"/>
      <c r="E34" s="87"/>
      <c r="F34" s="88"/>
      <c r="G34" s="89"/>
      <c r="H34" s="90"/>
      <c r="I34" s="88"/>
      <c r="J34" s="120"/>
      <c r="K34" s="121"/>
      <c r="L34" s="78"/>
      <c r="M34" s="99"/>
      <c r="N34" s="100"/>
      <c r="O34" s="78"/>
      <c r="P34" s="91"/>
      <c r="Q34" s="92"/>
      <c r="R34" s="96"/>
      <c r="S34" s="91"/>
      <c r="T34" s="92"/>
      <c r="U34" s="98"/>
      <c r="V34" s="91"/>
      <c r="W34" s="92"/>
      <c r="X34" s="98"/>
    </row>
    <row r="35" spans="1:24" s="53" customFormat="1" x14ac:dyDescent="0.2">
      <c r="A35" s="83" t="s">
        <v>93</v>
      </c>
      <c r="B35" s="84" t="s">
        <v>97</v>
      </c>
      <c r="C35" s="101" t="s">
        <v>95</v>
      </c>
      <c r="D35" s="86">
        <f>'Exh JDT-5 (INTRPL-RD)'!E79</f>
        <v>0.18382000000000001</v>
      </c>
      <c r="E35" s="87">
        <f>'Exh JDT-5 (INTRPL-RD)'!H79</f>
        <v>0.18382000000000001</v>
      </c>
      <c r="F35" s="88">
        <f>IFERROR((E35-D35)/D35,"na")</f>
        <v>0</v>
      </c>
      <c r="G35" s="102">
        <f>'Exh JDT-5 (INTRPL-RD)'!E74</f>
        <v>457.76</v>
      </c>
      <c r="H35" s="103">
        <f>'Exh JDT-5 (INTRPL-RD)'!H74</f>
        <v>457.76</v>
      </c>
      <c r="I35" s="122">
        <f>IFERROR((H35-G35)/G35,"na")</f>
        <v>0</v>
      </c>
      <c r="J35" s="118"/>
      <c r="K35" s="119"/>
      <c r="L35" s="122" t="str">
        <f>IFERROR((K35-J35)/J35,"na")</f>
        <v>na</v>
      </c>
      <c r="M35" s="116" t="s">
        <v>74</v>
      </c>
      <c r="N35" s="117" t="s">
        <v>74</v>
      </c>
      <c r="O35" s="122" t="str">
        <f>IFERROR((N35-M35)/M35,"na")</f>
        <v>na</v>
      </c>
      <c r="P35" s="105">
        <f>'Exh JDT-5 (INTRPL-RD)'!E75</f>
        <v>1.35</v>
      </c>
      <c r="Q35" s="106">
        <f>'Exh JDT-5 (INTRPL-RD)'!H75</f>
        <v>1.35</v>
      </c>
      <c r="R35" s="123">
        <f>IFERROR((Q35-P35)/P35,"na")</f>
        <v>0</v>
      </c>
      <c r="S35" s="110">
        <f>'Exh JDT-5 (MYRP)'!$H$139</f>
        <v>6.7999999999999996E-3</v>
      </c>
      <c r="T35" s="111">
        <f>'Exh JDT-5 (MYRP)'!$N$139</f>
        <v>-1.6999999999999999E-3</v>
      </c>
      <c r="U35" s="112">
        <f>'Exh JDT-5 (MYRP)'!$T$139</f>
        <v>-7.9699999999999997E-3</v>
      </c>
      <c r="V35" s="110">
        <f>'Exh JDT-5 (MYRP)'!$I$139</f>
        <v>2.819E-2</v>
      </c>
      <c r="W35" s="111">
        <f>'Exh JDT-5 (MYRP)'!$O$139</f>
        <v>4.8129999999999999E-2</v>
      </c>
      <c r="X35" s="112">
        <f>'Exh JDT-5 (MYRP)'!$U$139</f>
        <v>6.4939999999999998E-2</v>
      </c>
    </row>
    <row r="36" spans="1:24" s="53" customFormat="1" x14ac:dyDescent="0.2">
      <c r="A36" s="83" t="s">
        <v>93</v>
      </c>
      <c r="B36" s="84" t="s">
        <v>97</v>
      </c>
      <c r="C36" s="101" t="s">
        <v>96</v>
      </c>
      <c r="D36" s="86">
        <f>'Exh JDT-5 (INTRPL-RD)'!E80</f>
        <v>0.13031000000000001</v>
      </c>
      <c r="E36" s="87">
        <f>'Exh JDT-5 (INTRPL-RD)'!H80</f>
        <v>0.13031000000000001</v>
      </c>
      <c r="F36" s="88">
        <f>IFERROR((E36-D36)/D36,"na")</f>
        <v>0</v>
      </c>
      <c r="G36" s="102"/>
      <c r="H36" s="103"/>
      <c r="I36" s="122"/>
      <c r="J36" s="118"/>
      <c r="K36" s="119"/>
      <c r="L36" s="122"/>
      <c r="M36" s="116"/>
      <c r="N36" s="117"/>
      <c r="O36" s="122"/>
      <c r="P36" s="105"/>
      <c r="Q36" s="106"/>
      <c r="R36" s="123"/>
      <c r="S36" s="110">
        <f>'Exh JDT-5 (MYRP)'!$H$139</f>
        <v>6.7999999999999996E-3</v>
      </c>
      <c r="T36" s="111">
        <f>'Exh JDT-5 (MYRP)'!$N$139</f>
        <v>-1.6999999999999999E-3</v>
      </c>
      <c r="U36" s="112">
        <f>'Exh JDT-5 (MYRP)'!$T$139</f>
        <v>-7.9699999999999997E-3</v>
      </c>
      <c r="V36" s="110">
        <f>'Exh JDT-5 (MYRP)'!$I$139</f>
        <v>2.819E-2</v>
      </c>
      <c r="W36" s="111">
        <f>'Exh JDT-5 (MYRP)'!$O$139</f>
        <v>4.8129999999999999E-2</v>
      </c>
      <c r="X36" s="112">
        <f>'Exh JDT-5 (MYRP)'!$U$139</f>
        <v>6.4939999999999998E-2</v>
      </c>
    </row>
    <row r="37" spans="1:24" s="53" customFormat="1" x14ac:dyDescent="0.2">
      <c r="A37" s="83"/>
      <c r="B37" s="84"/>
      <c r="C37" s="101"/>
      <c r="D37" s="86"/>
      <c r="E37" s="87"/>
      <c r="F37" s="88"/>
      <c r="G37" s="89"/>
      <c r="H37" s="90"/>
      <c r="I37" s="88"/>
      <c r="J37" s="120"/>
      <c r="K37" s="121"/>
      <c r="L37" s="78"/>
      <c r="M37" s="99"/>
      <c r="N37" s="100"/>
      <c r="O37" s="78"/>
      <c r="P37" s="91"/>
      <c r="Q37" s="92"/>
      <c r="R37" s="96"/>
      <c r="S37" s="91"/>
      <c r="T37" s="92"/>
      <c r="U37" s="98"/>
      <c r="V37" s="91"/>
      <c r="W37" s="92"/>
      <c r="X37" s="98"/>
    </row>
    <row r="38" spans="1:24" s="53" customFormat="1" x14ac:dyDescent="0.2">
      <c r="A38" s="83" t="s">
        <v>98</v>
      </c>
      <c r="B38" s="84" t="s">
        <v>99</v>
      </c>
      <c r="C38" s="101" t="s">
        <v>89</v>
      </c>
      <c r="D38" s="86">
        <f>'Exh JDT-5 (INTRPL-RD)'!E110</f>
        <v>0.17533000000000001</v>
      </c>
      <c r="E38" s="87">
        <f>'Exh JDT-5 (INTRPL-RD)'!H110</f>
        <v>0.20954999999999999</v>
      </c>
      <c r="F38" s="88">
        <f t="shared" ref="F38:F43" si="2">IFERROR((E38-D38)/D38,"na")</f>
        <v>0.19517481320937644</v>
      </c>
      <c r="G38" s="124">
        <f>'Exh JDT-5 (INTRPL-RD)'!E104</f>
        <v>606.5</v>
      </c>
      <c r="H38" s="125">
        <f>'Exh JDT-5 (INTRPL-RD)'!H104</f>
        <v>715.15</v>
      </c>
      <c r="I38" s="104">
        <f>IFERROR((H38-G38)/G38,"na")</f>
        <v>0.17914262159934044</v>
      </c>
      <c r="J38" s="118"/>
      <c r="K38" s="119"/>
      <c r="L38" s="104" t="str">
        <f>IFERROR((K38-J38)/J35,"na")</f>
        <v>na</v>
      </c>
      <c r="M38" s="126">
        <f>'Exh JDT-5 (INTRPL-RD)'!E106</f>
        <v>8.43E-3</v>
      </c>
      <c r="N38" s="127">
        <f>'Exh JDT-5 (INTRPL-RD)'!H106</f>
        <v>9.9399999999999992E-3</v>
      </c>
      <c r="O38" s="104">
        <f>IFERROR((N38-M38)/M38,"na")</f>
        <v>0.17912218268090144</v>
      </c>
      <c r="P38" s="128">
        <f>'Exh JDT-5 (INTRPL-RD)'!E105</f>
        <v>1.45</v>
      </c>
      <c r="Q38" s="129">
        <f>'Exh JDT-5 (INTRPL-RD)'!H105</f>
        <v>1.71</v>
      </c>
      <c r="R38" s="109">
        <f>IFERROR((Q38-P38)/P38,"na")</f>
        <v>0.17931034482758623</v>
      </c>
      <c r="S38" s="110">
        <f>'Exh JDT-5 (MYRP)'!$H$174</f>
        <v>3.2499999999999999E-3</v>
      </c>
      <c r="T38" s="111">
        <f>'Exh JDT-5 (MYRP)'!$N$174</f>
        <v>-7.2000000000000005E-4</v>
      </c>
      <c r="U38" s="112">
        <f>'Exh JDT-5 (MYRP)'!$T$174</f>
        <v>-3.1099999999999999E-3</v>
      </c>
      <c r="V38" s="110">
        <f>'Exh JDT-5 (MYRP)'!$I$174</f>
        <v>1.346E-2</v>
      </c>
      <c r="W38" s="111">
        <f>'Exh JDT-5 (MYRP)'!$O$174</f>
        <v>2.051E-2</v>
      </c>
      <c r="X38" s="112">
        <f>'Exh JDT-5 (MYRP)'!$U$174</f>
        <v>2.5340000000000001E-2</v>
      </c>
    </row>
    <row r="39" spans="1:24" s="53" customFormat="1" x14ac:dyDescent="0.2">
      <c r="A39" s="83" t="s">
        <v>98</v>
      </c>
      <c r="B39" s="84" t="s">
        <v>99</v>
      </c>
      <c r="C39" s="101" t="s">
        <v>90</v>
      </c>
      <c r="D39" s="86">
        <f>'Exh JDT-5 (INTRPL-RD)'!E111</f>
        <v>0.10595</v>
      </c>
      <c r="E39" s="87">
        <f>'Exh JDT-5 (INTRPL-RD)'!H111</f>
        <v>0.12493</v>
      </c>
      <c r="F39" s="88">
        <f t="shared" si="2"/>
        <v>0.17914110429447849</v>
      </c>
      <c r="G39" s="124"/>
      <c r="H39" s="125"/>
      <c r="I39" s="104"/>
      <c r="J39" s="118"/>
      <c r="K39" s="119"/>
      <c r="L39" s="104"/>
      <c r="M39" s="126"/>
      <c r="N39" s="127"/>
      <c r="O39" s="104"/>
      <c r="P39" s="128"/>
      <c r="Q39" s="129"/>
      <c r="R39" s="109"/>
      <c r="S39" s="110">
        <f>'Exh JDT-5 (MYRP)'!$H$174</f>
        <v>3.2499999999999999E-3</v>
      </c>
      <c r="T39" s="111">
        <f>'Exh JDT-5 (MYRP)'!$N$174</f>
        <v>-7.2000000000000005E-4</v>
      </c>
      <c r="U39" s="112">
        <f>'Exh JDT-5 (MYRP)'!$T$174</f>
        <v>-3.1099999999999999E-3</v>
      </c>
      <c r="V39" s="110">
        <f>'Exh JDT-5 (MYRP)'!$I$174</f>
        <v>1.346E-2</v>
      </c>
      <c r="W39" s="111">
        <f>'Exh JDT-5 (MYRP)'!$O$174</f>
        <v>2.051E-2</v>
      </c>
      <c r="X39" s="112">
        <f>'Exh JDT-5 (MYRP)'!$U$174</f>
        <v>2.5340000000000001E-2</v>
      </c>
    </row>
    <row r="40" spans="1:24" s="53" customFormat="1" x14ac:dyDescent="0.2">
      <c r="A40" s="83" t="s">
        <v>98</v>
      </c>
      <c r="B40" s="84" t="s">
        <v>99</v>
      </c>
      <c r="C40" s="101" t="s">
        <v>100</v>
      </c>
      <c r="D40" s="86">
        <f>'Exh JDT-5 (INTRPL-RD)'!E112</f>
        <v>6.7419999999999994E-2</v>
      </c>
      <c r="E40" s="87">
        <f>'Exh JDT-5 (INTRPL-RD)'!H112</f>
        <v>7.9500000000000001E-2</v>
      </c>
      <c r="F40" s="88">
        <f t="shared" si="2"/>
        <v>0.17917531889647001</v>
      </c>
      <c r="G40" s="124"/>
      <c r="H40" s="125"/>
      <c r="I40" s="104"/>
      <c r="J40" s="118"/>
      <c r="K40" s="119"/>
      <c r="L40" s="104"/>
      <c r="M40" s="126"/>
      <c r="N40" s="127"/>
      <c r="O40" s="104"/>
      <c r="P40" s="128"/>
      <c r="Q40" s="129"/>
      <c r="R40" s="109"/>
      <c r="S40" s="110">
        <f>'Exh JDT-5 (MYRP)'!$H$174</f>
        <v>3.2499999999999999E-3</v>
      </c>
      <c r="T40" s="111">
        <f>'Exh JDT-5 (MYRP)'!$N$174</f>
        <v>-7.2000000000000005E-4</v>
      </c>
      <c r="U40" s="112">
        <f>'Exh JDT-5 (MYRP)'!$T$174</f>
        <v>-3.1099999999999999E-3</v>
      </c>
      <c r="V40" s="110">
        <f>'Exh JDT-5 (MYRP)'!$I$174</f>
        <v>1.346E-2</v>
      </c>
      <c r="W40" s="111">
        <f>'Exh JDT-5 (MYRP)'!$O$174</f>
        <v>2.051E-2</v>
      </c>
      <c r="X40" s="112">
        <f>'Exh JDT-5 (MYRP)'!$U$174</f>
        <v>2.5340000000000001E-2</v>
      </c>
    </row>
    <row r="41" spans="1:24" s="53" customFormat="1" x14ac:dyDescent="0.2">
      <c r="A41" s="83" t="s">
        <v>98</v>
      </c>
      <c r="B41" s="84" t="s">
        <v>99</v>
      </c>
      <c r="C41" s="101" t="s">
        <v>101</v>
      </c>
      <c r="D41" s="86">
        <f>'Exh JDT-5 (INTRPL-RD)'!E113</f>
        <v>4.3229999999999998E-2</v>
      </c>
      <c r="E41" s="87">
        <f>'Exh JDT-5 (INTRPL-RD)'!H113</f>
        <v>5.0970000000000001E-2</v>
      </c>
      <c r="F41" s="88">
        <f t="shared" si="2"/>
        <v>0.17904233171408754</v>
      </c>
      <c r="G41" s="124"/>
      <c r="H41" s="125"/>
      <c r="I41" s="104"/>
      <c r="J41" s="118"/>
      <c r="K41" s="119"/>
      <c r="L41" s="104"/>
      <c r="M41" s="126"/>
      <c r="N41" s="127"/>
      <c r="O41" s="104"/>
      <c r="P41" s="128"/>
      <c r="Q41" s="129"/>
      <c r="R41" s="109"/>
      <c r="S41" s="110">
        <f>'Exh JDT-5 (MYRP)'!$H$174</f>
        <v>3.2499999999999999E-3</v>
      </c>
      <c r="T41" s="111">
        <f>'Exh JDT-5 (MYRP)'!$N$174</f>
        <v>-7.2000000000000005E-4</v>
      </c>
      <c r="U41" s="112">
        <f>'Exh JDT-5 (MYRP)'!$T$174</f>
        <v>-3.1099999999999999E-3</v>
      </c>
      <c r="V41" s="110">
        <f>'Exh JDT-5 (MYRP)'!$I$174</f>
        <v>1.346E-2</v>
      </c>
      <c r="W41" s="111">
        <f>'Exh JDT-5 (MYRP)'!$O$174</f>
        <v>2.051E-2</v>
      </c>
      <c r="X41" s="112">
        <f>'Exh JDT-5 (MYRP)'!$U$174</f>
        <v>2.5340000000000001E-2</v>
      </c>
    </row>
    <row r="42" spans="1:24" s="53" customFormat="1" x14ac:dyDescent="0.2">
      <c r="A42" s="83" t="s">
        <v>98</v>
      </c>
      <c r="B42" s="84" t="s">
        <v>99</v>
      </c>
      <c r="C42" s="101" t="s">
        <v>102</v>
      </c>
      <c r="D42" s="86">
        <f>'Exh JDT-5 (INTRPL-RD)'!E114</f>
        <v>3.1109999999999999E-2</v>
      </c>
      <c r="E42" s="87">
        <f>'Exh JDT-5 (INTRPL-RD)'!H114</f>
        <v>3.6679999999999997E-2</v>
      </c>
      <c r="F42" s="88">
        <f t="shared" si="2"/>
        <v>0.17904210864673734</v>
      </c>
      <c r="G42" s="124"/>
      <c r="H42" s="125"/>
      <c r="I42" s="104"/>
      <c r="J42" s="118"/>
      <c r="K42" s="119"/>
      <c r="L42" s="104"/>
      <c r="M42" s="126"/>
      <c r="N42" s="127"/>
      <c r="O42" s="104"/>
      <c r="P42" s="128"/>
      <c r="Q42" s="129"/>
      <c r="R42" s="109"/>
      <c r="S42" s="110">
        <f>'Exh JDT-5 (MYRP)'!$H$174</f>
        <v>3.2499999999999999E-3</v>
      </c>
      <c r="T42" s="111">
        <f>'Exh JDT-5 (MYRP)'!$N$174</f>
        <v>-7.2000000000000005E-4</v>
      </c>
      <c r="U42" s="112">
        <f>'Exh JDT-5 (MYRP)'!$T$174</f>
        <v>-3.1099999999999999E-3</v>
      </c>
      <c r="V42" s="110">
        <f>'Exh JDT-5 (MYRP)'!$I$174</f>
        <v>1.346E-2</v>
      </c>
      <c r="W42" s="111">
        <f>'Exh JDT-5 (MYRP)'!$O$174</f>
        <v>2.051E-2</v>
      </c>
      <c r="X42" s="112">
        <f>'Exh JDT-5 (MYRP)'!$U$174</f>
        <v>2.5340000000000001E-2</v>
      </c>
    </row>
    <row r="43" spans="1:24" s="53" customFormat="1" x14ac:dyDescent="0.2">
      <c r="A43" s="83" t="s">
        <v>98</v>
      </c>
      <c r="B43" s="84" t="s">
        <v>99</v>
      </c>
      <c r="C43" s="101" t="s">
        <v>103</v>
      </c>
      <c r="D43" s="86">
        <f>'Exh JDT-5 (INTRPL-RD)'!E115</f>
        <v>2.3990000000000001E-2</v>
      </c>
      <c r="E43" s="87">
        <f>'Exh JDT-5 (INTRPL-RD)'!H115</f>
        <v>2.8289999999999999E-2</v>
      </c>
      <c r="F43" s="88">
        <f t="shared" si="2"/>
        <v>0.17924135056273438</v>
      </c>
      <c r="G43" s="124"/>
      <c r="H43" s="125"/>
      <c r="I43" s="104"/>
      <c r="J43" s="118"/>
      <c r="K43" s="119"/>
      <c r="L43" s="104"/>
      <c r="M43" s="126"/>
      <c r="N43" s="127"/>
      <c r="O43" s="104"/>
      <c r="P43" s="128"/>
      <c r="Q43" s="129"/>
      <c r="R43" s="109"/>
      <c r="S43" s="110">
        <f>'Exh JDT-5 (MYRP)'!$H$174</f>
        <v>3.2499999999999999E-3</v>
      </c>
      <c r="T43" s="111">
        <f>'Exh JDT-5 (MYRP)'!$N$174</f>
        <v>-7.2000000000000005E-4</v>
      </c>
      <c r="U43" s="112">
        <f>'Exh JDT-5 (MYRP)'!$T$174</f>
        <v>-3.1099999999999999E-3</v>
      </c>
      <c r="V43" s="110">
        <f>'Exh JDT-5 (MYRP)'!$I$174</f>
        <v>1.346E-2</v>
      </c>
      <c r="W43" s="111">
        <f>'Exh JDT-5 (MYRP)'!$O$174</f>
        <v>2.051E-2</v>
      </c>
      <c r="X43" s="112">
        <f>'Exh JDT-5 (MYRP)'!$U$174</f>
        <v>2.5340000000000001E-2</v>
      </c>
    </row>
    <row r="44" spans="1:24" s="53" customFormat="1" x14ac:dyDescent="0.2">
      <c r="A44" s="83"/>
      <c r="B44" s="84"/>
      <c r="C44" s="101"/>
      <c r="D44" s="86"/>
      <c r="E44" s="87"/>
      <c r="F44" s="88"/>
      <c r="G44" s="89"/>
      <c r="H44" s="90"/>
      <c r="I44" s="88"/>
      <c r="J44" s="120"/>
      <c r="K44" s="121"/>
      <c r="L44" s="78"/>
      <c r="M44" s="99"/>
      <c r="N44" s="100"/>
      <c r="O44" s="78"/>
      <c r="P44" s="91"/>
      <c r="Q44" s="92"/>
      <c r="R44" s="96"/>
      <c r="S44" s="91"/>
      <c r="T44" s="92"/>
      <c r="U44" s="98"/>
      <c r="V44" s="91"/>
      <c r="W44" s="92"/>
      <c r="X44" s="98"/>
    </row>
    <row r="45" spans="1:24" s="53" customFormat="1" x14ac:dyDescent="0.2">
      <c r="A45" s="83" t="s">
        <v>98</v>
      </c>
      <c r="B45" s="84" t="s">
        <v>104</v>
      </c>
      <c r="C45" s="101" t="s">
        <v>89</v>
      </c>
      <c r="D45" s="86">
        <f>'Exh JDT-5 (INTRPL-RD)'!E128</f>
        <v>0.17533000000000001</v>
      </c>
      <c r="E45" s="87">
        <f>'Exh JDT-5 (INTRPL-RD)'!H128</f>
        <v>0.20954999999999999</v>
      </c>
      <c r="F45" s="88">
        <f t="shared" ref="F45:F50" si="3">IFERROR((E45-D45)/D45,"na")</f>
        <v>0.19517481320937644</v>
      </c>
      <c r="G45" s="124">
        <f>'Exh JDT-5 (INTRPL-RD)'!E123</f>
        <v>918.31</v>
      </c>
      <c r="H45" s="125">
        <f>'Exh JDT-5 (INTRPL-RD)'!H123</f>
        <v>1082.81</v>
      </c>
      <c r="I45" s="104">
        <f>IFERROR((H45-G45)/G45,"na")</f>
        <v>0.179133408108373</v>
      </c>
      <c r="J45" s="118"/>
      <c r="K45" s="119"/>
      <c r="L45" s="104" t="str">
        <f>IFERROR((K45-J45)/J42,"na")</f>
        <v>na</v>
      </c>
      <c r="M45" s="130" t="s">
        <v>74</v>
      </c>
      <c r="N45" s="131" t="s">
        <v>74</v>
      </c>
      <c r="O45" s="104" t="str">
        <f>IFERROR((N45-M45)/M45,"na")</f>
        <v>na</v>
      </c>
      <c r="P45" s="128">
        <f>'Exh JDT-5 (INTRPL-RD)'!E124</f>
        <v>1.45</v>
      </c>
      <c r="Q45" s="129">
        <f>'Exh JDT-5 (INTRPL-RD)'!H124</f>
        <v>1.71</v>
      </c>
      <c r="R45" s="109">
        <f>IFERROR((Q45-P45)/P45,"na")</f>
        <v>0.17931034482758623</v>
      </c>
      <c r="S45" s="110">
        <f>'Exh JDT-5 (MYRP)'!$H$174</f>
        <v>3.2499999999999999E-3</v>
      </c>
      <c r="T45" s="111">
        <f>'Exh JDT-5 (MYRP)'!$N$174</f>
        <v>-7.2000000000000005E-4</v>
      </c>
      <c r="U45" s="112">
        <f>'Exh JDT-5 (MYRP)'!$T$174</f>
        <v>-3.1099999999999999E-3</v>
      </c>
      <c r="V45" s="110">
        <f>'Exh JDT-5 (MYRP)'!$I$174</f>
        <v>1.346E-2</v>
      </c>
      <c r="W45" s="111">
        <f>'Exh JDT-5 (MYRP)'!$O$174</f>
        <v>2.051E-2</v>
      </c>
      <c r="X45" s="112">
        <f>'Exh JDT-5 (MYRP)'!$U$174</f>
        <v>2.5340000000000001E-2</v>
      </c>
    </row>
    <row r="46" spans="1:24" s="53" customFormat="1" x14ac:dyDescent="0.2">
      <c r="A46" s="83" t="s">
        <v>98</v>
      </c>
      <c r="B46" s="84" t="s">
        <v>104</v>
      </c>
      <c r="C46" s="101" t="s">
        <v>90</v>
      </c>
      <c r="D46" s="86">
        <f>'Exh JDT-5 (INTRPL-RD)'!E129</f>
        <v>0.10595</v>
      </c>
      <c r="E46" s="87">
        <f>'Exh JDT-5 (INTRPL-RD)'!H129</f>
        <v>0.12493</v>
      </c>
      <c r="F46" s="88">
        <f t="shared" si="3"/>
        <v>0.17914110429447849</v>
      </c>
      <c r="G46" s="124"/>
      <c r="H46" s="125"/>
      <c r="I46" s="104"/>
      <c r="J46" s="118"/>
      <c r="K46" s="119"/>
      <c r="L46" s="104"/>
      <c r="M46" s="130"/>
      <c r="N46" s="131"/>
      <c r="O46" s="104"/>
      <c r="P46" s="128"/>
      <c r="Q46" s="129"/>
      <c r="R46" s="109"/>
      <c r="S46" s="110">
        <f>'Exh JDT-5 (MYRP)'!$H$174</f>
        <v>3.2499999999999999E-3</v>
      </c>
      <c r="T46" s="111">
        <f>'Exh JDT-5 (MYRP)'!$N$174</f>
        <v>-7.2000000000000005E-4</v>
      </c>
      <c r="U46" s="112">
        <f>'Exh JDT-5 (MYRP)'!$T$174</f>
        <v>-3.1099999999999999E-3</v>
      </c>
      <c r="V46" s="110">
        <f>'Exh JDT-5 (MYRP)'!$I$174</f>
        <v>1.346E-2</v>
      </c>
      <c r="W46" s="111">
        <f>'Exh JDT-5 (MYRP)'!$O$174</f>
        <v>2.051E-2</v>
      </c>
      <c r="X46" s="112">
        <f>'Exh JDT-5 (MYRP)'!$U$174</f>
        <v>2.5340000000000001E-2</v>
      </c>
    </row>
    <row r="47" spans="1:24" s="53" customFormat="1" x14ac:dyDescent="0.2">
      <c r="A47" s="83" t="s">
        <v>98</v>
      </c>
      <c r="B47" s="84" t="s">
        <v>104</v>
      </c>
      <c r="C47" s="101" t="s">
        <v>100</v>
      </c>
      <c r="D47" s="86">
        <f>'Exh JDT-5 (INTRPL-RD)'!E130</f>
        <v>6.7419999999999994E-2</v>
      </c>
      <c r="E47" s="87">
        <f>'Exh JDT-5 (INTRPL-RD)'!H130</f>
        <v>7.9500000000000001E-2</v>
      </c>
      <c r="F47" s="88">
        <f t="shared" si="3"/>
        <v>0.17917531889647001</v>
      </c>
      <c r="G47" s="124"/>
      <c r="H47" s="125"/>
      <c r="I47" s="104"/>
      <c r="J47" s="118"/>
      <c r="K47" s="119"/>
      <c r="L47" s="104"/>
      <c r="M47" s="130"/>
      <c r="N47" s="131"/>
      <c r="O47" s="104"/>
      <c r="P47" s="128"/>
      <c r="Q47" s="129"/>
      <c r="R47" s="109"/>
      <c r="S47" s="110">
        <f>'Exh JDT-5 (MYRP)'!$H$174</f>
        <v>3.2499999999999999E-3</v>
      </c>
      <c r="T47" s="111">
        <f>'Exh JDT-5 (MYRP)'!$N$174</f>
        <v>-7.2000000000000005E-4</v>
      </c>
      <c r="U47" s="112">
        <f>'Exh JDT-5 (MYRP)'!$T$174</f>
        <v>-3.1099999999999999E-3</v>
      </c>
      <c r="V47" s="110">
        <f>'Exh JDT-5 (MYRP)'!$I$174</f>
        <v>1.346E-2</v>
      </c>
      <c r="W47" s="111">
        <f>'Exh JDT-5 (MYRP)'!$O$174</f>
        <v>2.051E-2</v>
      </c>
      <c r="X47" s="112">
        <f>'Exh JDT-5 (MYRP)'!$U$174</f>
        <v>2.5340000000000001E-2</v>
      </c>
    </row>
    <row r="48" spans="1:24" s="53" customFormat="1" x14ac:dyDescent="0.2">
      <c r="A48" s="83" t="s">
        <v>98</v>
      </c>
      <c r="B48" s="84" t="s">
        <v>104</v>
      </c>
      <c r="C48" s="101" t="s">
        <v>101</v>
      </c>
      <c r="D48" s="86">
        <f>'Exh JDT-5 (INTRPL-RD)'!E131</f>
        <v>4.3229999999999998E-2</v>
      </c>
      <c r="E48" s="87">
        <f>'Exh JDT-5 (INTRPL-RD)'!H131</f>
        <v>5.0970000000000001E-2</v>
      </c>
      <c r="F48" s="88">
        <f t="shared" si="3"/>
        <v>0.17904233171408754</v>
      </c>
      <c r="G48" s="124"/>
      <c r="H48" s="125"/>
      <c r="I48" s="104"/>
      <c r="J48" s="118"/>
      <c r="K48" s="119"/>
      <c r="L48" s="104"/>
      <c r="M48" s="130"/>
      <c r="N48" s="131"/>
      <c r="O48" s="104"/>
      <c r="P48" s="128"/>
      <c r="Q48" s="129"/>
      <c r="R48" s="109"/>
      <c r="S48" s="110">
        <f>'Exh JDT-5 (MYRP)'!$H$174</f>
        <v>3.2499999999999999E-3</v>
      </c>
      <c r="T48" s="111">
        <f>'Exh JDT-5 (MYRP)'!$N$174</f>
        <v>-7.2000000000000005E-4</v>
      </c>
      <c r="U48" s="112">
        <f>'Exh JDT-5 (MYRP)'!$T$174</f>
        <v>-3.1099999999999999E-3</v>
      </c>
      <c r="V48" s="110">
        <f>'Exh JDT-5 (MYRP)'!$I$174</f>
        <v>1.346E-2</v>
      </c>
      <c r="W48" s="111">
        <f>'Exh JDT-5 (MYRP)'!$O$174</f>
        <v>2.051E-2</v>
      </c>
      <c r="X48" s="112">
        <f>'Exh JDT-5 (MYRP)'!$U$174</f>
        <v>2.5340000000000001E-2</v>
      </c>
    </row>
    <row r="49" spans="1:24" s="53" customFormat="1" x14ac:dyDescent="0.2">
      <c r="A49" s="83" t="s">
        <v>98</v>
      </c>
      <c r="B49" s="84" t="s">
        <v>104</v>
      </c>
      <c r="C49" s="101" t="s">
        <v>102</v>
      </c>
      <c r="D49" s="86">
        <f>'Exh JDT-5 (INTRPL-RD)'!E132</f>
        <v>3.1109999999999999E-2</v>
      </c>
      <c r="E49" s="87">
        <f>'Exh JDT-5 (INTRPL-RD)'!H132</f>
        <v>3.6679999999999997E-2</v>
      </c>
      <c r="F49" s="88">
        <f t="shared" si="3"/>
        <v>0.17904210864673734</v>
      </c>
      <c r="G49" s="124"/>
      <c r="H49" s="125"/>
      <c r="I49" s="104"/>
      <c r="J49" s="118"/>
      <c r="K49" s="119"/>
      <c r="L49" s="104"/>
      <c r="M49" s="130"/>
      <c r="N49" s="131"/>
      <c r="O49" s="104"/>
      <c r="P49" s="128"/>
      <c r="Q49" s="129"/>
      <c r="R49" s="109"/>
      <c r="S49" s="110">
        <f>'Exh JDT-5 (MYRP)'!$H$174</f>
        <v>3.2499999999999999E-3</v>
      </c>
      <c r="T49" s="111">
        <f>'Exh JDT-5 (MYRP)'!$N$174</f>
        <v>-7.2000000000000005E-4</v>
      </c>
      <c r="U49" s="112">
        <f>'Exh JDT-5 (MYRP)'!$T$174</f>
        <v>-3.1099999999999999E-3</v>
      </c>
      <c r="V49" s="110">
        <f>'Exh JDT-5 (MYRP)'!$I$174</f>
        <v>1.346E-2</v>
      </c>
      <c r="W49" s="111">
        <f>'Exh JDT-5 (MYRP)'!$O$174</f>
        <v>2.051E-2</v>
      </c>
      <c r="X49" s="112">
        <f>'Exh JDT-5 (MYRP)'!$U$174</f>
        <v>2.5340000000000001E-2</v>
      </c>
    </row>
    <row r="50" spans="1:24" s="53" customFormat="1" x14ac:dyDescent="0.2">
      <c r="A50" s="132" t="s">
        <v>98</v>
      </c>
      <c r="B50" s="133" t="s">
        <v>104</v>
      </c>
      <c r="C50" s="134" t="s">
        <v>103</v>
      </c>
      <c r="D50" s="135">
        <f>'Exh JDT-5 (INTRPL-RD)'!E133</f>
        <v>2.3990000000000001E-2</v>
      </c>
      <c r="E50" s="136">
        <f>'Exh JDT-5 (INTRPL-RD)'!H133</f>
        <v>2.8289999999999999E-2</v>
      </c>
      <c r="F50" s="137">
        <f t="shared" si="3"/>
        <v>0.17924135056273438</v>
      </c>
      <c r="G50" s="138"/>
      <c r="H50" s="139"/>
      <c r="I50" s="140"/>
      <c r="J50" s="141"/>
      <c r="K50" s="142"/>
      <c r="L50" s="140"/>
      <c r="M50" s="143"/>
      <c r="N50" s="144"/>
      <c r="O50" s="140"/>
      <c r="P50" s="145"/>
      <c r="Q50" s="146"/>
      <c r="R50" s="147"/>
      <c r="S50" s="148">
        <f>'Exh JDT-5 (MYRP)'!$H$174</f>
        <v>3.2499999999999999E-3</v>
      </c>
      <c r="T50" s="149">
        <f>'Exh JDT-5 (MYRP)'!$N$174</f>
        <v>-7.2000000000000005E-4</v>
      </c>
      <c r="U50" s="150">
        <f>'Exh JDT-5 (MYRP)'!$T$174</f>
        <v>-3.1099999999999999E-3</v>
      </c>
      <c r="V50" s="148">
        <f>'Exh JDT-5 (MYRP)'!$I$174</f>
        <v>1.346E-2</v>
      </c>
      <c r="W50" s="149">
        <f>'Exh JDT-5 (MYRP)'!$O$174</f>
        <v>2.051E-2</v>
      </c>
      <c r="X50" s="150">
        <f>'Exh JDT-5 (MYRP)'!$U$174</f>
        <v>2.5340000000000001E-2</v>
      </c>
    </row>
    <row r="51" spans="1:24" s="53" customFormat="1" x14ac:dyDescent="0.2">
      <c r="A51" s="151"/>
      <c r="B51" s="152"/>
      <c r="C51" s="152"/>
      <c r="D51" s="152"/>
      <c r="E51" s="152"/>
      <c r="F51" s="153"/>
      <c r="G51" s="152"/>
      <c r="H51" s="152"/>
      <c r="I51" s="153"/>
      <c r="J51" s="152"/>
      <c r="K51" s="152"/>
      <c r="L51" s="152"/>
      <c r="M51" s="152"/>
      <c r="N51" s="152"/>
      <c r="O51" s="152"/>
      <c r="P51" s="152"/>
      <c r="Q51" s="152"/>
      <c r="R51" s="153"/>
      <c r="S51" s="152"/>
      <c r="T51" s="152"/>
      <c r="U51" s="153"/>
      <c r="V51" s="152"/>
      <c r="W51" s="152"/>
      <c r="X51" s="153"/>
    </row>
    <row r="52" spans="1:24" s="53" customFormat="1" x14ac:dyDescent="0.2">
      <c r="A52" s="154"/>
      <c r="F52" s="54"/>
      <c r="I52" s="54"/>
      <c r="R52" s="54"/>
      <c r="U52" s="54"/>
      <c r="X52" s="54"/>
    </row>
    <row r="53" spans="1:24" s="53" customFormat="1" x14ac:dyDescent="0.2">
      <c r="A53" s="154"/>
      <c r="F53" s="54"/>
      <c r="I53" s="54"/>
      <c r="R53" s="54"/>
      <c r="U53" s="54"/>
      <c r="X53" s="54"/>
    </row>
  </sheetData>
  <mergeCells count="105">
    <mergeCell ref="R45:R50"/>
    <mergeCell ref="L45:L50"/>
    <mergeCell ref="M45:M50"/>
    <mergeCell ref="N45:N50"/>
    <mergeCell ref="O45:O50"/>
    <mergeCell ref="P45:P50"/>
    <mergeCell ref="Q45:Q50"/>
    <mergeCell ref="N38:N43"/>
    <mergeCell ref="O38:O43"/>
    <mergeCell ref="P38:P43"/>
    <mergeCell ref="Q38:Q43"/>
    <mergeCell ref="R38:R43"/>
    <mergeCell ref="G45:G50"/>
    <mergeCell ref="H45:H50"/>
    <mergeCell ref="I45:I50"/>
    <mergeCell ref="J45:J50"/>
    <mergeCell ref="K45:K50"/>
    <mergeCell ref="P35:P36"/>
    <mergeCell ref="Q35:Q36"/>
    <mergeCell ref="R35:R36"/>
    <mergeCell ref="G38:G43"/>
    <mergeCell ref="H38:H43"/>
    <mergeCell ref="I38:I43"/>
    <mergeCell ref="J38:J43"/>
    <mergeCell ref="K38:K43"/>
    <mergeCell ref="L38:L43"/>
    <mergeCell ref="M38:M43"/>
    <mergeCell ref="R32:R33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L32:L33"/>
    <mergeCell ref="M32:M33"/>
    <mergeCell ref="N32:N33"/>
    <mergeCell ref="O32:O33"/>
    <mergeCell ref="P32:P33"/>
    <mergeCell ref="Q32:Q33"/>
    <mergeCell ref="N28:N30"/>
    <mergeCell ref="O28:O30"/>
    <mergeCell ref="P28:P30"/>
    <mergeCell ref="Q28:Q30"/>
    <mergeCell ref="R28:R30"/>
    <mergeCell ref="G32:G33"/>
    <mergeCell ref="H32:H33"/>
    <mergeCell ref="I32:I33"/>
    <mergeCell ref="J32:J33"/>
    <mergeCell ref="K32:K33"/>
    <mergeCell ref="P24:P26"/>
    <mergeCell ref="Q24:Q26"/>
    <mergeCell ref="R24:R26"/>
    <mergeCell ref="G28:G30"/>
    <mergeCell ref="H28:H30"/>
    <mergeCell ref="I28:I30"/>
    <mergeCell ref="J28:J30"/>
    <mergeCell ref="K28:K30"/>
    <mergeCell ref="L28:L30"/>
    <mergeCell ref="M28:M30"/>
    <mergeCell ref="R20:R22"/>
    <mergeCell ref="G24:G26"/>
    <mergeCell ref="H24:H26"/>
    <mergeCell ref="I24:I26"/>
    <mergeCell ref="J24:J26"/>
    <mergeCell ref="K24:K26"/>
    <mergeCell ref="L24:L26"/>
    <mergeCell ref="M24:M26"/>
    <mergeCell ref="N24:N26"/>
    <mergeCell ref="O24:O26"/>
    <mergeCell ref="L20:L22"/>
    <mergeCell ref="M20:M22"/>
    <mergeCell ref="N20:N22"/>
    <mergeCell ref="O20:O22"/>
    <mergeCell ref="P20:P22"/>
    <mergeCell ref="Q20:Q22"/>
    <mergeCell ref="N16:N18"/>
    <mergeCell ref="O16:O18"/>
    <mergeCell ref="P16:P18"/>
    <mergeCell ref="Q16:Q18"/>
    <mergeCell ref="R16:R18"/>
    <mergeCell ref="G20:G22"/>
    <mergeCell ref="H20:H22"/>
    <mergeCell ref="I20:I22"/>
    <mergeCell ref="J20:J22"/>
    <mergeCell ref="K20:K22"/>
    <mergeCell ref="P6:R6"/>
    <mergeCell ref="S6:U6"/>
    <mergeCell ref="V6:X6"/>
    <mergeCell ref="G16:G18"/>
    <mergeCell ref="H16:H18"/>
    <mergeCell ref="I16:I18"/>
    <mergeCell ref="J16:J18"/>
    <mergeCell ref="K16:K18"/>
    <mergeCell ref="L16:L18"/>
    <mergeCell ref="M16:M18"/>
    <mergeCell ref="A6:A7"/>
    <mergeCell ref="B6:C7"/>
    <mergeCell ref="D6:F6"/>
    <mergeCell ref="G6:I6"/>
    <mergeCell ref="J6:L6"/>
    <mergeCell ref="M6:O6"/>
  </mergeCells>
  <conditionalFormatting sqref="F9:F50">
    <cfRule type="iconSet" priority="11">
      <iconSet iconSet="3Arrows">
        <cfvo type="percent" val="0"/>
        <cfvo type="percent" val="0"/>
        <cfvo type="num" val="0" gte="0"/>
      </iconSet>
    </cfRule>
  </conditionalFormatting>
  <conditionalFormatting sqref="I20:I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24:I2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28:I3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9:I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L9:L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O9:O13 O15:O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R9:R50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U51:U500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X51:X500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O14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7" right="0.7" top="0.75" bottom="0.83" header="0.3" footer="0.3"/>
  <pageSetup scale="60" fitToWidth="0" fitToHeight="0" orientation="landscape" r:id="rId1"/>
  <headerFooter alignWithMargins="0">
    <oddFooter>&amp;R&amp;A
 Page &amp;P of &amp;N</oddFooter>
  </headerFooter>
  <colBreaks count="2" manualBreakCount="2">
    <brk id="12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9" customWidth="1"/>
    <col min="3" max="3" width="9.7109375" style="229" customWidth="1"/>
    <col min="4" max="4" width="15.28515625" style="230" bestFit="1" customWidth="1"/>
    <col min="5" max="5" width="10.42578125" style="230" customWidth="1"/>
    <col min="6" max="6" width="13.7109375" style="229" bestFit="1" customWidth="1"/>
    <col min="7" max="7" width="2.85546875" style="231" customWidth="1"/>
    <col min="8" max="8" width="10.42578125" style="224" bestFit="1" customWidth="1"/>
    <col min="9" max="9" width="13.28515625" style="232" customWidth="1"/>
    <col min="10" max="10" width="2.85546875" style="233" customWidth="1"/>
    <col min="11" max="11" width="13.28515625" style="224" customWidth="1"/>
    <col min="12" max="12" width="10.42578125" style="234" customWidth="1"/>
    <col min="13" max="13" width="2.85546875" style="234" customWidth="1"/>
    <col min="14" max="14" width="14.5703125" style="224" customWidth="1"/>
    <col min="15" max="16384" width="9.140625" style="224"/>
  </cols>
  <sheetData>
    <row r="1" spans="2:23" x14ac:dyDescent="0.2">
      <c r="B1" s="221" t="s">
        <v>253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223"/>
    </row>
    <row r="2" spans="2:23" x14ac:dyDescent="0.2">
      <c r="B2" s="225" t="s">
        <v>254</v>
      </c>
      <c r="C2" s="226"/>
      <c r="D2" s="227"/>
      <c r="E2" s="227"/>
      <c r="F2" s="226"/>
      <c r="G2" s="226"/>
      <c r="H2" s="226"/>
      <c r="I2" s="226"/>
      <c r="J2" s="226"/>
      <c r="K2" s="226"/>
      <c r="L2" s="226"/>
      <c r="M2" s="222"/>
      <c r="N2" s="223"/>
    </row>
    <row r="3" spans="2:23" x14ac:dyDescent="0.2">
      <c r="B3" s="225" t="s">
        <v>255</v>
      </c>
      <c r="C3" s="226"/>
      <c r="D3" s="227"/>
      <c r="E3" s="227"/>
      <c r="F3" s="226"/>
      <c r="G3" s="226"/>
      <c r="H3" s="226"/>
      <c r="I3" s="226"/>
      <c r="J3" s="226"/>
      <c r="K3" s="226"/>
      <c r="L3" s="226"/>
      <c r="M3" s="222"/>
      <c r="N3" s="223"/>
    </row>
    <row r="4" spans="2:23" x14ac:dyDescent="0.2">
      <c r="B4" s="225" t="s">
        <v>105</v>
      </c>
      <c r="C4" s="226"/>
      <c r="D4" s="227"/>
      <c r="E4" s="227"/>
      <c r="F4" s="226"/>
      <c r="G4" s="226"/>
      <c r="H4" s="226"/>
      <c r="I4" s="226"/>
      <c r="J4" s="226"/>
      <c r="K4" s="226"/>
      <c r="L4" s="226"/>
      <c r="M4" s="222"/>
      <c r="N4" s="223"/>
    </row>
    <row r="5" spans="2:23" x14ac:dyDescent="0.2">
      <c r="B5" s="225" t="str">
        <f>'Exh JDT-5 (Rate Spread)'!B5</f>
        <v>Rate Spread and Schedule 141R and 141N Allocation</v>
      </c>
      <c r="C5" s="226"/>
      <c r="D5" s="227"/>
      <c r="E5" s="227"/>
      <c r="F5" s="226"/>
      <c r="G5" s="226"/>
      <c r="H5" s="226"/>
      <c r="I5" s="226"/>
      <c r="J5" s="226"/>
      <c r="K5" s="226"/>
      <c r="L5" s="226"/>
      <c r="M5" s="222"/>
      <c r="N5" s="228"/>
    </row>
    <row r="6" spans="2:23" x14ac:dyDescent="0.2">
      <c r="N6" s="235"/>
    </row>
    <row r="7" spans="2:23" ht="15" customHeight="1" x14ac:dyDescent="0.2">
      <c r="B7" s="236"/>
      <c r="C7" s="237"/>
      <c r="D7" s="238" t="s">
        <v>106</v>
      </c>
      <c r="E7" s="239" t="s">
        <v>107</v>
      </c>
      <c r="F7" s="240"/>
      <c r="G7" s="241"/>
      <c r="H7" s="242" t="s">
        <v>108</v>
      </c>
      <c r="I7" s="240"/>
      <c r="J7" s="243"/>
      <c r="K7" s="240" t="s">
        <v>109</v>
      </c>
      <c r="L7" s="244"/>
      <c r="M7" s="245"/>
      <c r="N7" s="160" t="s">
        <v>110</v>
      </c>
    </row>
    <row r="8" spans="2:23" x14ac:dyDescent="0.2">
      <c r="B8" s="246" t="s">
        <v>2</v>
      </c>
      <c r="C8" s="247" t="s">
        <v>111</v>
      </c>
      <c r="D8" s="248" t="s">
        <v>112</v>
      </c>
      <c r="E8" s="248" t="s">
        <v>113</v>
      </c>
      <c r="F8" s="249" t="s">
        <v>114</v>
      </c>
      <c r="G8" s="247"/>
      <c r="H8" s="247" t="s">
        <v>113</v>
      </c>
      <c r="I8" s="249" t="s">
        <v>114</v>
      </c>
      <c r="J8" s="249"/>
      <c r="K8" s="249" t="s">
        <v>115</v>
      </c>
      <c r="L8" s="250" t="s">
        <v>116</v>
      </c>
      <c r="M8" s="251"/>
      <c r="N8" s="252" t="s">
        <v>117</v>
      </c>
    </row>
    <row r="9" spans="2:23" x14ac:dyDescent="0.2">
      <c r="B9" s="235"/>
      <c r="C9" s="235"/>
      <c r="D9" s="253"/>
      <c r="E9" s="253"/>
      <c r="F9" s="235"/>
      <c r="H9" s="235"/>
      <c r="I9" s="233"/>
      <c r="K9" s="235"/>
      <c r="L9" s="254"/>
      <c r="M9" s="254"/>
      <c r="N9" s="235"/>
    </row>
    <row r="10" spans="2:23" x14ac:dyDescent="0.2">
      <c r="B10" s="255" t="s">
        <v>72</v>
      </c>
      <c r="C10" s="256"/>
      <c r="D10" s="257"/>
      <c r="E10" s="257"/>
      <c r="F10" s="258"/>
      <c r="G10" s="259"/>
      <c r="H10" s="257"/>
      <c r="I10" s="260"/>
      <c r="J10" s="260"/>
      <c r="K10" s="260"/>
      <c r="L10" s="261"/>
      <c r="M10" s="254"/>
      <c r="N10" s="235"/>
    </row>
    <row r="11" spans="2:23" x14ac:dyDescent="0.2">
      <c r="B11" s="262"/>
      <c r="C11" s="235"/>
      <c r="D11" s="253"/>
      <c r="E11" s="253"/>
      <c r="F11" s="235"/>
      <c r="G11" s="263"/>
      <c r="H11" s="253"/>
      <c r="I11" s="264"/>
      <c r="J11" s="264"/>
      <c r="K11" s="264"/>
      <c r="L11" s="265"/>
      <c r="M11" s="254"/>
      <c r="N11" s="160" t="s">
        <v>118</v>
      </c>
    </row>
    <row r="12" spans="2:23" x14ac:dyDescent="0.2">
      <c r="B12" s="266" t="s">
        <v>59</v>
      </c>
      <c r="C12" s="267" t="s">
        <v>119</v>
      </c>
      <c r="D12" s="268">
        <v>9634497.6315792762</v>
      </c>
      <c r="E12" s="269">
        <v>11.52</v>
      </c>
      <c r="F12" s="264">
        <f>SUM(+D12*E12)</f>
        <v>110989412.71579325</v>
      </c>
      <c r="H12" s="269">
        <f>ROUND(E12*(1+N16), 2)</f>
        <v>12.75</v>
      </c>
      <c r="I12" s="264">
        <f>SUM(+D12*H12)</f>
        <v>122839844.80263577</v>
      </c>
      <c r="J12" s="264"/>
      <c r="K12" s="264">
        <f>I12-F12</f>
        <v>11850432.086842522</v>
      </c>
      <c r="L12" s="270">
        <f>IFERROR(ROUND(K12/F12,5), )</f>
        <v>0.10677</v>
      </c>
      <c r="M12" s="254"/>
      <c r="N12" s="271">
        <f>'Exh JDT-5 (Rate Spread)'!F47</f>
        <v>411536798.72367764</v>
      </c>
    </row>
    <row r="13" spans="2:23" x14ac:dyDescent="0.2">
      <c r="B13" s="262" t="s">
        <v>58</v>
      </c>
      <c r="C13" s="235" t="s">
        <v>120</v>
      </c>
      <c r="D13" s="231">
        <v>620836684.05687141</v>
      </c>
      <c r="E13" s="272">
        <v>0.41964000000000001</v>
      </c>
      <c r="F13" s="264">
        <f>ROUND(D13*E13,2)</f>
        <v>260527906.09999999</v>
      </c>
      <c r="H13" s="272">
        <f>ROUND((N12-I12-I20-I32)/D13, 5)</f>
        <v>0.46500000000000002</v>
      </c>
      <c r="I13" s="264">
        <f>ROUND(D13*H13,2)</f>
        <v>288689058.08999997</v>
      </c>
      <c r="J13" s="264"/>
      <c r="K13" s="264">
        <f>I13-F13</f>
        <v>28161151.98999998</v>
      </c>
      <c r="L13" s="270">
        <f>IFERROR(ROUND(K13/F13,5), )</f>
        <v>0.10809000000000001</v>
      </c>
      <c r="M13" s="235"/>
      <c r="N13" s="273" t="s">
        <v>121</v>
      </c>
    </row>
    <row r="14" spans="2:23" x14ac:dyDescent="0.2">
      <c r="B14" s="274"/>
      <c r="C14" s="275"/>
      <c r="D14" s="268"/>
      <c r="E14" s="253"/>
      <c r="F14" s="276">
        <f>SUM(F12:F13)</f>
        <v>371517318.81579328</v>
      </c>
      <c r="H14" s="253"/>
      <c r="I14" s="276">
        <f>SUM(I12:I13)</f>
        <v>411528902.89263576</v>
      </c>
      <c r="J14" s="264"/>
      <c r="K14" s="276">
        <f>SUM(K12:K13)</f>
        <v>40011584.076842502</v>
      </c>
      <c r="L14" s="277">
        <f>IFERROR(ROUND(K14/F14,5), )</f>
        <v>0.1077</v>
      </c>
      <c r="M14" s="235"/>
      <c r="N14" s="278">
        <f>I37-N12</f>
        <v>-2533.3610418438911</v>
      </c>
    </row>
    <row r="15" spans="2:23" x14ac:dyDescent="0.2">
      <c r="B15" s="274"/>
      <c r="C15" s="279"/>
      <c r="D15" s="253"/>
      <c r="E15" s="272"/>
      <c r="F15" s="280"/>
      <c r="H15" s="253"/>
      <c r="I15" s="264"/>
      <c r="J15" s="264"/>
      <c r="K15" s="264"/>
      <c r="L15" s="265"/>
      <c r="M15" s="281"/>
    </row>
    <row r="16" spans="2:23" x14ac:dyDescent="0.2">
      <c r="B16" s="282" t="s">
        <v>122</v>
      </c>
      <c r="C16" s="275"/>
      <c r="D16" s="231"/>
      <c r="E16" s="253"/>
      <c r="F16" s="276">
        <f>F14</f>
        <v>371517318.81579328</v>
      </c>
      <c r="H16" s="253"/>
      <c r="I16" s="276">
        <f>I14</f>
        <v>411528902.89263576</v>
      </c>
      <c r="J16" s="264"/>
      <c r="K16" s="276">
        <f>K14</f>
        <v>40011584.076842502</v>
      </c>
      <c r="L16" s="277">
        <f>IFERROR(ROUND(K16/F16,5), )</f>
        <v>0.1077</v>
      </c>
      <c r="M16" s="281"/>
      <c r="N16" s="283">
        <f>'Exh JDT-5 (Rate Spread)'!F45</f>
        <v>0.10671760456384027</v>
      </c>
      <c r="O16" s="235"/>
      <c r="W16" s="235"/>
    </row>
    <row r="17" spans="1:23" s="230" customFormat="1" x14ac:dyDescent="0.2">
      <c r="B17" s="284"/>
      <c r="C17" s="285"/>
      <c r="D17" s="285"/>
      <c r="E17" s="285"/>
      <c r="F17" s="286"/>
      <c r="G17" s="287"/>
      <c r="H17" s="285"/>
      <c r="I17" s="286"/>
      <c r="J17" s="286"/>
      <c r="K17" s="286"/>
      <c r="L17" s="288"/>
      <c r="M17" s="253"/>
      <c r="N17" s="253"/>
      <c r="O17" s="253"/>
      <c r="W17" s="253"/>
    </row>
    <row r="18" spans="1:23" x14ac:dyDescent="0.2">
      <c r="A18" s="230"/>
      <c r="B18" s="289" t="s">
        <v>75</v>
      </c>
      <c r="C18" s="290"/>
      <c r="D18" s="257"/>
      <c r="E18" s="257"/>
      <c r="F18" s="260"/>
      <c r="G18" s="259"/>
      <c r="H18" s="257"/>
      <c r="I18" s="260"/>
      <c r="J18" s="260"/>
      <c r="K18" s="260"/>
      <c r="L18" s="291"/>
      <c r="M18" s="235"/>
      <c r="N18" s="235"/>
      <c r="O18" s="235"/>
      <c r="W18" s="235"/>
    </row>
    <row r="19" spans="1:23" s="230" customFormat="1" x14ac:dyDescent="0.2">
      <c r="B19" s="292"/>
      <c r="C19" s="253"/>
      <c r="D19" s="253"/>
      <c r="E19" s="253"/>
      <c r="F19" s="293"/>
      <c r="G19" s="294"/>
      <c r="H19" s="253"/>
      <c r="I19" s="293"/>
      <c r="J19" s="293"/>
      <c r="K19" s="293"/>
      <c r="L19" s="295"/>
      <c r="M19" s="296"/>
      <c r="N19" s="297"/>
      <c r="O19" s="253"/>
      <c r="W19" s="253"/>
    </row>
    <row r="20" spans="1:23" s="230" customFormat="1" ht="13.5" customHeight="1" x14ac:dyDescent="0.2">
      <c r="B20" s="266" t="s">
        <v>59</v>
      </c>
      <c r="C20" s="267" t="s">
        <v>119</v>
      </c>
      <c r="D20" s="268">
        <v>0</v>
      </c>
      <c r="E20" s="269">
        <v>11.52</v>
      </c>
      <c r="F20" s="293">
        <f>SUM(+D20*E20)</f>
        <v>0</v>
      </c>
      <c r="G20" s="268"/>
      <c r="H20" s="269">
        <f>H12</f>
        <v>12.75</v>
      </c>
      <c r="I20" s="293">
        <f>SUM(+D20*H20)</f>
        <v>0</v>
      </c>
      <c r="J20" s="293"/>
      <c r="K20" s="293">
        <f>I20-F20</f>
        <v>0</v>
      </c>
      <c r="L20" s="270">
        <f t="shared" ref="L20:L21" si="0">IFERROR(ROUND(K20/F20,5), )</f>
        <v>0</v>
      </c>
      <c r="M20" s="296"/>
      <c r="N20" s="298"/>
      <c r="O20" s="253"/>
      <c r="W20" s="253"/>
    </row>
    <row r="21" spans="1:23" s="230" customFormat="1" ht="13.5" customHeight="1" x14ac:dyDescent="0.2">
      <c r="B21" s="262" t="s">
        <v>58</v>
      </c>
      <c r="C21" s="235" t="s">
        <v>120</v>
      </c>
      <c r="D21" s="268">
        <v>0</v>
      </c>
      <c r="E21" s="272">
        <v>0.41964000000000001</v>
      </c>
      <c r="F21" s="293">
        <f>ROUND(D21*E21,2)</f>
        <v>0</v>
      </c>
      <c r="G21" s="268"/>
      <c r="H21" s="272">
        <f>H13</f>
        <v>0.46500000000000002</v>
      </c>
      <c r="I21" s="293">
        <f>ROUND(D21*H21,2)</f>
        <v>0</v>
      </c>
      <c r="J21" s="293"/>
      <c r="K21" s="293">
        <f>I21-F21</f>
        <v>0</v>
      </c>
      <c r="L21" s="270">
        <f t="shared" si="0"/>
        <v>0</v>
      </c>
      <c r="M21" s="296"/>
      <c r="N21" s="299"/>
      <c r="O21" s="253"/>
      <c r="W21" s="253"/>
    </row>
    <row r="22" spans="1:23" s="230" customFormat="1" ht="13.5" customHeight="1" x14ac:dyDescent="0.2">
      <c r="B22" s="282" t="s">
        <v>123</v>
      </c>
      <c r="C22" s="267"/>
      <c r="D22" s="268"/>
      <c r="E22" s="253"/>
      <c r="F22" s="276">
        <f>SUM(F20:F21)</f>
        <v>0</v>
      </c>
      <c r="G22" s="268"/>
      <c r="H22" s="253"/>
      <c r="I22" s="276">
        <f>SUM(I20:I21)</f>
        <v>0</v>
      </c>
      <c r="J22" s="293"/>
      <c r="K22" s="276">
        <f>SUM(K20:K21)</f>
        <v>0</v>
      </c>
      <c r="L22" s="277">
        <f>IFERROR(ROUND(K22/F22,5), )</f>
        <v>0</v>
      </c>
      <c r="M22" s="253"/>
      <c r="N22" s="299"/>
      <c r="O22" s="253"/>
      <c r="W22" s="253"/>
    </row>
    <row r="23" spans="1:23" s="230" customFormat="1" ht="13.5" customHeight="1" x14ac:dyDescent="0.2">
      <c r="B23" s="300"/>
      <c r="C23" s="301"/>
      <c r="D23" s="253"/>
      <c r="E23" s="253"/>
      <c r="F23" s="302"/>
      <c r="G23" s="268"/>
      <c r="H23" s="253"/>
      <c r="I23" s="293"/>
      <c r="J23" s="293"/>
      <c r="K23" s="293"/>
      <c r="L23" s="295"/>
      <c r="M23" s="253"/>
      <c r="N23" s="303"/>
      <c r="O23" s="253"/>
      <c r="W23" s="253"/>
    </row>
    <row r="24" spans="1:23" s="230" customFormat="1" ht="13.5" customHeight="1" x14ac:dyDescent="0.2">
      <c r="B24" s="266" t="s">
        <v>122</v>
      </c>
      <c r="C24" s="267"/>
      <c r="D24" s="253"/>
      <c r="E24" s="253"/>
      <c r="F24" s="276">
        <f>F22</f>
        <v>0</v>
      </c>
      <c r="G24" s="268"/>
      <c r="H24" s="253"/>
      <c r="I24" s="276">
        <f>I22</f>
        <v>0</v>
      </c>
      <c r="J24" s="293"/>
      <c r="K24" s="276">
        <f>K22</f>
        <v>0</v>
      </c>
      <c r="L24" s="277">
        <f>IFERROR(ROUND(K24/F24,5), )</f>
        <v>0</v>
      </c>
      <c r="M24" s="253"/>
      <c r="N24" s="304"/>
      <c r="O24" s="253"/>
      <c r="W24" s="253"/>
    </row>
    <row r="25" spans="1:23" s="230" customFormat="1" ht="13.5" customHeight="1" x14ac:dyDescent="0.2">
      <c r="B25" s="284"/>
      <c r="C25" s="285"/>
      <c r="D25" s="285"/>
      <c r="E25" s="285"/>
      <c r="F25" s="286"/>
      <c r="G25" s="285"/>
      <c r="H25" s="285"/>
      <c r="I25" s="286"/>
      <c r="J25" s="286"/>
      <c r="K25" s="286"/>
      <c r="L25" s="288"/>
      <c r="M25" s="253"/>
      <c r="N25" s="305"/>
      <c r="O25" s="253"/>
      <c r="W25" s="253"/>
    </row>
    <row r="26" spans="1:23" ht="13.5" customHeight="1" x14ac:dyDescent="0.2">
      <c r="B26" s="289" t="s">
        <v>76</v>
      </c>
      <c r="C26" s="256"/>
      <c r="D26" s="257"/>
      <c r="E26" s="257"/>
      <c r="F26" s="260"/>
      <c r="G26" s="259"/>
      <c r="H26" s="258"/>
      <c r="I26" s="260"/>
      <c r="J26" s="260"/>
      <c r="K26" s="260"/>
      <c r="L26" s="291"/>
      <c r="M26" s="235"/>
      <c r="N26" s="230"/>
      <c r="O26" s="235"/>
      <c r="W26" s="235"/>
    </row>
    <row r="27" spans="1:23" ht="13.5" customHeight="1" x14ac:dyDescent="0.2">
      <c r="B27" s="274"/>
      <c r="C27" s="279"/>
      <c r="D27" s="253"/>
      <c r="E27" s="253"/>
      <c r="F27" s="264"/>
      <c r="G27" s="306"/>
      <c r="H27" s="235"/>
      <c r="I27" s="264"/>
      <c r="J27" s="264"/>
      <c r="K27" s="264"/>
      <c r="L27" s="265"/>
      <c r="M27" s="254"/>
      <c r="N27" s="230"/>
      <c r="O27" s="235"/>
      <c r="W27" s="235"/>
    </row>
    <row r="28" spans="1:23" ht="13.5" customHeight="1" x14ac:dyDescent="0.2">
      <c r="B28" s="292" t="s">
        <v>124</v>
      </c>
      <c r="C28" s="307" t="s">
        <v>125</v>
      </c>
      <c r="D28" s="268">
        <v>431.06668421052632</v>
      </c>
      <c r="E28" s="269">
        <v>11.24</v>
      </c>
      <c r="F28" s="264">
        <f>ROUND(D28*E28,2)</f>
        <v>4845.1899999999996</v>
      </c>
      <c r="H28" s="269">
        <f>ROUND(E28*(1+N16), 2)</f>
        <v>12.44</v>
      </c>
      <c r="I28" s="264">
        <f>ROUND(D28*H28,2)</f>
        <v>5362.47</v>
      </c>
      <c r="J28" s="264"/>
      <c r="K28" s="264">
        <f>I28-F28</f>
        <v>517.28000000000065</v>
      </c>
      <c r="L28" s="270">
        <f>IFERROR(ROUND(K28/F28,5), )</f>
        <v>0.10675999999999999</v>
      </c>
      <c r="M28" s="308"/>
      <c r="N28" s="230"/>
      <c r="O28" s="235"/>
      <c r="W28" s="235"/>
    </row>
    <row r="29" spans="1:23" ht="13.5" customHeight="1" x14ac:dyDescent="0.2">
      <c r="B29" s="262"/>
      <c r="C29" s="235"/>
      <c r="D29" s="253"/>
      <c r="E29" s="253"/>
      <c r="F29" s="264"/>
      <c r="G29" s="235"/>
      <c r="H29" s="235"/>
      <c r="I29" s="264"/>
      <c r="J29" s="264"/>
      <c r="K29" s="264"/>
      <c r="L29" s="270"/>
      <c r="M29" s="308"/>
      <c r="N29" s="230"/>
      <c r="O29" s="235"/>
      <c r="W29" s="235"/>
    </row>
    <row r="30" spans="1:23" ht="13.5" customHeight="1" x14ac:dyDescent="0.2">
      <c r="B30" s="282" t="s">
        <v>126</v>
      </c>
      <c r="C30" s="275"/>
      <c r="D30" s="268">
        <v>8190.2669999999998</v>
      </c>
      <c r="E30" s="268"/>
      <c r="F30" s="280"/>
      <c r="H30" s="235"/>
      <c r="I30" s="264"/>
      <c r="J30" s="264"/>
      <c r="K30" s="264"/>
      <c r="L30" s="265"/>
      <c r="M30" s="308"/>
      <c r="N30" s="230"/>
      <c r="O30" s="235"/>
      <c r="W30" s="235"/>
    </row>
    <row r="31" spans="1:23" ht="13.5" customHeight="1" x14ac:dyDescent="0.2">
      <c r="B31" s="262"/>
      <c r="C31" s="235"/>
      <c r="D31" s="253"/>
      <c r="E31" s="253"/>
      <c r="F31" s="293"/>
      <c r="G31" s="268"/>
      <c r="H31" s="253"/>
      <c r="I31" s="293"/>
      <c r="J31" s="264"/>
      <c r="K31" s="264"/>
      <c r="L31" s="265"/>
      <c r="M31" s="281"/>
      <c r="N31" s="230"/>
      <c r="O31" s="235"/>
      <c r="W31" s="235"/>
    </row>
    <row r="32" spans="1:23" ht="13.5" customHeight="1" x14ac:dyDescent="0.2">
      <c r="B32" s="262" t="s">
        <v>122</v>
      </c>
      <c r="C32" s="235"/>
      <c r="D32" s="253"/>
      <c r="E32" s="253"/>
      <c r="F32" s="276">
        <f>F28</f>
        <v>4845.1899999999996</v>
      </c>
      <c r="H32" s="235"/>
      <c r="I32" s="276">
        <f>I28</f>
        <v>5362.47</v>
      </c>
      <c r="J32" s="264"/>
      <c r="K32" s="276">
        <f>K28</f>
        <v>517.28000000000065</v>
      </c>
      <c r="L32" s="277">
        <f>IFERROR(ROUND(K32/F32,5), )</f>
        <v>0.10675999999999999</v>
      </c>
      <c r="M32" s="254"/>
      <c r="N32" s="230"/>
      <c r="O32" s="235"/>
      <c r="W32" s="235"/>
    </row>
    <row r="33" spans="2:23" ht="13.5" customHeight="1" x14ac:dyDescent="0.2">
      <c r="B33" s="309"/>
      <c r="C33" s="310"/>
      <c r="D33" s="285"/>
      <c r="E33" s="285"/>
      <c r="F33" s="311"/>
      <c r="G33" s="312"/>
      <c r="H33" s="313"/>
      <c r="I33" s="314"/>
      <c r="J33" s="314"/>
      <c r="K33" s="313"/>
      <c r="L33" s="315"/>
      <c r="M33" s="299"/>
      <c r="N33" s="230"/>
      <c r="O33" s="235"/>
      <c r="W33" s="235"/>
    </row>
    <row r="34" spans="2:23" ht="13.5" customHeight="1" x14ac:dyDescent="0.2">
      <c r="B34" s="224"/>
      <c r="K34" s="235"/>
      <c r="L34" s="316"/>
      <c r="M34" s="281"/>
      <c r="O34" s="235"/>
      <c r="W34" s="235"/>
    </row>
    <row r="35" spans="2:23" x14ac:dyDescent="0.2">
      <c r="B35" s="229" t="s">
        <v>127</v>
      </c>
      <c r="K35" s="235"/>
      <c r="L35" s="316"/>
      <c r="M35" s="299"/>
      <c r="O35" s="235"/>
      <c r="W35" s="235"/>
    </row>
    <row r="36" spans="2:23" x14ac:dyDescent="0.2">
      <c r="B36" s="224"/>
      <c r="D36" s="317" t="s">
        <v>120</v>
      </c>
      <c r="F36" s="247" t="s">
        <v>65</v>
      </c>
      <c r="I36" s="249" t="s">
        <v>66</v>
      </c>
      <c r="K36" s="249" t="s">
        <v>128</v>
      </c>
      <c r="L36" s="316"/>
      <c r="O36" s="235"/>
      <c r="W36" s="235"/>
    </row>
    <row r="37" spans="2:23" x14ac:dyDescent="0.2">
      <c r="B37" s="224" t="s">
        <v>129</v>
      </c>
      <c r="D37" s="318">
        <f>D13+D21+D30</f>
        <v>620844874.32387137</v>
      </c>
      <c r="F37" s="319">
        <f>F14+F22+F28</f>
        <v>371522164.00579327</v>
      </c>
      <c r="G37" s="319"/>
      <c r="H37" s="319"/>
      <c r="I37" s="319">
        <f>I14+I22+I28</f>
        <v>411534265.36263579</v>
      </c>
      <c r="J37" s="319"/>
      <c r="K37" s="264">
        <f>I37-F37</f>
        <v>40012101.356842518</v>
      </c>
      <c r="L37" s="320">
        <f>K37/F37</f>
        <v>0.10769775058754932</v>
      </c>
    </row>
    <row r="38" spans="2:23" ht="13.5" thickBot="1" x14ac:dyDescent="0.25">
      <c r="B38" s="224"/>
      <c r="D38" s="321"/>
      <c r="F38" s="264"/>
      <c r="I38" s="264"/>
      <c r="K38" s="264"/>
      <c r="L38" s="320"/>
    </row>
    <row r="39" spans="2:23" ht="13.5" thickBot="1" x14ac:dyDescent="0.25">
      <c r="B39" s="322" t="s">
        <v>130</v>
      </c>
      <c r="C39" s="323" t="s">
        <v>131</v>
      </c>
      <c r="D39" s="324">
        <v>371522164.00294936</v>
      </c>
      <c r="E39" s="325" t="s">
        <v>35</v>
      </c>
      <c r="F39" s="326">
        <f>D39-F37</f>
        <v>-2.8439164161682129E-3</v>
      </c>
      <c r="K39" s="235"/>
      <c r="L39" s="316"/>
      <c r="N39" s="319"/>
    </row>
    <row r="40" spans="2:23" x14ac:dyDescent="0.2">
      <c r="B40" s="224"/>
      <c r="F40" s="224"/>
      <c r="L40" s="316"/>
    </row>
    <row r="41" spans="2:23" x14ac:dyDescent="0.2">
      <c r="L41" s="316"/>
    </row>
    <row r="42" spans="2:23" x14ac:dyDescent="0.2">
      <c r="B42" s="224"/>
      <c r="C42" s="224"/>
      <c r="D42" s="224"/>
      <c r="F42" s="224"/>
      <c r="G42" s="224"/>
      <c r="I42" s="224"/>
      <c r="J42" s="224"/>
      <c r="L42" s="320"/>
      <c r="M42" s="224"/>
    </row>
    <row r="43" spans="2:23" x14ac:dyDescent="0.2">
      <c r="L43" s="316"/>
    </row>
    <row r="44" spans="2:23" x14ac:dyDescent="0.2">
      <c r="L44" s="316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4" customWidth="1"/>
    <col min="3" max="3" width="9.7109375" style="224" customWidth="1"/>
    <col min="4" max="4" width="14.5703125" style="224" bestFit="1" customWidth="1"/>
    <col min="5" max="5" width="10.42578125" style="224" customWidth="1"/>
    <col min="6" max="6" width="14.7109375" style="232" bestFit="1" customWidth="1"/>
    <col min="7" max="7" width="2.85546875" style="321" customWidth="1"/>
    <col min="8" max="8" width="10.42578125" style="230" customWidth="1"/>
    <col min="9" max="9" width="15" style="232" customWidth="1"/>
    <col min="10" max="10" width="2.85546875" style="232" customWidth="1"/>
    <col min="11" max="11" width="13.28515625" style="232" customWidth="1"/>
    <col min="12" max="12" width="10.42578125" style="320" customWidth="1"/>
    <col min="13" max="13" width="2.85546875" style="327" customWidth="1"/>
    <col min="14" max="14" width="2" style="328" customWidth="1"/>
    <col min="15" max="15" width="14.5703125" style="224" customWidth="1"/>
    <col min="16" max="16" width="15" style="224" bestFit="1" customWidth="1"/>
    <col min="17" max="16384" width="9.140625" style="224"/>
  </cols>
  <sheetData>
    <row r="1" spans="1:15" x14ac:dyDescent="0.2">
      <c r="B1" s="221" t="s">
        <v>253</v>
      </c>
    </row>
    <row r="2" spans="1:15" x14ac:dyDescent="0.2">
      <c r="B2" s="225" t="s">
        <v>254</v>
      </c>
      <c r="C2" s="223"/>
      <c r="D2" s="223"/>
      <c r="E2" s="223"/>
      <c r="F2" s="329"/>
      <c r="G2" s="330"/>
      <c r="H2" s="331"/>
      <c r="I2" s="329"/>
      <c r="J2" s="329"/>
      <c r="K2" s="329"/>
      <c r="L2" s="332"/>
      <c r="M2" s="333"/>
      <c r="N2" s="333"/>
      <c r="O2" s="223"/>
    </row>
    <row r="3" spans="1:15" x14ac:dyDescent="0.2">
      <c r="B3" s="225" t="s">
        <v>255</v>
      </c>
      <c r="C3" s="223"/>
      <c r="D3" s="223"/>
      <c r="E3" s="223"/>
      <c r="F3" s="223"/>
      <c r="G3" s="331"/>
      <c r="H3" s="331"/>
      <c r="I3" s="223"/>
      <c r="J3" s="223"/>
      <c r="K3" s="223"/>
      <c r="L3" s="332"/>
      <c r="M3" s="223"/>
      <c r="N3" s="333"/>
      <c r="O3" s="223"/>
    </row>
    <row r="4" spans="1:15" x14ac:dyDescent="0.2">
      <c r="B4" s="225" t="s">
        <v>132</v>
      </c>
      <c r="C4" s="223"/>
      <c r="D4" s="223"/>
      <c r="E4" s="223"/>
      <c r="F4" s="223"/>
      <c r="G4" s="331"/>
      <c r="H4" s="331"/>
      <c r="I4" s="223"/>
      <c r="J4" s="223"/>
      <c r="K4" s="223"/>
      <c r="L4" s="332"/>
      <c r="M4" s="223"/>
      <c r="N4" s="333"/>
      <c r="O4" s="223"/>
    </row>
    <row r="5" spans="1:15" x14ac:dyDescent="0.2">
      <c r="B5" s="225" t="str">
        <f>'Exh JDT-5 (Rate Spread)'!B5</f>
        <v>Rate Spread and Schedule 141R and 141N Allocation</v>
      </c>
      <c r="C5" s="223"/>
      <c r="D5" s="223"/>
      <c r="E5" s="223"/>
      <c r="F5" s="223"/>
      <c r="G5" s="331"/>
      <c r="H5" s="331"/>
      <c r="I5" s="223"/>
      <c r="J5" s="223"/>
      <c r="K5" s="223"/>
      <c r="L5" s="332"/>
      <c r="M5" s="223"/>
      <c r="N5" s="334"/>
      <c r="O5" s="228"/>
    </row>
    <row r="6" spans="1:15" ht="13.5" customHeight="1" x14ac:dyDescent="0.2">
      <c r="B6" s="335"/>
      <c r="C6" s="335"/>
      <c r="D6" s="335"/>
      <c r="E6" s="335"/>
      <c r="F6" s="336"/>
      <c r="G6" s="337"/>
      <c r="H6" s="338"/>
      <c r="I6" s="336"/>
      <c r="J6" s="336"/>
      <c r="K6" s="336"/>
      <c r="L6" s="339"/>
      <c r="N6" s="281"/>
      <c r="O6" s="235"/>
    </row>
    <row r="7" spans="1:15" ht="12" customHeight="1" x14ac:dyDescent="0.2">
      <c r="B7" s="236"/>
      <c r="C7" s="237"/>
      <c r="D7" s="238" t="s">
        <v>106</v>
      </c>
      <c r="E7" s="239" t="s">
        <v>107</v>
      </c>
      <c r="F7" s="240"/>
      <c r="G7" s="340"/>
      <c r="H7" s="242" t="s">
        <v>108</v>
      </c>
      <c r="I7" s="240"/>
      <c r="J7" s="243"/>
      <c r="K7" s="341" t="s">
        <v>109</v>
      </c>
      <c r="L7" s="342"/>
      <c r="M7" s="245"/>
      <c r="N7" s="334"/>
      <c r="O7" s="160" t="s">
        <v>110</v>
      </c>
    </row>
    <row r="8" spans="1:15" x14ac:dyDescent="0.2">
      <c r="B8" s="246" t="s">
        <v>2</v>
      </c>
      <c r="C8" s="247" t="s">
        <v>111</v>
      </c>
      <c r="D8" s="248" t="s">
        <v>112</v>
      </c>
      <c r="E8" s="247" t="s">
        <v>113</v>
      </c>
      <c r="F8" s="249" t="s">
        <v>114</v>
      </c>
      <c r="G8" s="248"/>
      <c r="H8" s="248" t="s">
        <v>113</v>
      </c>
      <c r="I8" s="249" t="s">
        <v>114</v>
      </c>
      <c r="J8" s="249"/>
      <c r="K8" s="249" t="s">
        <v>115</v>
      </c>
      <c r="L8" s="343" t="s">
        <v>116</v>
      </c>
      <c r="M8" s="344"/>
      <c r="N8" s="251"/>
      <c r="O8" s="252" t="s">
        <v>117</v>
      </c>
    </row>
    <row r="9" spans="1:15" x14ac:dyDescent="0.2">
      <c r="A9" s="235"/>
      <c r="B9" s="297"/>
      <c r="C9" s="297"/>
      <c r="D9" s="297"/>
      <c r="E9" s="297"/>
      <c r="F9" s="345"/>
      <c r="G9" s="340"/>
      <c r="H9" s="340"/>
      <c r="I9" s="345"/>
      <c r="J9" s="345"/>
      <c r="K9" s="345"/>
      <c r="L9" s="283"/>
      <c r="M9" s="344"/>
      <c r="N9" s="251"/>
      <c r="O9" s="235"/>
    </row>
    <row r="10" spans="1:15" x14ac:dyDescent="0.2">
      <c r="B10" s="255" t="s">
        <v>79</v>
      </c>
      <c r="C10" s="346"/>
      <c r="D10" s="258"/>
      <c r="E10" s="258"/>
      <c r="F10" s="260"/>
      <c r="G10" s="347"/>
      <c r="H10" s="257"/>
      <c r="I10" s="260"/>
      <c r="J10" s="260"/>
      <c r="K10" s="260"/>
      <c r="L10" s="291"/>
      <c r="M10" s="348"/>
      <c r="N10" s="281"/>
      <c r="O10" s="235"/>
    </row>
    <row r="11" spans="1:15" x14ac:dyDescent="0.2">
      <c r="B11" s="262"/>
      <c r="C11" s="235"/>
      <c r="D11" s="231"/>
      <c r="E11" s="235"/>
      <c r="F11" s="264"/>
      <c r="G11" s="268"/>
      <c r="H11" s="253"/>
      <c r="I11" s="264"/>
      <c r="J11" s="264"/>
      <c r="K11" s="264"/>
      <c r="L11" s="270"/>
      <c r="M11" s="348"/>
      <c r="N11" s="281"/>
      <c r="O11" s="160" t="s">
        <v>133</v>
      </c>
    </row>
    <row r="12" spans="1:15" x14ac:dyDescent="0.2">
      <c r="B12" s="266" t="s">
        <v>59</v>
      </c>
      <c r="C12" s="267" t="s">
        <v>119</v>
      </c>
      <c r="D12" s="268">
        <v>698499.36081828561</v>
      </c>
      <c r="E12" s="269">
        <v>33.840000000000003</v>
      </c>
      <c r="F12" s="264">
        <f>ROUND(D12*E12,2)</f>
        <v>23637218.370000001</v>
      </c>
      <c r="G12" s="268"/>
      <c r="H12" s="269">
        <f>ROUND(E12*(1+$O$16),2)</f>
        <v>38.89</v>
      </c>
      <c r="I12" s="293">
        <f>ROUND(D12*H12,2)</f>
        <v>27164640.140000001</v>
      </c>
      <c r="J12" s="264"/>
      <c r="K12" s="264">
        <f>I12-F12</f>
        <v>3527421.7699999996</v>
      </c>
      <c r="L12" s="270">
        <f>IFERROR(ROUND(K12/F12,5), )</f>
        <v>0.14923</v>
      </c>
      <c r="M12" s="348"/>
      <c r="N12" s="281"/>
      <c r="O12" s="271">
        <f>'Exh JDT-5 (Rate Spread)'!G47</f>
        <v>127691794.4604155</v>
      </c>
    </row>
    <row r="13" spans="1:15" x14ac:dyDescent="0.2">
      <c r="B13" s="262" t="s">
        <v>58</v>
      </c>
      <c r="C13" s="235" t="s">
        <v>120</v>
      </c>
      <c r="D13" s="268">
        <v>222166912.14539161</v>
      </c>
      <c r="E13" s="272">
        <v>0.37956000000000001</v>
      </c>
      <c r="F13" s="264">
        <f>ROUND(D13*E13,2)</f>
        <v>84325673.170000002</v>
      </c>
      <c r="G13" s="268"/>
      <c r="H13" s="272">
        <f>ROUND((O12-I12-I14-I22)/D32,5)</f>
        <v>0.43728</v>
      </c>
      <c r="I13" s="293">
        <f>ROUND(D13*H13,2)</f>
        <v>97149147.340000004</v>
      </c>
      <c r="J13" s="264"/>
      <c r="K13" s="264">
        <f>I13-F13</f>
        <v>12823474.170000002</v>
      </c>
      <c r="L13" s="270">
        <f>IFERROR(ROUND(K13/F13,5), )</f>
        <v>0.15207000000000001</v>
      </c>
      <c r="M13" s="348"/>
      <c r="N13" s="281"/>
      <c r="O13" s="273" t="s">
        <v>121</v>
      </c>
    </row>
    <row r="14" spans="1:15" x14ac:dyDescent="0.2">
      <c r="B14" s="262" t="s">
        <v>61</v>
      </c>
      <c r="C14" s="235"/>
      <c r="D14" s="268">
        <f>D13</f>
        <v>222166912.14539161</v>
      </c>
      <c r="E14" s="272">
        <v>1.371E-2</v>
      </c>
      <c r="F14" s="264">
        <f>ROUND(D14*E14,2)</f>
        <v>3045908.37</v>
      </c>
      <c r="G14" s="268"/>
      <c r="H14" s="272">
        <f>ROUND('Exh JDT-5 (Procmnt Chrg)'!E17,5)</f>
        <v>1.5089999999999999E-2</v>
      </c>
      <c r="I14" s="264">
        <f>ROUND(D14*H14,2)</f>
        <v>3352498.7</v>
      </c>
      <c r="J14" s="349"/>
      <c r="K14" s="264">
        <f>I14-F14</f>
        <v>306590.33000000007</v>
      </c>
      <c r="L14" s="270">
        <f>IFERROR(ROUND(K14/F14,5), )</f>
        <v>0.10066</v>
      </c>
      <c r="M14" s="344"/>
      <c r="N14" s="344"/>
      <c r="O14" s="350">
        <f>I36-O12</f>
        <v>-610.09041547775269</v>
      </c>
    </row>
    <row r="15" spans="1:15" x14ac:dyDescent="0.2">
      <c r="B15" s="282" t="s">
        <v>123</v>
      </c>
      <c r="C15" s="275"/>
      <c r="D15" s="268"/>
      <c r="E15" s="253"/>
      <c r="F15" s="276">
        <f>SUM(F12:F14)</f>
        <v>111008799.91000001</v>
      </c>
      <c r="G15" s="268"/>
      <c r="H15" s="268"/>
      <c r="I15" s="351">
        <f>SUM(I12:I14)</f>
        <v>127666286.18000001</v>
      </c>
      <c r="J15" s="264"/>
      <c r="K15" s="276">
        <f>SUM(K12:K14)</f>
        <v>16657486.270000001</v>
      </c>
      <c r="L15" s="277">
        <f>IFERROR(ROUND(K15/F15,5), )</f>
        <v>0.15006</v>
      </c>
      <c r="M15" s="348"/>
      <c r="N15" s="281"/>
      <c r="O15" s="352"/>
    </row>
    <row r="16" spans="1:15" x14ac:dyDescent="0.2">
      <c r="B16" s="262"/>
      <c r="C16" s="235"/>
      <c r="D16" s="253"/>
      <c r="E16" s="253"/>
      <c r="F16" s="264"/>
      <c r="G16" s="268"/>
      <c r="H16" s="268"/>
      <c r="I16" s="293"/>
      <c r="J16" s="264"/>
      <c r="K16" s="264"/>
      <c r="L16" s="270"/>
      <c r="M16" s="348"/>
      <c r="N16" s="281"/>
      <c r="O16" s="353">
        <f>'Exh JDT-5 (Rate Spread)'!G45</f>
        <v>0.14928205278047368</v>
      </c>
    </row>
    <row r="17" spans="1:15" x14ac:dyDescent="0.2">
      <c r="B17" s="282" t="s">
        <v>122</v>
      </c>
      <c r="C17" s="235"/>
      <c r="D17" s="253"/>
      <c r="E17" s="235"/>
      <c r="F17" s="276">
        <f>F15</f>
        <v>111008799.91000001</v>
      </c>
      <c r="G17" s="354"/>
      <c r="H17" s="355"/>
      <c r="I17" s="351">
        <f>I15</f>
        <v>127666286.18000001</v>
      </c>
      <c r="J17" s="264"/>
      <c r="K17" s="351">
        <f>K15</f>
        <v>16657486.270000001</v>
      </c>
      <c r="L17" s="277">
        <f>ROUND(K17/F17,5)</f>
        <v>0.15006</v>
      </c>
      <c r="M17" s="348"/>
      <c r="N17" s="281"/>
      <c r="O17" s="297"/>
    </row>
    <row r="18" spans="1:15" x14ac:dyDescent="0.2">
      <c r="B18" s="356"/>
      <c r="C18" s="357"/>
      <c r="D18" s="285"/>
      <c r="E18" s="358"/>
      <c r="F18" s="359"/>
      <c r="G18" s="285"/>
      <c r="H18" s="360"/>
      <c r="I18" s="286"/>
      <c r="J18" s="361"/>
      <c r="K18" s="361"/>
      <c r="L18" s="362"/>
      <c r="M18" s="348"/>
      <c r="N18" s="281"/>
      <c r="O18" s="235"/>
    </row>
    <row r="19" spans="1:15" x14ac:dyDescent="0.2">
      <c r="A19" s="235"/>
      <c r="B19" s="235"/>
      <c r="C19" s="235"/>
      <c r="D19" s="253"/>
      <c r="E19" s="235"/>
      <c r="F19" s="254"/>
      <c r="G19" s="354"/>
      <c r="H19" s="355"/>
      <c r="I19" s="254"/>
      <c r="J19" s="254"/>
      <c r="K19" s="264"/>
      <c r="L19" s="363"/>
      <c r="M19" s="348"/>
      <c r="N19" s="281"/>
      <c r="O19" s="235"/>
    </row>
    <row r="20" spans="1:15" x14ac:dyDescent="0.2">
      <c r="A20" s="235"/>
      <c r="B20" s="289" t="s">
        <v>80</v>
      </c>
      <c r="C20" s="346"/>
      <c r="D20" s="258"/>
      <c r="E20" s="258"/>
      <c r="F20" s="260"/>
      <c r="G20" s="347"/>
      <c r="H20" s="257"/>
      <c r="I20" s="260"/>
      <c r="J20" s="260"/>
      <c r="K20" s="260"/>
      <c r="L20" s="291"/>
      <c r="M20" s="348"/>
      <c r="N20" s="281"/>
      <c r="O20" s="235"/>
    </row>
    <row r="21" spans="1:15" x14ac:dyDescent="0.2">
      <c r="A21" s="235"/>
      <c r="B21" s="262"/>
      <c r="C21" s="235"/>
      <c r="D21" s="231"/>
      <c r="E21" s="235"/>
      <c r="F21" s="264"/>
      <c r="G21" s="268"/>
      <c r="H21" s="253"/>
      <c r="I21" s="264"/>
      <c r="J21" s="264"/>
      <c r="K21" s="264"/>
      <c r="L21" s="270"/>
      <c r="M21" s="348"/>
      <c r="N21" s="281"/>
      <c r="O21" s="235"/>
    </row>
    <row r="22" spans="1:15" x14ac:dyDescent="0.2">
      <c r="A22" s="235"/>
      <c r="B22" s="266" t="s">
        <v>59</v>
      </c>
      <c r="C22" s="267" t="s">
        <v>119</v>
      </c>
      <c r="D22" s="268">
        <v>24</v>
      </c>
      <c r="E22" s="269">
        <v>364.04</v>
      </c>
      <c r="F22" s="264">
        <f>ROUND(D22*E22,2)</f>
        <v>8736.9599999999991</v>
      </c>
      <c r="G22" s="268"/>
      <c r="H22" s="269">
        <f>E22</f>
        <v>364.04</v>
      </c>
      <c r="I22" s="293">
        <f>ROUND(D22*H22,2)</f>
        <v>8736.9599999999991</v>
      </c>
      <c r="J22" s="264"/>
      <c r="K22" s="264">
        <f>I22-F22</f>
        <v>0</v>
      </c>
      <c r="L22" s="270">
        <f>IFERROR(ROUND(K22/F22,5), )</f>
        <v>0</v>
      </c>
      <c r="M22" s="348"/>
      <c r="N22" s="281"/>
      <c r="O22" s="235"/>
    </row>
    <row r="23" spans="1:15" x14ac:dyDescent="0.2">
      <c r="A23" s="235"/>
      <c r="B23" s="262" t="s">
        <v>58</v>
      </c>
      <c r="C23" s="235" t="s">
        <v>120</v>
      </c>
      <c r="D23" s="268">
        <v>36958.529999999992</v>
      </c>
      <c r="E23" s="272">
        <v>0.37956000000000001</v>
      </c>
      <c r="F23" s="264">
        <f>ROUND(D23*E23,2)</f>
        <v>14027.98</v>
      </c>
      <c r="G23" s="268"/>
      <c r="H23" s="272">
        <f>H13</f>
        <v>0.43728</v>
      </c>
      <c r="I23" s="293">
        <f>ROUND(D23*H23,2)</f>
        <v>16161.23</v>
      </c>
      <c r="J23" s="264"/>
      <c r="K23" s="264">
        <f>I23-F23</f>
        <v>2133.25</v>
      </c>
      <c r="L23" s="270">
        <f>IFERROR(ROUND(K23/F23,5), )</f>
        <v>0.15207000000000001</v>
      </c>
      <c r="M23" s="348"/>
      <c r="N23" s="281"/>
      <c r="O23" s="235"/>
    </row>
    <row r="24" spans="1:15" x14ac:dyDescent="0.2">
      <c r="A24" s="235"/>
      <c r="B24" s="282" t="s">
        <v>123</v>
      </c>
      <c r="C24" s="275"/>
      <c r="D24" s="268"/>
      <c r="E24" s="253"/>
      <c r="F24" s="276">
        <f>SUM(F22:F23)</f>
        <v>22764.94</v>
      </c>
      <c r="G24" s="268"/>
      <c r="H24" s="268"/>
      <c r="I24" s="351">
        <f>SUM(I22:I23)</f>
        <v>24898.19</v>
      </c>
      <c r="J24" s="264"/>
      <c r="K24" s="351">
        <f>SUM(K22:K23)</f>
        <v>2133.25</v>
      </c>
      <c r="L24" s="277">
        <f>IFERROR(ROUND(K24/F24,5), )</f>
        <v>9.3710000000000002E-2</v>
      </c>
      <c r="M24" s="348"/>
      <c r="N24" s="281"/>
      <c r="O24" s="235"/>
    </row>
    <row r="25" spans="1:15" x14ac:dyDescent="0.2">
      <c r="A25" s="235"/>
      <c r="B25" s="262"/>
      <c r="C25" s="235"/>
      <c r="D25" s="235"/>
      <c r="E25" s="235"/>
      <c r="F25" s="233"/>
      <c r="G25" s="268"/>
      <c r="H25" s="253"/>
      <c r="I25" s="233"/>
      <c r="J25" s="233"/>
      <c r="K25" s="233"/>
      <c r="L25" s="270"/>
      <c r="M25" s="348"/>
      <c r="N25" s="281"/>
      <c r="O25" s="235"/>
    </row>
    <row r="26" spans="1:15" x14ac:dyDescent="0.2">
      <c r="A26" s="235"/>
      <c r="B26" s="282" t="s">
        <v>122</v>
      </c>
      <c r="C26" s="235"/>
      <c r="D26" s="253"/>
      <c r="E26" s="235"/>
      <c r="F26" s="276">
        <f>F24</f>
        <v>22764.94</v>
      </c>
      <c r="G26" s="354"/>
      <c r="H26" s="355"/>
      <c r="I26" s="276">
        <f>I24</f>
        <v>24898.19</v>
      </c>
      <c r="J26" s="264"/>
      <c r="K26" s="276">
        <f>K24+'Exh JDT-5 (Balancing)'!L11</f>
        <v>2139.9025354</v>
      </c>
      <c r="L26" s="277">
        <f>ROUND(K26/F26,5)</f>
        <v>9.4E-2</v>
      </c>
      <c r="M26" s="348"/>
      <c r="N26" s="281"/>
      <c r="O26" s="235"/>
    </row>
    <row r="27" spans="1:15" x14ac:dyDescent="0.2">
      <c r="A27" s="235"/>
      <c r="B27" s="356"/>
      <c r="C27" s="357"/>
      <c r="D27" s="285"/>
      <c r="E27" s="358"/>
      <c r="F27" s="359"/>
      <c r="G27" s="285"/>
      <c r="H27" s="360"/>
      <c r="I27" s="286"/>
      <c r="J27" s="361"/>
      <c r="K27" s="361"/>
      <c r="L27" s="362"/>
      <c r="M27" s="348"/>
      <c r="N27" s="281"/>
      <c r="O27" s="235"/>
    </row>
    <row r="28" spans="1:15" x14ac:dyDescent="0.2">
      <c r="A28" s="235"/>
      <c r="B28" s="235"/>
      <c r="C28" s="235"/>
      <c r="D28" s="253"/>
      <c r="E28" s="235"/>
      <c r="F28" s="254"/>
      <c r="G28" s="354"/>
      <c r="H28" s="355"/>
      <c r="I28" s="254"/>
      <c r="J28" s="254"/>
      <c r="K28" s="264"/>
      <c r="L28" s="363"/>
      <c r="M28" s="348"/>
      <c r="N28" s="281"/>
      <c r="O28" s="235"/>
    </row>
    <row r="29" spans="1:15" x14ac:dyDescent="0.2">
      <c r="A29" s="235"/>
      <c r="B29" s="255" t="s">
        <v>134</v>
      </c>
      <c r="C29" s="346"/>
      <c r="D29" s="258"/>
      <c r="E29" s="258"/>
      <c r="F29" s="260"/>
      <c r="G29" s="347"/>
      <c r="H29" s="257"/>
      <c r="I29" s="260"/>
      <c r="J29" s="260"/>
      <c r="K29" s="260"/>
      <c r="L29" s="291"/>
      <c r="M29" s="348"/>
      <c r="N29" s="281"/>
      <c r="O29" s="235"/>
    </row>
    <row r="30" spans="1:15" x14ac:dyDescent="0.2">
      <c r="A30" s="235"/>
      <c r="B30" s="262"/>
      <c r="C30" s="235"/>
      <c r="D30" s="231"/>
      <c r="E30" s="235"/>
      <c r="F30" s="264"/>
      <c r="G30" s="268"/>
      <c r="H30" s="253"/>
      <c r="I30" s="264"/>
      <c r="J30" s="264"/>
      <c r="K30" s="264"/>
      <c r="L30" s="270"/>
      <c r="M30" s="348"/>
      <c r="N30" s="281"/>
      <c r="O30" s="235"/>
    </row>
    <row r="31" spans="1:15" x14ac:dyDescent="0.2">
      <c r="A31" s="235"/>
      <c r="B31" s="266" t="s">
        <v>59</v>
      </c>
      <c r="C31" s="267" t="s">
        <v>119</v>
      </c>
      <c r="D31" s="268">
        <f>D12+D22</f>
        <v>698523.36081828561</v>
      </c>
      <c r="E31" s="269"/>
      <c r="F31" s="264">
        <f>F12+F22</f>
        <v>23645955.330000002</v>
      </c>
      <c r="G31" s="268"/>
      <c r="H31" s="269"/>
      <c r="I31" s="264">
        <f>I12+I22</f>
        <v>27173377.100000001</v>
      </c>
      <c r="J31" s="264"/>
      <c r="K31" s="264">
        <f>I31-F31</f>
        <v>3527421.7699999996</v>
      </c>
      <c r="L31" s="270">
        <f>IFERROR(ROUND(K31/F31,5), )</f>
        <v>0.14918000000000001</v>
      </c>
      <c r="M31" s="348"/>
      <c r="N31" s="281"/>
      <c r="O31" s="235"/>
    </row>
    <row r="32" spans="1:15" x14ac:dyDescent="0.2">
      <c r="A32" s="235"/>
      <c r="B32" s="262" t="s">
        <v>58</v>
      </c>
      <c r="C32" s="235" t="s">
        <v>120</v>
      </c>
      <c r="D32" s="268">
        <f>D13+D23</f>
        <v>222203870.67539161</v>
      </c>
      <c r="E32" s="272"/>
      <c r="F32" s="264">
        <f>F13+F23</f>
        <v>84339701.150000006</v>
      </c>
      <c r="G32" s="268"/>
      <c r="H32" s="272"/>
      <c r="I32" s="264">
        <f>I13+I23</f>
        <v>97165308.570000008</v>
      </c>
      <c r="J32" s="264"/>
      <c r="K32" s="264">
        <f>I32-F32</f>
        <v>12825607.420000002</v>
      </c>
      <c r="L32" s="270">
        <f>IFERROR(ROUND(K32/F32,5), )</f>
        <v>0.15207000000000001</v>
      </c>
      <c r="M32" s="348"/>
      <c r="N32" s="281"/>
      <c r="O32" s="235"/>
    </row>
    <row r="33" spans="1:15" x14ac:dyDescent="0.2">
      <c r="A33" s="235"/>
      <c r="B33" s="262" t="s">
        <v>61</v>
      </c>
      <c r="C33" s="235" t="s">
        <v>120</v>
      </c>
      <c r="D33" s="268">
        <f>D14</f>
        <v>222166912.14539161</v>
      </c>
      <c r="E33" s="272"/>
      <c r="F33" s="264">
        <f>F14</f>
        <v>3045908.37</v>
      </c>
      <c r="G33" s="268"/>
      <c r="H33" s="272"/>
      <c r="I33" s="264">
        <f>I14</f>
        <v>3352498.7</v>
      </c>
      <c r="J33" s="264"/>
      <c r="K33" s="264">
        <f>I33-F33</f>
        <v>306590.33000000007</v>
      </c>
      <c r="L33" s="270">
        <f>IFERROR(ROUND(K33/F33,5), )</f>
        <v>0.10066</v>
      </c>
      <c r="M33" s="348"/>
      <c r="N33" s="281"/>
      <c r="O33" s="235"/>
    </row>
    <row r="34" spans="1:15" x14ac:dyDescent="0.2">
      <c r="A34" s="235"/>
      <c r="B34" s="282" t="s">
        <v>123</v>
      </c>
      <c r="C34" s="275"/>
      <c r="D34" s="268"/>
      <c r="E34" s="253"/>
      <c r="F34" s="276">
        <f>SUM(F31:F33)</f>
        <v>111031564.85000001</v>
      </c>
      <c r="G34" s="268"/>
      <c r="H34" s="268"/>
      <c r="I34" s="276">
        <f>SUM(I31:I33)</f>
        <v>127691184.37000002</v>
      </c>
      <c r="J34" s="264"/>
      <c r="K34" s="276">
        <f>SUM(K31:K33)</f>
        <v>16659619.520000001</v>
      </c>
      <c r="L34" s="277">
        <f>IFERROR(ROUND(K34/F34,5), )</f>
        <v>0.15004000000000001</v>
      </c>
      <c r="M34" s="348"/>
      <c r="N34" s="281"/>
      <c r="O34" s="235"/>
    </row>
    <row r="35" spans="1:15" x14ac:dyDescent="0.2">
      <c r="A35" s="235"/>
      <c r="B35" s="282"/>
      <c r="C35" s="275"/>
      <c r="D35" s="268"/>
      <c r="E35" s="253"/>
      <c r="F35" s="264"/>
      <c r="G35" s="268"/>
      <c r="H35" s="268"/>
      <c r="I35" s="264"/>
      <c r="J35" s="264"/>
      <c r="K35" s="264"/>
      <c r="L35" s="270"/>
      <c r="M35" s="348"/>
      <c r="N35" s="281"/>
      <c r="O35" s="235"/>
    </row>
    <row r="36" spans="1:15" x14ac:dyDescent="0.2">
      <c r="A36" s="235"/>
      <c r="B36" s="282" t="s">
        <v>122</v>
      </c>
      <c r="C36" s="235"/>
      <c r="D36" s="253"/>
      <c r="E36" s="235"/>
      <c r="F36" s="276">
        <f>F34</f>
        <v>111031564.85000001</v>
      </c>
      <c r="G36" s="354"/>
      <c r="H36" s="355"/>
      <c r="I36" s="276">
        <f>I34</f>
        <v>127691184.37000002</v>
      </c>
      <c r="J36" s="264"/>
      <c r="K36" s="276">
        <f>K34</f>
        <v>16659619.520000001</v>
      </c>
      <c r="L36" s="277">
        <f>ROUND(K36/F36,5)</f>
        <v>0.15004000000000001</v>
      </c>
      <c r="M36" s="348"/>
      <c r="N36" s="281"/>
      <c r="O36" s="235"/>
    </row>
    <row r="37" spans="1:15" x14ac:dyDescent="0.2">
      <c r="A37" s="235"/>
      <c r="B37" s="356"/>
      <c r="C37" s="357"/>
      <c r="D37" s="285"/>
      <c r="E37" s="358"/>
      <c r="F37" s="359"/>
      <c r="G37" s="285"/>
      <c r="H37" s="360"/>
      <c r="I37" s="286"/>
      <c r="J37" s="361"/>
      <c r="K37" s="361"/>
      <c r="L37" s="362"/>
      <c r="M37" s="348"/>
      <c r="N37" s="281"/>
      <c r="O37" s="235"/>
    </row>
    <row r="38" spans="1:15" x14ac:dyDescent="0.2">
      <c r="A38" s="235"/>
      <c r="B38" s="235"/>
      <c r="C38" s="235"/>
      <c r="D38" s="253"/>
      <c r="E38" s="235"/>
      <c r="F38" s="254"/>
      <c r="G38" s="354"/>
      <c r="H38" s="355"/>
      <c r="I38" s="254"/>
      <c r="J38" s="254"/>
      <c r="K38" s="264"/>
      <c r="L38" s="363"/>
      <c r="M38" s="348"/>
      <c r="N38" s="281"/>
      <c r="O38" s="235"/>
    </row>
    <row r="39" spans="1:15" x14ac:dyDescent="0.2">
      <c r="B39" s="289" t="s">
        <v>82</v>
      </c>
      <c r="C39" s="346"/>
      <c r="D39" s="257"/>
      <c r="E39" s="258"/>
      <c r="F39" s="260"/>
      <c r="G39" s="257"/>
      <c r="H39" s="257"/>
      <c r="I39" s="260"/>
      <c r="J39" s="260"/>
      <c r="K39" s="260"/>
      <c r="L39" s="291"/>
      <c r="M39" s="348"/>
      <c r="N39" s="281"/>
    </row>
    <row r="40" spans="1:15" x14ac:dyDescent="0.2">
      <c r="B40" s="292"/>
      <c r="C40" s="235"/>
      <c r="D40" s="253"/>
      <c r="E40" s="253"/>
      <c r="F40" s="264"/>
      <c r="G40" s="294"/>
      <c r="H40" s="253"/>
      <c r="I40" s="264"/>
      <c r="J40" s="264"/>
      <c r="K40" s="264"/>
      <c r="L40" s="270"/>
      <c r="M40" s="348"/>
      <c r="N40" s="281"/>
      <c r="O40" s="161" t="s">
        <v>135</v>
      </c>
    </row>
    <row r="41" spans="1:15" x14ac:dyDescent="0.2">
      <c r="B41" s="266" t="s">
        <v>59</v>
      </c>
      <c r="C41" s="267" t="s">
        <v>119</v>
      </c>
      <c r="D41" s="268">
        <v>14991.599999999999</v>
      </c>
      <c r="E41" s="269">
        <v>113.4</v>
      </c>
      <c r="F41" s="264">
        <f>ROUND(D41*E41,2)</f>
        <v>1700047.44</v>
      </c>
      <c r="G41" s="268"/>
      <c r="H41" s="269">
        <f>ROUND(E41*(1+$O$45),2)</f>
        <v>130.33000000000001</v>
      </c>
      <c r="I41" s="264">
        <f>ROUND(D41*H41,2)</f>
        <v>1953855.23</v>
      </c>
      <c r="J41" s="264"/>
      <c r="K41" s="264">
        <f>I41-F41</f>
        <v>253807.79000000004</v>
      </c>
      <c r="L41" s="265">
        <f t="shared" ref="L41:L43" si="0">IFERROR(ROUND(K41/F41,5), )</f>
        <v>0.14929000000000001</v>
      </c>
      <c r="M41" s="348"/>
      <c r="N41" s="281"/>
      <c r="O41" s="271">
        <f>'Exh JDT-5 (Rate Spread)'!H47</f>
        <v>23790373.520390179</v>
      </c>
    </row>
    <row r="42" spans="1:15" x14ac:dyDescent="0.2">
      <c r="B42" s="292" t="s">
        <v>60</v>
      </c>
      <c r="C42" s="267" t="s">
        <v>119</v>
      </c>
      <c r="D42" s="268">
        <f>D41</f>
        <v>14991.599999999999</v>
      </c>
      <c r="E42" s="269">
        <v>123.82</v>
      </c>
      <c r="F42" s="254">
        <f>D42*E42</f>
        <v>1856259.9119999998</v>
      </c>
      <c r="G42" s="268"/>
      <c r="H42" s="269">
        <f>ROUND(H46*900,2)</f>
        <v>143.55000000000001</v>
      </c>
      <c r="I42" s="254">
        <f>ROUND(D42*H42,2)</f>
        <v>2152044.1800000002</v>
      </c>
      <c r="J42" s="254"/>
      <c r="K42" s="264">
        <f>I42-F42</f>
        <v>295784.26800000039</v>
      </c>
      <c r="L42" s="265">
        <f t="shared" si="0"/>
        <v>0.15934000000000001</v>
      </c>
      <c r="M42" s="348"/>
      <c r="N42" s="251"/>
      <c r="O42" s="271" t="s">
        <v>121</v>
      </c>
    </row>
    <row r="43" spans="1:15" x14ac:dyDescent="0.2">
      <c r="B43" s="292" t="s">
        <v>136</v>
      </c>
      <c r="C43" s="235" t="s">
        <v>137</v>
      </c>
      <c r="D43" s="268">
        <v>4828804.7110000001</v>
      </c>
      <c r="E43" s="269">
        <v>1.25</v>
      </c>
      <c r="F43" s="254">
        <f>ROUND(D43*E43,2)</f>
        <v>6036005.8899999997</v>
      </c>
      <c r="G43" s="268"/>
      <c r="H43" s="269">
        <f>ROUND(E43*(1+$O$45),2)</f>
        <v>1.44</v>
      </c>
      <c r="I43" s="254">
        <f>ROUND(D43*H43,2)</f>
        <v>6953478.7800000003</v>
      </c>
      <c r="J43" s="254"/>
      <c r="K43" s="264">
        <f>I43-F43</f>
        <v>917472.8900000006</v>
      </c>
      <c r="L43" s="265">
        <f t="shared" si="0"/>
        <v>0.152</v>
      </c>
      <c r="M43" s="348"/>
      <c r="N43" s="251"/>
      <c r="O43" s="350">
        <f>I86-O41</f>
        <v>-24.659917011857033</v>
      </c>
    </row>
    <row r="44" spans="1:15" x14ac:dyDescent="0.2">
      <c r="B44" s="292"/>
      <c r="C44" s="235"/>
      <c r="D44" s="268"/>
      <c r="E44" s="269"/>
      <c r="F44" s="349"/>
      <c r="G44" s="268"/>
      <c r="H44" s="269"/>
      <c r="I44" s="254"/>
      <c r="J44" s="254"/>
      <c r="K44" s="299"/>
      <c r="L44" s="364"/>
      <c r="M44" s="348"/>
      <c r="N44" s="251"/>
      <c r="O44" s="352"/>
    </row>
    <row r="45" spans="1:15" x14ac:dyDescent="0.2">
      <c r="B45" s="292" t="s">
        <v>138</v>
      </c>
      <c r="C45" s="235"/>
      <c r="D45" s="268"/>
      <c r="E45" s="269"/>
      <c r="F45" s="254"/>
      <c r="G45" s="268"/>
      <c r="H45" s="269"/>
      <c r="I45" s="254"/>
      <c r="J45" s="254"/>
      <c r="K45" s="299"/>
      <c r="L45" s="364"/>
      <c r="M45" s="348"/>
      <c r="N45" s="251"/>
      <c r="O45" s="353">
        <f>'Exh JDT-5 (Rate Spread)'!H45</f>
        <v>0.14928205278047368</v>
      </c>
    </row>
    <row r="46" spans="1:15" x14ac:dyDescent="0.2">
      <c r="B46" s="292" t="s">
        <v>83</v>
      </c>
      <c r="C46" s="235" t="s">
        <v>120</v>
      </c>
      <c r="D46" s="268">
        <v>12213411.474000001</v>
      </c>
      <c r="E46" s="272">
        <v>0.13758000000000001</v>
      </c>
      <c r="F46" s="264" t="s">
        <v>139</v>
      </c>
      <c r="G46" s="268"/>
      <c r="H46" s="272">
        <f>H47</f>
        <v>0.1595</v>
      </c>
      <c r="I46" s="264" t="s">
        <v>139</v>
      </c>
      <c r="J46" s="264"/>
      <c r="K46" s="264"/>
      <c r="L46" s="270"/>
      <c r="M46" s="348"/>
      <c r="N46" s="281"/>
    </row>
    <row r="47" spans="1:15" x14ac:dyDescent="0.2">
      <c r="B47" s="292" t="s">
        <v>84</v>
      </c>
      <c r="C47" s="235" t="s">
        <v>120</v>
      </c>
      <c r="D47" s="268">
        <v>27469287.989699997</v>
      </c>
      <c r="E47" s="272">
        <v>0.13758000000000001</v>
      </c>
      <c r="F47" s="264">
        <f>ROUND(D47*E47,2)</f>
        <v>3779224.64</v>
      </c>
      <c r="G47" s="268"/>
      <c r="H47" s="272">
        <v>0.1595</v>
      </c>
      <c r="I47" s="264">
        <f>ROUND(D47*H47,2)</f>
        <v>4381351.43</v>
      </c>
      <c r="J47" s="264"/>
      <c r="K47" s="264">
        <f>I47-F47</f>
        <v>602126.78999999957</v>
      </c>
      <c r="L47" s="265">
        <f t="shared" ref="L47:L48" si="1">IFERROR(ROUND(K47/F47,5), )</f>
        <v>0.15933</v>
      </c>
      <c r="M47" s="348"/>
      <c r="N47" s="281"/>
    </row>
    <row r="48" spans="1:15" x14ac:dyDescent="0.2">
      <c r="B48" s="292" t="s">
        <v>85</v>
      </c>
      <c r="C48" s="235" t="s">
        <v>120</v>
      </c>
      <c r="D48" s="268">
        <v>22835291.693248168</v>
      </c>
      <c r="E48" s="272">
        <v>0.11074000000000001</v>
      </c>
      <c r="F48" s="264">
        <f>ROUND(D48*E48,2)</f>
        <v>2528780.2000000002</v>
      </c>
      <c r="G48" s="268"/>
      <c r="H48" s="272">
        <f>ROUND(E48*(1+$O$45),5)</f>
        <v>0.12726999999999999</v>
      </c>
      <c r="I48" s="264">
        <f>ROUND(D48*H48,2)</f>
        <v>2906247.57</v>
      </c>
      <c r="J48" s="264"/>
      <c r="K48" s="264">
        <f>I48-F48</f>
        <v>377467.36999999965</v>
      </c>
      <c r="L48" s="265">
        <f t="shared" si="1"/>
        <v>0.14927000000000001</v>
      </c>
      <c r="M48" s="348"/>
      <c r="N48" s="281"/>
      <c r="O48" s="293"/>
    </row>
    <row r="49" spans="1:16" s="230" customFormat="1" x14ac:dyDescent="0.2">
      <c r="A49" s="253"/>
      <c r="B49" s="266" t="s">
        <v>140</v>
      </c>
      <c r="C49" s="275"/>
      <c r="D49" s="365">
        <f>SUM(D46:D48)</f>
        <v>62517991.156948164</v>
      </c>
      <c r="E49" s="231"/>
      <c r="F49" s="254"/>
      <c r="G49" s="268"/>
      <c r="H49" s="268"/>
      <c r="I49" s="253"/>
      <c r="J49" s="253"/>
      <c r="K49" s="253"/>
      <c r="L49" s="366"/>
      <c r="M49" s="367"/>
      <c r="N49" s="368"/>
      <c r="O49" s="253"/>
    </row>
    <row r="50" spans="1:16" s="230" customFormat="1" x14ac:dyDescent="0.2">
      <c r="A50" s="253"/>
      <c r="B50" s="266" t="s">
        <v>61</v>
      </c>
      <c r="C50" s="235" t="s">
        <v>120</v>
      </c>
      <c r="D50" s="268">
        <f>D49</f>
        <v>62517991.156948164</v>
      </c>
      <c r="E50" s="369">
        <v>1.005E-2</v>
      </c>
      <c r="F50" s="254">
        <f>D50*E50</f>
        <v>628305.81112732901</v>
      </c>
      <c r="G50" s="268"/>
      <c r="H50" s="272">
        <f>ROUND('Exh JDT-5 (Procmnt Chrg)'!F17,5)</f>
        <v>1.1310000000000001E-2</v>
      </c>
      <c r="I50" s="254">
        <f>D50*H50</f>
        <v>707078.4799850838</v>
      </c>
      <c r="J50" s="254"/>
      <c r="K50" s="264">
        <f>I50-F50</f>
        <v>78772.66885775479</v>
      </c>
      <c r="L50" s="265">
        <f>IFERROR(ROUND(K50/F50,5), )</f>
        <v>0.12537000000000001</v>
      </c>
      <c r="M50" s="367"/>
      <c r="N50" s="368"/>
      <c r="O50" s="253"/>
      <c r="P50" s="370"/>
    </row>
    <row r="51" spans="1:16" x14ac:dyDescent="0.2">
      <c r="B51" s="282" t="s">
        <v>123</v>
      </c>
      <c r="C51" s="275"/>
      <c r="D51" s="365"/>
      <c r="E51" s="231"/>
      <c r="F51" s="371">
        <f>SUM(F41:F50)</f>
        <v>16528623.893127328</v>
      </c>
      <c r="G51" s="268"/>
      <c r="H51" s="268"/>
      <c r="I51" s="371">
        <f>SUM(I41:I43,I47:I50)</f>
        <v>19054055.669985086</v>
      </c>
      <c r="J51" s="254"/>
      <c r="K51" s="371">
        <f>SUM(K41:K50)</f>
        <v>2525431.7768577547</v>
      </c>
      <c r="L51" s="277">
        <f>ROUND(K51/F51,5)</f>
        <v>0.15279000000000001</v>
      </c>
      <c r="M51" s="348"/>
      <c r="N51" s="281"/>
      <c r="O51" s="372"/>
    </row>
    <row r="52" spans="1:16" x14ac:dyDescent="0.2">
      <c r="B52" s="266"/>
      <c r="C52" s="275"/>
      <c r="D52" s="268"/>
      <c r="E52" s="235"/>
      <c r="F52" s="264"/>
      <c r="G52" s="268"/>
      <c r="H52" s="268"/>
      <c r="I52" s="254"/>
      <c r="J52" s="254"/>
      <c r="K52" s="264"/>
      <c r="L52" s="270"/>
      <c r="M52" s="348"/>
      <c r="N52" s="281"/>
      <c r="O52" s="373"/>
    </row>
    <row r="53" spans="1:16" x14ac:dyDescent="0.2">
      <c r="B53" s="266" t="s">
        <v>122</v>
      </c>
      <c r="C53" s="275"/>
      <c r="D53" s="253"/>
      <c r="E53" s="268"/>
      <c r="F53" s="371">
        <f>+F51</f>
        <v>16528623.893127328</v>
      </c>
      <c r="G53" s="268"/>
      <c r="H53" s="268"/>
      <c r="I53" s="371">
        <f>+I51</f>
        <v>19054055.669985086</v>
      </c>
      <c r="J53" s="254"/>
      <c r="K53" s="276">
        <f>K51</f>
        <v>2525431.7768577547</v>
      </c>
      <c r="L53" s="277">
        <f>ROUND(K53/F53,5)</f>
        <v>0.15279000000000001</v>
      </c>
      <c r="M53" s="348"/>
      <c r="N53" s="281"/>
      <c r="O53" s="253"/>
    </row>
    <row r="54" spans="1:16" s="230" customFormat="1" x14ac:dyDescent="0.2">
      <c r="B54" s="284"/>
      <c r="C54" s="285"/>
      <c r="D54" s="285"/>
      <c r="E54" s="285"/>
      <c r="F54" s="286"/>
      <c r="G54" s="285"/>
      <c r="H54" s="285"/>
      <c r="I54" s="359"/>
      <c r="J54" s="359"/>
      <c r="K54" s="286"/>
      <c r="L54" s="288"/>
      <c r="M54" s="367"/>
      <c r="N54" s="368"/>
      <c r="O54" s="253"/>
    </row>
    <row r="55" spans="1:16" s="230" customFormat="1" x14ac:dyDescent="0.2">
      <c r="A55" s="253"/>
      <c r="B55" s="253"/>
      <c r="C55" s="253"/>
      <c r="D55" s="253"/>
      <c r="E55" s="253"/>
      <c r="F55" s="293"/>
      <c r="G55" s="253"/>
      <c r="H55" s="253"/>
      <c r="I55" s="298"/>
      <c r="J55" s="298"/>
      <c r="K55" s="293"/>
      <c r="L55" s="374"/>
      <c r="M55" s="367"/>
      <c r="N55" s="368"/>
      <c r="O55" s="253"/>
    </row>
    <row r="56" spans="1:16" s="230" customFormat="1" x14ac:dyDescent="0.2">
      <c r="A56" s="253"/>
      <c r="B56" s="289" t="s">
        <v>86</v>
      </c>
      <c r="C56" s="346"/>
      <c r="D56" s="257"/>
      <c r="E56" s="258"/>
      <c r="F56" s="260"/>
      <c r="G56" s="257"/>
      <c r="H56" s="257"/>
      <c r="I56" s="260"/>
      <c r="J56" s="260"/>
      <c r="K56" s="260"/>
      <c r="L56" s="291"/>
      <c r="M56" s="367"/>
      <c r="N56" s="368"/>
      <c r="O56" s="253"/>
    </row>
    <row r="57" spans="1:16" s="230" customFormat="1" x14ac:dyDescent="0.2">
      <c r="A57" s="253"/>
      <c r="B57" s="292"/>
      <c r="C57" s="235"/>
      <c r="D57" s="253"/>
      <c r="E57" s="253"/>
      <c r="F57" s="264"/>
      <c r="G57" s="294"/>
      <c r="H57" s="253"/>
      <c r="I57" s="264"/>
      <c r="J57" s="264"/>
      <c r="K57" s="264"/>
      <c r="L57" s="270"/>
      <c r="M57" s="367"/>
      <c r="N57" s="368"/>
      <c r="O57" s="253"/>
    </row>
    <row r="58" spans="1:16" s="230" customFormat="1" x14ac:dyDescent="0.2">
      <c r="A58" s="253"/>
      <c r="B58" s="266" t="s">
        <v>59</v>
      </c>
      <c r="C58" s="267" t="s">
        <v>119</v>
      </c>
      <c r="D58" s="268">
        <v>1040</v>
      </c>
      <c r="E58" s="269">
        <v>422.79</v>
      </c>
      <c r="F58" s="264">
        <f>ROUND(D58*E58,2)</f>
        <v>439701.6</v>
      </c>
      <c r="G58" s="268"/>
      <c r="H58" s="269">
        <f>E58</f>
        <v>422.79</v>
      </c>
      <c r="I58" s="264">
        <f>ROUND(D58*H58,2)</f>
        <v>439701.6</v>
      </c>
      <c r="J58" s="264"/>
      <c r="K58" s="264">
        <f>I58-F58</f>
        <v>0</v>
      </c>
      <c r="L58" s="265">
        <f t="shared" ref="L58:L60" si="2">IFERROR(ROUND(K58/F58,5), )</f>
        <v>0</v>
      </c>
      <c r="M58" s="367"/>
      <c r="N58" s="368"/>
      <c r="O58" s="267"/>
    </row>
    <row r="59" spans="1:16" s="230" customFormat="1" x14ac:dyDescent="0.2">
      <c r="A59" s="253"/>
      <c r="B59" s="292" t="s">
        <v>60</v>
      </c>
      <c r="C59" s="267" t="s">
        <v>119</v>
      </c>
      <c r="D59" s="268">
        <f>D58</f>
        <v>1040</v>
      </c>
      <c r="E59" s="269">
        <v>123.82</v>
      </c>
      <c r="F59" s="254">
        <f>D59*E59</f>
        <v>128772.79999999999</v>
      </c>
      <c r="G59" s="268"/>
      <c r="H59" s="269">
        <f>H42</f>
        <v>143.55000000000001</v>
      </c>
      <c r="I59" s="254">
        <f>ROUND(D59*H59,2)</f>
        <v>149292</v>
      </c>
      <c r="J59" s="254"/>
      <c r="K59" s="264">
        <f>I59-F59</f>
        <v>20519.200000000012</v>
      </c>
      <c r="L59" s="265">
        <f t="shared" si="2"/>
        <v>0.15934000000000001</v>
      </c>
      <c r="M59" s="367"/>
      <c r="N59" s="368"/>
      <c r="O59" s="253"/>
    </row>
    <row r="60" spans="1:16" s="230" customFormat="1" x14ac:dyDescent="0.2">
      <c r="A60" s="253"/>
      <c r="B60" s="292" t="s">
        <v>136</v>
      </c>
      <c r="C60" s="235" t="s">
        <v>137</v>
      </c>
      <c r="D60" s="268">
        <v>1163206.9669999999</v>
      </c>
      <c r="E60" s="269">
        <v>1.25</v>
      </c>
      <c r="F60" s="254">
        <f>ROUND(D60*E60,2)</f>
        <v>1454008.71</v>
      </c>
      <c r="G60" s="268"/>
      <c r="H60" s="269">
        <f>H43</f>
        <v>1.44</v>
      </c>
      <c r="I60" s="254">
        <f>ROUND(D60*H60,2)</f>
        <v>1675018.03</v>
      </c>
      <c r="J60" s="253"/>
      <c r="K60" s="264">
        <f>I60-F60</f>
        <v>221009.32000000007</v>
      </c>
      <c r="L60" s="265">
        <f t="shared" si="2"/>
        <v>0.152</v>
      </c>
      <c r="M60" s="367"/>
      <c r="N60" s="368"/>
      <c r="O60" s="253"/>
    </row>
    <row r="61" spans="1:16" s="230" customFormat="1" x14ac:dyDescent="0.2">
      <c r="A61" s="253"/>
      <c r="B61" s="292"/>
      <c r="C61" s="235"/>
      <c r="D61" s="268"/>
      <c r="E61" s="269"/>
      <c r="F61" s="254"/>
      <c r="G61" s="268"/>
      <c r="H61" s="269"/>
      <c r="I61" s="254"/>
      <c r="J61" s="254"/>
      <c r="K61" s="299"/>
      <c r="L61" s="364"/>
      <c r="M61" s="367"/>
      <c r="N61" s="368"/>
      <c r="O61" s="253"/>
    </row>
    <row r="62" spans="1:16" s="230" customFormat="1" x14ac:dyDescent="0.2">
      <c r="A62" s="253"/>
      <c r="B62" s="292" t="s">
        <v>138</v>
      </c>
      <c r="C62" s="235"/>
      <c r="D62" s="268"/>
      <c r="E62" s="269"/>
      <c r="F62" s="264"/>
      <c r="G62" s="268"/>
      <c r="H62" s="269"/>
      <c r="I62" s="254"/>
      <c r="J62" s="254"/>
      <c r="K62" s="299"/>
      <c r="L62" s="364"/>
      <c r="M62" s="367"/>
      <c r="N62" s="368"/>
      <c r="O62" s="253"/>
    </row>
    <row r="63" spans="1:16" s="230" customFormat="1" x14ac:dyDescent="0.2">
      <c r="A63" s="253"/>
      <c r="B63" s="292" t="s">
        <v>83</v>
      </c>
      <c r="C63" s="235" t="s">
        <v>120</v>
      </c>
      <c r="D63" s="268">
        <v>1057148.28</v>
      </c>
      <c r="E63" s="272">
        <v>0.13758000000000001</v>
      </c>
      <c r="F63" s="264" t="s">
        <v>139</v>
      </c>
      <c r="G63" s="268"/>
      <c r="H63" s="272">
        <f>H46</f>
        <v>0.1595</v>
      </c>
      <c r="I63" s="264" t="s">
        <v>139</v>
      </c>
      <c r="J63" s="264"/>
      <c r="K63" s="264"/>
      <c r="L63" s="270"/>
      <c r="M63" s="367"/>
      <c r="N63" s="368"/>
      <c r="O63" s="253"/>
    </row>
    <row r="64" spans="1:16" s="230" customFormat="1" x14ac:dyDescent="0.2">
      <c r="A64" s="253"/>
      <c r="B64" s="292" t="s">
        <v>84</v>
      </c>
      <c r="C64" s="235" t="s">
        <v>120</v>
      </c>
      <c r="D64" s="268">
        <v>3901926.5700000003</v>
      </c>
      <c r="E64" s="272">
        <v>0.13758000000000001</v>
      </c>
      <c r="F64" s="264">
        <f>D64*E64</f>
        <v>536827.05750060012</v>
      </c>
      <c r="G64" s="268"/>
      <c r="H64" s="272">
        <f>H47</f>
        <v>0.1595</v>
      </c>
      <c r="I64" s="264">
        <f>H64*D64</f>
        <v>622357.28791500011</v>
      </c>
      <c r="J64" s="264"/>
      <c r="K64" s="264">
        <f>I64-F64</f>
        <v>85530.230414399994</v>
      </c>
      <c r="L64" s="265">
        <f t="shared" ref="L64:L65" si="3">IFERROR(ROUND(K64/F64,5), )</f>
        <v>0.15933</v>
      </c>
      <c r="M64" s="367"/>
      <c r="N64" s="368"/>
      <c r="O64" s="253"/>
    </row>
    <row r="65" spans="1:15" s="230" customFormat="1" x14ac:dyDescent="0.2">
      <c r="A65" s="253"/>
      <c r="B65" s="292" t="s">
        <v>85</v>
      </c>
      <c r="C65" s="235" t="s">
        <v>120</v>
      </c>
      <c r="D65" s="268">
        <v>14535430.758019032</v>
      </c>
      <c r="E65" s="272">
        <v>0.11074000000000001</v>
      </c>
      <c r="F65" s="264">
        <f>D65*E65</f>
        <v>1609653.6021430276</v>
      </c>
      <c r="G65" s="268"/>
      <c r="H65" s="272">
        <f>H48</f>
        <v>0.12726999999999999</v>
      </c>
      <c r="I65" s="264">
        <f>H65*D65</f>
        <v>1849924.272573082</v>
      </c>
      <c r="J65" s="264"/>
      <c r="K65" s="264">
        <f>I65-F65</f>
        <v>240270.67043005442</v>
      </c>
      <c r="L65" s="265">
        <f t="shared" si="3"/>
        <v>0.14927000000000001</v>
      </c>
      <c r="M65" s="367"/>
      <c r="N65" s="368"/>
      <c r="O65" s="253"/>
    </row>
    <row r="66" spans="1:15" s="230" customFormat="1" x14ac:dyDescent="0.2">
      <c r="A66" s="253"/>
      <c r="B66" s="266" t="s">
        <v>140</v>
      </c>
      <c r="C66" s="275"/>
      <c r="D66" s="365">
        <f>SUM(D63:D65)</f>
        <v>19494505.608019032</v>
      </c>
      <c r="E66" s="231"/>
      <c r="F66" s="254"/>
      <c r="G66" s="268"/>
      <c r="H66" s="268"/>
      <c r="I66" s="253"/>
      <c r="J66" s="253"/>
      <c r="K66" s="253"/>
      <c r="L66" s="366"/>
      <c r="M66" s="367"/>
      <c r="N66" s="368"/>
      <c r="O66" s="253"/>
    </row>
    <row r="67" spans="1:15" s="230" customFormat="1" x14ac:dyDescent="0.2">
      <c r="A67" s="253"/>
      <c r="B67" s="282" t="s">
        <v>123</v>
      </c>
      <c r="C67" s="275"/>
      <c r="D67" s="268"/>
      <c r="E67" s="231"/>
      <c r="F67" s="371">
        <f>SUM(F58:F66)</f>
        <v>4168963.769643628</v>
      </c>
      <c r="G67" s="268"/>
      <c r="H67" s="268"/>
      <c r="I67" s="371">
        <f>SUM(I58:I66)</f>
        <v>4736293.1904880824</v>
      </c>
      <c r="J67" s="254"/>
      <c r="K67" s="371">
        <f>SUM(K58:K66)</f>
        <v>567329.42084445455</v>
      </c>
      <c r="L67" s="277">
        <f>ROUND(K67/F67,5)</f>
        <v>0.13608000000000001</v>
      </c>
      <c r="M67" s="367"/>
      <c r="N67" s="368"/>
      <c r="O67" s="253"/>
    </row>
    <row r="68" spans="1:15" s="230" customFormat="1" x14ac:dyDescent="0.2">
      <c r="A68" s="253"/>
      <c r="B68" s="266"/>
      <c r="C68" s="275"/>
      <c r="D68" s="268"/>
      <c r="E68" s="231"/>
      <c r="F68" s="254"/>
      <c r="G68" s="268"/>
      <c r="H68" s="268"/>
      <c r="I68" s="254"/>
      <c r="J68" s="254"/>
      <c r="K68" s="264"/>
      <c r="L68" s="270"/>
      <c r="M68" s="367"/>
      <c r="N68" s="368"/>
      <c r="O68" s="375"/>
    </row>
    <row r="69" spans="1:15" s="230" customFormat="1" x14ac:dyDescent="0.2">
      <c r="A69" s="253"/>
      <c r="B69" s="292" t="s">
        <v>122</v>
      </c>
      <c r="C69" s="235"/>
      <c r="D69" s="268"/>
      <c r="E69" s="272"/>
      <c r="F69" s="371">
        <f>F67</f>
        <v>4168963.769643628</v>
      </c>
      <c r="G69" s="253"/>
      <c r="H69" s="269"/>
      <c r="I69" s="371">
        <f>I67</f>
        <v>4736293.1904880824</v>
      </c>
      <c r="J69" s="264"/>
      <c r="K69" s="276">
        <f>K67</f>
        <v>567329.42084445455</v>
      </c>
      <c r="L69" s="277">
        <f>ROUND(K69/F69,5)</f>
        <v>0.13608000000000001</v>
      </c>
      <c r="M69" s="367"/>
      <c r="N69" s="368"/>
      <c r="O69" s="293"/>
    </row>
    <row r="70" spans="1:15" s="230" customFormat="1" x14ac:dyDescent="0.2">
      <c r="A70" s="253"/>
      <c r="B70" s="284"/>
      <c r="C70" s="285"/>
      <c r="D70" s="285"/>
      <c r="E70" s="285"/>
      <c r="F70" s="286"/>
      <c r="G70" s="285"/>
      <c r="H70" s="285"/>
      <c r="I70" s="359"/>
      <c r="J70" s="359"/>
      <c r="K70" s="286"/>
      <c r="L70" s="288"/>
      <c r="M70" s="367"/>
      <c r="N70" s="368"/>
      <c r="O70" s="375"/>
    </row>
    <row r="71" spans="1:15" s="230" customFormat="1" x14ac:dyDescent="0.2">
      <c r="A71" s="253"/>
      <c r="B71" s="253"/>
      <c r="C71" s="253"/>
      <c r="D71" s="253"/>
      <c r="E71" s="253"/>
      <c r="F71" s="293"/>
      <c r="G71" s="253"/>
      <c r="H71" s="253"/>
      <c r="I71" s="298"/>
      <c r="J71" s="298"/>
      <c r="K71" s="293"/>
      <c r="L71" s="374"/>
      <c r="M71" s="367"/>
      <c r="N71" s="368"/>
      <c r="O71" s="375"/>
    </row>
    <row r="72" spans="1:15" s="230" customFormat="1" x14ac:dyDescent="0.2">
      <c r="A72" s="253"/>
      <c r="B72" s="289" t="s">
        <v>141</v>
      </c>
      <c r="C72" s="346"/>
      <c r="D72" s="257"/>
      <c r="E72" s="258"/>
      <c r="F72" s="260"/>
      <c r="G72" s="257"/>
      <c r="H72" s="257"/>
      <c r="I72" s="260"/>
      <c r="J72" s="260"/>
      <c r="K72" s="260"/>
      <c r="L72" s="291"/>
      <c r="M72" s="367"/>
      <c r="N72" s="368"/>
      <c r="O72" s="375"/>
    </row>
    <row r="73" spans="1:15" s="230" customFormat="1" x14ac:dyDescent="0.2">
      <c r="A73" s="253"/>
      <c r="B73" s="262"/>
      <c r="C73" s="235"/>
      <c r="D73" s="253"/>
      <c r="E73" s="253"/>
      <c r="F73" s="264"/>
      <c r="G73" s="294"/>
      <c r="H73" s="253"/>
      <c r="I73" s="264"/>
      <c r="J73" s="264"/>
      <c r="K73" s="264"/>
      <c r="L73" s="270"/>
      <c r="M73" s="367"/>
      <c r="N73" s="368"/>
      <c r="O73" s="375"/>
    </row>
    <row r="74" spans="1:15" s="230" customFormat="1" x14ac:dyDescent="0.2">
      <c r="A74" s="253"/>
      <c r="B74" s="266" t="s">
        <v>59</v>
      </c>
      <c r="C74" s="267" t="s">
        <v>119</v>
      </c>
      <c r="D74" s="268">
        <f>D58+D41</f>
        <v>16031.599999999999</v>
      </c>
      <c r="E74" s="269"/>
      <c r="F74" s="264">
        <f>F58+F41</f>
        <v>2139749.04</v>
      </c>
      <c r="G74" s="268"/>
      <c r="H74" s="269"/>
      <c r="I74" s="264">
        <f>I58+I41</f>
        <v>2393556.83</v>
      </c>
      <c r="J74" s="264"/>
      <c r="K74" s="264">
        <f>K58+K41</f>
        <v>253807.79000000004</v>
      </c>
      <c r="L74" s="265">
        <f t="shared" ref="L74:L76" si="4">IFERROR(ROUND(K74/F74,5), )</f>
        <v>0.11862</v>
      </c>
      <c r="M74" s="367"/>
      <c r="N74" s="368"/>
      <c r="O74" s="375"/>
    </row>
    <row r="75" spans="1:15" s="230" customFormat="1" x14ac:dyDescent="0.2">
      <c r="A75" s="253"/>
      <c r="B75" s="292" t="s">
        <v>60</v>
      </c>
      <c r="C75" s="267" t="s">
        <v>119</v>
      </c>
      <c r="D75" s="268">
        <f>D74</f>
        <v>16031.599999999999</v>
      </c>
      <c r="E75" s="269"/>
      <c r="F75" s="264">
        <f>F59+F42</f>
        <v>1985032.7119999998</v>
      </c>
      <c r="G75" s="268"/>
      <c r="H75" s="269"/>
      <c r="I75" s="264">
        <f>I59+I42</f>
        <v>2301336.1800000002</v>
      </c>
      <c r="J75" s="254"/>
      <c r="K75" s="264">
        <f>K59+K42</f>
        <v>316303.4680000004</v>
      </c>
      <c r="L75" s="265">
        <f t="shared" si="4"/>
        <v>0.15934000000000001</v>
      </c>
      <c r="M75" s="367"/>
      <c r="N75" s="368"/>
      <c r="O75" s="375"/>
    </row>
    <row r="76" spans="1:15" s="230" customFormat="1" x14ac:dyDescent="0.2">
      <c r="A76" s="253"/>
      <c r="B76" s="262" t="s">
        <v>136</v>
      </c>
      <c r="C76" s="235" t="s">
        <v>137</v>
      </c>
      <c r="D76" s="268">
        <f>D60+D43</f>
        <v>5992011.6780000003</v>
      </c>
      <c r="E76" s="269"/>
      <c r="F76" s="264">
        <f>F60+F43</f>
        <v>7490014.5999999996</v>
      </c>
      <c r="G76" s="268"/>
      <c r="H76" s="269"/>
      <c r="I76" s="264">
        <f>I60+I43</f>
        <v>8628496.8100000005</v>
      </c>
      <c r="J76" s="254"/>
      <c r="K76" s="264">
        <f>K60+K43</f>
        <v>1138482.2100000007</v>
      </c>
      <c r="L76" s="265">
        <f t="shared" si="4"/>
        <v>0.152</v>
      </c>
      <c r="M76" s="367"/>
      <c r="N76" s="368"/>
      <c r="O76" s="375"/>
    </row>
    <row r="77" spans="1:15" s="230" customFormat="1" x14ac:dyDescent="0.2">
      <c r="A77" s="253"/>
      <c r="B77" s="262"/>
      <c r="C77" s="235"/>
      <c r="D77" s="268"/>
      <c r="E77" s="269"/>
      <c r="F77" s="254"/>
      <c r="G77" s="268"/>
      <c r="H77" s="269"/>
      <c r="I77" s="254"/>
      <c r="J77" s="254"/>
      <c r="K77" s="299"/>
      <c r="L77" s="364"/>
      <c r="M77" s="367"/>
      <c r="N77" s="368"/>
      <c r="O77" s="375"/>
    </row>
    <row r="78" spans="1:15" s="230" customFormat="1" x14ac:dyDescent="0.2">
      <c r="A78" s="253"/>
      <c r="B78" s="262" t="s">
        <v>138</v>
      </c>
      <c r="C78" s="235"/>
      <c r="D78" s="268"/>
      <c r="E78" s="269"/>
      <c r="F78" s="264"/>
      <c r="G78" s="268"/>
      <c r="H78" s="269"/>
      <c r="I78" s="254"/>
      <c r="J78" s="254"/>
      <c r="K78" s="299"/>
      <c r="L78" s="364"/>
      <c r="M78" s="367"/>
      <c r="N78" s="368"/>
      <c r="O78" s="375"/>
    </row>
    <row r="79" spans="1:15" s="230" customFormat="1" x14ac:dyDescent="0.2">
      <c r="A79" s="253"/>
      <c r="B79" s="292" t="s">
        <v>83</v>
      </c>
      <c r="C79" s="235" t="s">
        <v>120</v>
      </c>
      <c r="D79" s="268">
        <f>D63+D46</f>
        <v>13270559.754000001</v>
      </c>
      <c r="E79" s="272"/>
      <c r="F79" s="264" t="s">
        <v>139</v>
      </c>
      <c r="G79" s="268"/>
      <c r="H79" s="272"/>
      <c r="I79" s="264" t="s">
        <v>139</v>
      </c>
      <c r="J79" s="264"/>
      <c r="K79" s="264"/>
      <c r="L79" s="270"/>
      <c r="M79" s="367"/>
      <c r="N79" s="368"/>
      <c r="O79" s="375"/>
    </row>
    <row r="80" spans="1:15" s="230" customFormat="1" x14ac:dyDescent="0.2">
      <c r="A80" s="253"/>
      <c r="B80" s="292" t="s">
        <v>84</v>
      </c>
      <c r="C80" s="235" t="s">
        <v>120</v>
      </c>
      <c r="D80" s="268">
        <f>D64+D47</f>
        <v>31371214.559699997</v>
      </c>
      <c r="E80" s="272"/>
      <c r="F80" s="264">
        <f>F64+F47</f>
        <v>4316051.6975006005</v>
      </c>
      <c r="G80" s="268"/>
      <c r="H80" s="272"/>
      <c r="I80" s="264">
        <f>I64+I47</f>
        <v>5003708.7179149995</v>
      </c>
      <c r="J80" s="264"/>
      <c r="K80" s="264">
        <f>K64+K47</f>
        <v>687657.02041439957</v>
      </c>
      <c r="L80" s="265">
        <f t="shared" ref="L80:L81" si="5">IFERROR(ROUND(K80/F80,5), )</f>
        <v>0.15933</v>
      </c>
      <c r="M80" s="367"/>
      <c r="N80" s="368"/>
      <c r="O80" s="375"/>
    </row>
    <row r="81" spans="1:15" s="230" customFormat="1" x14ac:dyDescent="0.2">
      <c r="A81" s="253"/>
      <c r="B81" s="292" t="s">
        <v>85</v>
      </c>
      <c r="C81" s="235" t="s">
        <v>120</v>
      </c>
      <c r="D81" s="287">
        <f>D65+D48</f>
        <v>37370722.451267198</v>
      </c>
      <c r="E81" s="272"/>
      <c r="F81" s="264">
        <f>F65+F48</f>
        <v>4138433.802143028</v>
      </c>
      <c r="G81" s="268"/>
      <c r="H81" s="272"/>
      <c r="I81" s="264">
        <f>I65+I48</f>
        <v>4756171.8425730821</v>
      </c>
      <c r="J81" s="264"/>
      <c r="K81" s="264">
        <f>K65+K48</f>
        <v>617738.04043005407</v>
      </c>
      <c r="L81" s="265">
        <f t="shared" si="5"/>
        <v>0.14927000000000001</v>
      </c>
      <c r="M81" s="367"/>
      <c r="N81" s="368"/>
      <c r="O81" s="375"/>
    </row>
    <row r="82" spans="1:15" s="230" customFormat="1" x14ac:dyDescent="0.2">
      <c r="A82" s="253"/>
      <c r="B82" s="282" t="s">
        <v>140</v>
      </c>
      <c r="C82" s="275"/>
      <c r="D82" s="365">
        <f>SUM(D79:D81)</f>
        <v>82012496.764967203</v>
      </c>
      <c r="E82" s="231"/>
      <c r="F82" s="254"/>
      <c r="G82" s="268"/>
      <c r="H82" s="268"/>
      <c r="I82" s="253"/>
      <c r="J82" s="253"/>
      <c r="K82" s="253"/>
      <c r="L82" s="366"/>
      <c r="M82" s="367"/>
      <c r="N82" s="368"/>
      <c r="O82" s="375"/>
    </row>
    <row r="83" spans="1:15" s="230" customFormat="1" x14ac:dyDescent="0.2">
      <c r="A83" s="253"/>
      <c r="B83" s="262" t="s">
        <v>61</v>
      </c>
      <c r="C83" s="235" t="s">
        <v>120</v>
      </c>
      <c r="D83" s="268">
        <f>D50</f>
        <v>62517991.156948164</v>
      </c>
      <c r="E83" s="272"/>
      <c r="F83" s="264">
        <f>F50</f>
        <v>628305.81112732901</v>
      </c>
      <c r="G83" s="268"/>
      <c r="H83" s="272"/>
      <c r="I83" s="264">
        <f>I50</f>
        <v>707078.4799850838</v>
      </c>
      <c r="J83" s="264"/>
      <c r="K83" s="264">
        <f>I83-F83</f>
        <v>78772.66885775479</v>
      </c>
      <c r="L83" s="270">
        <f>IFERROR(ROUND(K83/F83,5), )</f>
        <v>0.12537000000000001</v>
      </c>
      <c r="M83" s="367"/>
      <c r="N83" s="368"/>
      <c r="O83" s="375"/>
    </row>
    <row r="84" spans="1:15" s="230" customFormat="1" x14ac:dyDescent="0.2">
      <c r="A84" s="253"/>
      <c r="B84" s="282" t="s">
        <v>123</v>
      </c>
      <c r="C84" s="275"/>
      <c r="D84" s="268"/>
      <c r="E84" s="231"/>
      <c r="F84" s="371">
        <f>SUM(F74:F83)</f>
        <v>20697587.662770957</v>
      </c>
      <c r="G84" s="268"/>
      <c r="H84" s="268"/>
      <c r="I84" s="371">
        <f>SUM(I74:I83)</f>
        <v>23790348.860473167</v>
      </c>
      <c r="J84" s="254"/>
      <c r="K84" s="371">
        <f>SUM(K74:K82)</f>
        <v>3013988.5288444548</v>
      </c>
      <c r="L84" s="277">
        <f>ROUND(K84/F84,5)</f>
        <v>0.14562</v>
      </c>
      <c r="M84" s="367"/>
      <c r="N84" s="368"/>
      <c r="O84" s="375"/>
    </row>
    <row r="85" spans="1:15" s="230" customFormat="1" x14ac:dyDescent="0.2">
      <c r="A85" s="253"/>
      <c r="B85" s="282"/>
      <c r="C85" s="275"/>
      <c r="D85" s="268"/>
      <c r="E85" s="231"/>
      <c r="F85" s="254"/>
      <c r="G85" s="268"/>
      <c r="H85" s="268"/>
      <c r="I85" s="254"/>
      <c r="J85" s="254"/>
      <c r="K85" s="264"/>
      <c r="L85" s="270"/>
      <c r="M85" s="367"/>
      <c r="N85" s="368"/>
      <c r="O85" s="375"/>
    </row>
    <row r="86" spans="1:15" s="230" customFormat="1" x14ac:dyDescent="0.2">
      <c r="A86" s="253"/>
      <c r="B86" s="262" t="s">
        <v>122</v>
      </c>
      <c r="C86" s="235"/>
      <c r="D86" s="268"/>
      <c r="E86" s="272"/>
      <c r="F86" s="371">
        <f>F84</f>
        <v>20697587.662770957</v>
      </c>
      <c r="G86" s="253"/>
      <c r="H86" s="269"/>
      <c r="I86" s="371">
        <f>I84</f>
        <v>23790348.860473167</v>
      </c>
      <c r="J86" s="264"/>
      <c r="K86" s="276">
        <f>K84</f>
        <v>3013988.5288444548</v>
      </c>
      <c r="L86" s="277">
        <f>ROUND(K86/F86,5)</f>
        <v>0.14562</v>
      </c>
      <c r="M86" s="367"/>
      <c r="N86" s="368"/>
      <c r="O86" s="235"/>
    </row>
    <row r="87" spans="1:15" s="230" customFormat="1" x14ac:dyDescent="0.2">
      <c r="A87" s="253"/>
      <c r="B87" s="284"/>
      <c r="C87" s="285"/>
      <c r="D87" s="285"/>
      <c r="E87" s="285"/>
      <c r="F87" s="286"/>
      <c r="G87" s="285"/>
      <c r="H87" s="285"/>
      <c r="I87" s="359"/>
      <c r="J87" s="359"/>
      <c r="K87" s="286"/>
      <c r="L87" s="288"/>
      <c r="M87" s="367"/>
      <c r="N87" s="368"/>
      <c r="O87" s="235"/>
    </row>
    <row r="88" spans="1:15" s="253" customFormat="1" x14ac:dyDescent="0.2">
      <c r="F88" s="293"/>
      <c r="I88" s="298"/>
      <c r="J88" s="298"/>
      <c r="K88" s="293"/>
      <c r="L88" s="374"/>
      <c r="M88" s="367"/>
      <c r="N88" s="368"/>
      <c r="O88" s="297"/>
    </row>
    <row r="89" spans="1:15" x14ac:dyDescent="0.2">
      <c r="B89" s="235"/>
      <c r="F89" s="319"/>
      <c r="I89" s="319"/>
      <c r="J89" s="319"/>
      <c r="K89" s="319"/>
      <c r="M89" s="348"/>
      <c r="N89" s="281"/>
      <c r="O89" s="297"/>
    </row>
    <row r="90" spans="1:15" x14ac:dyDescent="0.2">
      <c r="B90" s="229" t="s">
        <v>142</v>
      </c>
      <c r="F90" s="319"/>
      <c r="I90" s="319"/>
      <c r="J90" s="319"/>
      <c r="K90" s="319"/>
      <c r="M90" s="348"/>
      <c r="N90" s="281"/>
      <c r="O90" s="376"/>
    </row>
    <row r="91" spans="1:15" x14ac:dyDescent="0.2">
      <c r="D91" s="317" t="s">
        <v>120</v>
      </c>
      <c r="F91" s="377" t="s">
        <v>65</v>
      </c>
      <c r="I91" s="377" t="s">
        <v>66</v>
      </c>
      <c r="J91" s="319"/>
      <c r="K91" s="377" t="s">
        <v>128</v>
      </c>
      <c r="M91" s="348"/>
      <c r="N91" s="281"/>
    </row>
    <row r="92" spans="1:15" x14ac:dyDescent="0.2">
      <c r="B92" s="229" t="s">
        <v>122</v>
      </c>
      <c r="C92" s="378"/>
      <c r="D92" s="231"/>
      <c r="E92" s="378"/>
      <c r="F92" s="378"/>
      <c r="G92" s="379"/>
      <c r="H92" s="379"/>
      <c r="I92" s="378"/>
      <c r="J92" s="378"/>
      <c r="K92" s="380"/>
      <c r="M92" s="381"/>
    </row>
    <row r="93" spans="1:15" x14ac:dyDescent="0.2">
      <c r="B93" s="224" t="s">
        <v>143</v>
      </c>
      <c r="C93" s="378"/>
      <c r="D93" s="231">
        <f>D32</f>
        <v>222203870.67539161</v>
      </c>
      <c r="E93" s="378"/>
      <c r="F93" s="378">
        <f>F15+F24</f>
        <v>111031564.85000001</v>
      </c>
      <c r="G93" s="378"/>
      <c r="H93" s="379"/>
      <c r="I93" s="378">
        <f>I15+I24</f>
        <v>127691184.37</v>
      </c>
      <c r="J93" s="378"/>
      <c r="K93" s="380">
        <f>I93-F93</f>
        <v>16659619.519999996</v>
      </c>
      <c r="L93" s="320">
        <f>K93/F93</f>
        <v>0.15004399462897414</v>
      </c>
      <c r="M93" s="381"/>
    </row>
    <row r="94" spans="1:15" x14ac:dyDescent="0.2">
      <c r="B94" s="224" t="s">
        <v>144</v>
      </c>
      <c r="C94" s="378"/>
      <c r="D94" s="382">
        <f>D66</f>
        <v>19494505.608019032</v>
      </c>
      <c r="E94" s="378"/>
      <c r="F94" s="378">
        <f>F51+F67</f>
        <v>20697587.662770957</v>
      </c>
      <c r="G94" s="378"/>
      <c r="H94" s="379"/>
      <c r="I94" s="378">
        <f>I51+I67</f>
        <v>23790348.860473167</v>
      </c>
      <c r="J94" s="378"/>
      <c r="K94" s="380">
        <f>I94-F94</f>
        <v>3092761.1977022104</v>
      </c>
      <c r="L94" s="320">
        <f>K94/F94</f>
        <v>0.1494261673434148</v>
      </c>
      <c r="M94" s="381"/>
    </row>
    <row r="95" spans="1:15" x14ac:dyDescent="0.2">
      <c r="B95" s="224" t="s">
        <v>3</v>
      </c>
      <c r="C95" s="378"/>
      <c r="D95" s="383">
        <f>SUM(D93:D94)</f>
        <v>241698376.28341064</v>
      </c>
      <c r="E95" s="378"/>
      <c r="F95" s="384">
        <f>SUM(F93:F94)</f>
        <v>131729152.51277097</v>
      </c>
      <c r="G95" s="378"/>
      <c r="H95" s="379"/>
      <c r="I95" s="384">
        <f>SUM(I93:I94)</f>
        <v>151481533.23047316</v>
      </c>
      <c r="J95" s="378"/>
      <c r="K95" s="384">
        <f>SUM(K93:K94)</f>
        <v>19752380.717702206</v>
      </c>
      <c r="L95" s="320">
        <f>K95/F95</f>
        <v>0.14994692018372502</v>
      </c>
      <c r="M95" s="381"/>
    </row>
    <row r="96" spans="1:15" ht="13.5" thickBot="1" x14ac:dyDescent="0.25">
      <c r="C96" s="378"/>
      <c r="D96" s="382"/>
      <c r="E96" s="378"/>
      <c r="F96" s="378"/>
      <c r="G96" s="378"/>
      <c r="H96" s="378"/>
      <c r="I96" s="378"/>
      <c r="J96" s="378"/>
      <c r="K96" s="378"/>
      <c r="M96" s="381"/>
    </row>
    <row r="97" spans="2:13" s="328" customFormat="1" ht="13.5" thickBot="1" x14ac:dyDescent="0.25">
      <c r="B97" s="322" t="s">
        <v>130</v>
      </c>
      <c r="C97" s="323" t="s">
        <v>131</v>
      </c>
      <c r="D97" s="324">
        <v>131729152.51315993</v>
      </c>
      <c r="E97" s="323" t="s">
        <v>35</v>
      </c>
      <c r="F97" s="385">
        <f>D97-F95</f>
        <v>3.8896501064300537E-4</v>
      </c>
      <c r="G97" s="379"/>
      <c r="H97" s="379"/>
      <c r="I97" s="378"/>
      <c r="J97" s="378"/>
      <c r="K97" s="378"/>
      <c r="L97" s="320"/>
      <c r="M97" s="381"/>
    </row>
    <row r="98" spans="2:13" s="328" customFormat="1" x14ac:dyDescent="0.2">
      <c r="B98" s="224"/>
      <c r="C98" s="378"/>
      <c r="D98" s="378"/>
      <c r="E98" s="378"/>
      <c r="F98" s="378"/>
      <c r="G98" s="379"/>
      <c r="H98" s="379"/>
      <c r="I98" s="378"/>
      <c r="J98" s="378"/>
      <c r="K98" s="378"/>
      <c r="L98" s="320"/>
      <c r="M98" s="381"/>
    </row>
    <row r="99" spans="2:13" s="328" customFormat="1" x14ac:dyDescent="0.2">
      <c r="B99" s="224"/>
      <c r="C99" s="224"/>
      <c r="D99" s="318"/>
      <c r="E99" s="224"/>
      <c r="F99" s="224"/>
      <c r="G99" s="379"/>
      <c r="H99" s="379"/>
      <c r="I99" s="378"/>
      <c r="J99" s="378"/>
      <c r="K99" s="378"/>
      <c r="L99" s="320"/>
      <c r="M99" s="381"/>
    </row>
    <row r="100" spans="2:13" s="328" customFormat="1" x14ac:dyDescent="0.2">
      <c r="B100" s="224"/>
      <c r="C100" s="378"/>
      <c r="D100" s="378"/>
      <c r="E100" s="378"/>
      <c r="F100" s="378"/>
      <c r="G100" s="379"/>
      <c r="H100" s="379"/>
      <c r="I100" s="378"/>
      <c r="J100" s="378"/>
      <c r="K100" s="378"/>
      <c r="L100" s="320"/>
      <c r="M100" s="381"/>
    </row>
    <row r="101" spans="2:13" s="328" customFormat="1" x14ac:dyDescent="0.2">
      <c r="B101" s="224"/>
      <c r="C101" s="378"/>
      <c r="D101" s="378"/>
      <c r="E101" s="378"/>
      <c r="F101" s="378"/>
      <c r="G101" s="379"/>
      <c r="H101" s="379"/>
      <c r="I101" s="378"/>
      <c r="J101" s="378"/>
      <c r="K101" s="378"/>
      <c r="L101" s="320"/>
      <c r="M101" s="381"/>
    </row>
    <row r="102" spans="2:13" s="328" customFormat="1" x14ac:dyDescent="0.2">
      <c r="B102" s="224"/>
      <c r="C102" s="378"/>
      <c r="D102" s="378"/>
      <c r="E102" s="378"/>
      <c r="F102" s="378"/>
      <c r="G102" s="379"/>
      <c r="H102" s="379"/>
      <c r="I102" s="378"/>
      <c r="J102" s="378"/>
      <c r="K102" s="378"/>
      <c r="L102" s="320"/>
      <c r="M102" s="381"/>
    </row>
    <row r="103" spans="2:13" s="328" customFormat="1" x14ac:dyDescent="0.2">
      <c r="B103" s="224"/>
      <c r="C103" s="378"/>
      <c r="D103" s="378"/>
      <c r="E103" s="378"/>
      <c r="F103" s="378"/>
      <c r="G103" s="379"/>
      <c r="H103" s="379"/>
      <c r="I103" s="378"/>
      <c r="J103" s="378"/>
      <c r="K103" s="378"/>
      <c r="L103" s="320"/>
      <c r="M103" s="381"/>
    </row>
    <row r="104" spans="2:13" s="328" customFormat="1" x14ac:dyDescent="0.2">
      <c r="B104" s="224"/>
      <c r="C104" s="378"/>
      <c r="D104" s="378"/>
      <c r="E104" s="378"/>
      <c r="F104" s="378"/>
      <c r="G104" s="379"/>
      <c r="H104" s="379"/>
      <c r="I104" s="378"/>
      <c r="J104" s="378"/>
      <c r="K104" s="378"/>
      <c r="L104" s="320"/>
      <c r="M104" s="381"/>
    </row>
    <row r="105" spans="2:13" s="328" customFormat="1" x14ac:dyDescent="0.2">
      <c r="B105" s="224"/>
      <c r="C105" s="378"/>
      <c r="D105" s="378"/>
      <c r="E105" s="378"/>
      <c r="F105" s="378"/>
      <c r="G105" s="379"/>
      <c r="H105" s="379"/>
      <c r="I105" s="378"/>
      <c r="J105" s="378"/>
      <c r="K105" s="378"/>
      <c r="L105" s="320"/>
      <c r="M105" s="381"/>
    </row>
    <row r="106" spans="2:13" s="328" customFormat="1" x14ac:dyDescent="0.2">
      <c r="B106" s="224"/>
      <c r="C106" s="378"/>
      <c r="D106" s="378"/>
      <c r="E106" s="378"/>
      <c r="F106" s="378"/>
      <c r="G106" s="379"/>
      <c r="H106" s="379"/>
      <c r="I106" s="378"/>
      <c r="J106" s="378"/>
      <c r="K106" s="378"/>
      <c r="L106" s="320"/>
      <c r="M106" s="381"/>
    </row>
    <row r="107" spans="2:13" s="328" customFormat="1" x14ac:dyDescent="0.2">
      <c r="B107" s="224"/>
      <c r="C107" s="378"/>
      <c r="D107" s="378"/>
      <c r="E107" s="378"/>
      <c r="F107" s="378"/>
      <c r="G107" s="379"/>
      <c r="H107" s="379"/>
      <c r="I107" s="378"/>
      <c r="J107" s="378"/>
      <c r="K107" s="378"/>
      <c r="L107" s="320"/>
      <c r="M107" s="381"/>
    </row>
    <row r="108" spans="2:13" s="328" customFormat="1" x14ac:dyDescent="0.2">
      <c r="B108" s="224"/>
      <c r="C108" s="378"/>
      <c r="D108" s="378"/>
      <c r="E108" s="378"/>
      <c r="F108" s="378"/>
      <c r="G108" s="379"/>
      <c r="H108" s="379"/>
      <c r="I108" s="378"/>
      <c r="J108" s="378"/>
      <c r="K108" s="378"/>
      <c r="L108" s="320"/>
      <c r="M108" s="381"/>
    </row>
    <row r="109" spans="2:13" s="328" customFormat="1" x14ac:dyDescent="0.2">
      <c r="B109" s="224"/>
      <c r="C109" s="378"/>
      <c r="D109" s="378"/>
      <c r="E109" s="378"/>
      <c r="F109" s="378"/>
      <c r="G109" s="379"/>
      <c r="H109" s="379"/>
      <c r="I109" s="378"/>
      <c r="J109" s="378"/>
      <c r="K109" s="378"/>
      <c r="L109" s="320"/>
      <c r="M109" s="381"/>
    </row>
    <row r="110" spans="2:13" s="328" customFormat="1" x14ac:dyDescent="0.2">
      <c r="B110" s="224"/>
      <c r="C110" s="378"/>
      <c r="D110" s="378"/>
      <c r="E110" s="378"/>
      <c r="F110" s="378"/>
      <c r="G110" s="379"/>
      <c r="H110" s="379"/>
      <c r="I110" s="378"/>
      <c r="J110" s="378"/>
      <c r="K110" s="378"/>
      <c r="L110" s="320"/>
      <c r="M110" s="381"/>
    </row>
    <row r="111" spans="2:13" s="328" customFormat="1" x14ac:dyDescent="0.2">
      <c r="B111" s="224"/>
      <c r="C111" s="378"/>
      <c r="D111" s="378"/>
      <c r="E111" s="378"/>
      <c r="F111" s="378"/>
      <c r="G111" s="379"/>
      <c r="H111" s="379"/>
      <c r="I111" s="378"/>
      <c r="J111" s="378"/>
      <c r="K111" s="378"/>
      <c r="L111" s="320"/>
      <c r="M111" s="381"/>
    </row>
    <row r="112" spans="2:13" s="328" customFormat="1" x14ac:dyDescent="0.2">
      <c r="B112" s="224"/>
      <c r="C112" s="378"/>
      <c r="D112" s="378"/>
      <c r="E112" s="378"/>
      <c r="F112" s="378"/>
      <c r="G112" s="379"/>
      <c r="H112" s="379"/>
      <c r="I112" s="378"/>
      <c r="J112" s="378"/>
      <c r="K112" s="378"/>
      <c r="L112" s="320"/>
      <c r="M112" s="381"/>
    </row>
    <row r="113" spans="3:13" s="328" customFormat="1" x14ac:dyDescent="0.2">
      <c r="C113" s="378"/>
      <c r="D113" s="378"/>
      <c r="E113" s="378"/>
      <c r="F113" s="378"/>
      <c r="G113" s="379"/>
      <c r="H113" s="379"/>
      <c r="I113" s="378"/>
      <c r="J113" s="378"/>
      <c r="K113" s="378"/>
      <c r="L113" s="320"/>
      <c r="M113" s="381"/>
    </row>
    <row r="114" spans="3:13" s="328" customFormat="1" x14ac:dyDescent="0.2">
      <c r="C114" s="378"/>
      <c r="D114" s="378"/>
      <c r="E114" s="378"/>
      <c r="F114" s="378"/>
      <c r="G114" s="379"/>
      <c r="H114" s="379"/>
      <c r="I114" s="378"/>
      <c r="J114" s="378"/>
      <c r="K114" s="378"/>
      <c r="L114" s="320"/>
      <c r="M114" s="381"/>
    </row>
    <row r="115" spans="3:13" s="328" customFormat="1" x14ac:dyDescent="0.2">
      <c r="C115" s="378"/>
      <c r="D115" s="378"/>
      <c r="E115" s="378"/>
      <c r="F115" s="378"/>
      <c r="G115" s="379"/>
      <c r="H115" s="379"/>
      <c r="I115" s="378"/>
      <c r="J115" s="378"/>
      <c r="K115" s="378"/>
      <c r="L115" s="320"/>
      <c r="M115" s="381"/>
    </row>
    <row r="116" spans="3:13" s="328" customFormat="1" x14ac:dyDescent="0.2">
      <c r="C116" s="378"/>
      <c r="D116" s="378"/>
      <c r="E116" s="378"/>
      <c r="F116" s="378"/>
      <c r="G116" s="379"/>
      <c r="H116" s="379"/>
      <c r="I116" s="378"/>
      <c r="J116" s="378"/>
      <c r="K116" s="378"/>
      <c r="L116" s="320"/>
      <c r="M116" s="381"/>
    </row>
    <row r="117" spans="3:13" s="328" customFormat="1" x14ac:dyDescent="0.2">
      <c r="C117" s="224"/>
      <c r="D117" s="224"/>
      <c r="E117" s="224"/>
      <c r="F117" s="232"/>
      <c r="G117" s="321"/>
      <c r="H117" s="230"/>
      <c r="I117" s="232"/>
      <c r="J117" s="232"/>
      <c r="K117" s="232"/>
      <c r="L117" s="320"/>
      <c r="M117" s="381"/>
    </row>
    <row r="118" spans="3:13" s="328" customFormat="1" x14ac:dyDescent="0.2">
      <c r="C118" s="224"/>
      <c r="D118" s="224"/>
      <c r="E118" s="224"/>
      <c r="F118" s="232"/>
      <c r="G118" s="321"/>
      <c r="H118" s="230"/>
      <c r="I118" s="232"/>
      <c r="J118" s="232"/>
      <c r="K118" s="232"/>
      <c r="L118" s="320"/>
      <c r="M118" s="381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4" customWidth="1"/>
    <col min="3" max="3" width="9.7109375" style="224" customWidth="1"/>
    <col min="4" max="4" width="15.140625" style="321" bestFit="1" customWidth="1"/>
    <col min="5" max="5" width="10.42578125" style="443" customWidth="1"/>
    <col min="6" max="6" width="13.5703125" style="232" customWidth="1"/>
    <col min="7" max="7" width="3" style="268" customWidth="1"/>
    <col min="8" max="8" width="10.42578125" style="441" customWidth="1"/>
    <col min="9" max="9" width="14" style="232" bestFit="1" customWidth="1"/>
    <col min="10" max="10" width="2.85546875" style="232" customWidth="1"/>
    <col min="11" max="11" width="13.140625" style="232" customWidth="1"/>
    <col min="12" max="12" width="10.42578125" style="450" customWidth="1"/>
    <col min="13" max="13" width="2.85546875" style="327" customWidth="1"/>
    <col min="14" max="14" width="2.140625" style="391" customWidth="1"/>
    <col min="15" max="15" width="14.5703125" style="224" bestFit="1" customWidth="1"/>
    <col min="16" max="16" width="2.85546875" style="224" customWidth="1"/>
    <col min="17" max="16384" width="9.140625" style="224"/>
  </cols>
  <sheetData>
    <row r="1" spans="1:16" x14ac:dyDescent="0.2">
      <c r="B1" s="221" t="s">
        <v>253</v>
      </c>
      <c r="C1" s="223"/>
      <c r="D1" s="330"/>
      <c r="E1" s="386"/>
      <c r="F1" s="329"/>
      <c r="G1" s="387"/>
      <c r="H1" s="388"/>
      <c r="I1" s="329"/>
      <c r="J1" s="329"/>
      <c r="K1" s="329"/>
      <c r="L1" s="333"/>
      <c r="M1" s="333"/>
      <c r="N1" s="334"/>
      <c r="O1" s="223"/>
      <c r="P1" s="223"/>
    </row>
    <row r="2" spans="1:16" x14ac:dyDescent="0.2">
      <c r="B2" s="225" t="s">
        <v>254</v>
      </c>
      <c r="C2" s="226"/>
      <c r="D2" s="388"/>
      <c r="E2" s="329"/>
      <c r="F2" s="329"/>
      <c r="G2" s="388"/>
      <c r="H2" s="388"/>
      <c r="I2" s="329"/>
      <c r="J2" s="329"/>
      <c r="K2" s="329"/>
      <c r="L2" s="329"/>
      <c r="M2" s="333"/>
      <c r="N2" s="334"/>
      <c r="O2" s="223"/>
      <c r="P2" s="223"/>
    </row>
    <row r="3" spans="1:16" x14ac:dyDescent="0.2">
      <c r="B3" s="225" t="s">
        <v>255</v>
      </c>
      <c r="C3" s="226"/>
      <c r="D3" s="388"/>
      <c r="E3" s="329"/>
      <c r="F3" s="329"/>
      <c r="G3" s="388"/>
      <c r="H3" s="388"/>
      <c r="I3" s="329"/>
      <c r="J3" s="329"/>
      <c r="K3" s="329"/>
      <c r="L3" s="329"/>
      <c r="M3" s="333"/>
      <c r="N3" s="334"/>
      <c r="O3" s="223"/>
      <c r="P3" s="223"/>
    </row>
    <row r="4" spans="1:16" x14ac:dyDescent="0.2">
      <c r="B4" s="225" t="s">
        <v>145</v>
      </c>
      <c r="C4" s="226"/>
      <c r="D4" s="388"/>
      <c r="E4" s="329"/>
      <c r="F4" s="329"/>
      <c r="G4" s="388"/>
      <c r="H4" s="388"/>
      <c r="I4" s="329"/>
      <c r="J4" s="329"/>
      <c r="K4" s="329"/>
      <c r="L4" s="329"/>
      <c r="M4" s="333"/>
      <c r="N4" s="334"/>
      <c r="O4" s="223"/>
      <c r="P4" s="223"/>
    </row>
    <row r="5" spans="1:16" x14ac:dyDescent="0.2">
      <c r="B5" s="225" t="str">
        <f>'Exh JDT-5 (Rate Spread)'!B5</f>
        <v>Rate Spread and Schedule 141R and 141N Allocation</v>
      </c>
      <c r="C5" s="226"/>
      <c r="D5" s="330"/>
      <c r="E5" s="386"/>
      <c r="F5" s="329"/>
      <c r="G5" s="387"/>
      <c r="H5" s="388"/>
      <c r="I5" s="329"/>
      <c r="J5" s="329"/>
      <c r="K5" s="329"/>
      <c r="L5" s="333"/>
      <c r="M5" s="333"/>
      <c r="N5" s="334"/>
      <c r="O5" s="228"/>
      <c r="P5" s="223"/>
    </row>
    <row r="6" spans="1:16" s="235" customFormat="1" x14ac:dyDescent="0.2">
      <c r="B6" s="389"/>
      <c r="C6" s="228"/>
      <c r="D6" s="268"/>
      <c r="E6" s="390"/>
      <c r="F6" s="233"/>
      <c r="G6" s="268"/>
      <c r="H6" s="269"/>
      <c r="I6" s="233"/>
      <c r="J6" s="233"/>
      <c r="K6" s="233"/>
      <c r="L6" s="391"/>
      <c r="M6" s="344"/>
      <c r="N6" s="344"/>
    </row>
    <row r="7" spans="1:16" x14ac:dyDescent="0.2">
      <c r="B7" s="236"/>
      <c r="C7" s="237"/>
      <c r="D7" s="392" t="s">
        <v>106</v>
      </c>
      <c r="E7" s="239" t="s">
        <v>107</v>
      </c>
      <c r="F7" s="240"/>
      <c r="G7" s="340"/>
      <c r="H7" s="242" t="s">
        <v>108</v>
      </c>
      <c r="I7" s="240"/>
      <c r="J7" s="243"/>
      <c r="K7" s="341" t="s">
        <v>109</v>
      </c>
      <c r="L7" s="342"/>
      <c r="M7" s="344"/>
      <c r="N7" s="334"/>
      <c r="O7" s="160" t="s">
        <v>110</v>
      </c>
    </row>
    <row r="8" spans="1:16" x14ac:dyDescent="0.2">
      <c r="B8" s="246" t="s">
        <v>2</v>
      </c>
      <c r="C8" s="393" t="s">
        <v>111</v>
      </c>
      <c r="D8" s="317" t="s">
        <v>112</v>
      </c>
      <c r="E8" s="394" t="s">
        <v>113</v>
      </c>
      <c r="F8" s="249" t="s">
        <v>114</v>
      </c>
      <c r="G8" s="317"/>
      <c r="H8" s="358" t="s">
        <v>113</v>
      </c>
      <c r="I8" s="249" t="s">
        <v>114</v>
      </c>
      <c r="J8" s="249"/>
      <c r="K8" s="249" t="s">
        <v>115</v>
      </c>
      <c r="L8" s="250" t="s">
        <v>116</v>
      </c>
      <c r="M8" s="344"/>
      <c r="N8" s="251"/>
      <c r="O8" s="252" t="s">
        <v>117</v>
      </c>
    </row>
    <row r="9" spans="1:16" x14ac:dyDescent="0.2">
      <c r="A9" s="235"/>
      <c r="B9" s="282"/>
      <c r="C9" s="275"/>
      <c r="D9" s="268"/>
      <c r="E9" s="390"/>
      <c r="F9" s="233"/>
      <c r="G9" s="294"/>
      <c r="H9" s="269"/>
      <c r="I9" s="349"/>
      <c r="J9" s="349"/>
      <c r="K9" s="233"/>
      <c r="L9" s="395"/>
      <c r="M9" s="344"/>
      <c r="O9" s="235"/>
    </row>
    <row r="10" spans="1:16" x14ac:dyDescent="0.2">
      <c r="B10" s="255" t="s">
        <v>88</v>
      </c>
      <c r="C10" s="346"/>
      <c r="D10" s="347"/>
      <c r="E10" s="396"/>
      <c r="F10" s="260"/>
      <c r="G10" s="397"/>
      <c r="H10" s="398"/>
      <c r="I10" s="399"/>
      <c r="J10" s="399"/>
      <c r="K10" s="260"/>
      <c r="L10" s="261"/>
      <c r="M10" s="344"/>
      <c r="N10" s="344"/>
    </row>
    <row r="11" spans="1:16" x14ac:dyDescent="0.2">
      <c r="B11" s="262"/>
      <c r="C11" s="235"/>
      <c r="D11" s="268"/>
      <c r="E11" s="390"/>
      <c r="F11" s="264"/>
      <c r="G11" s="294"/>
      <c r="H11" s="269"/>
      <c r="I11" s="254"/>
      <c r="J11" s="349"/>
      <c r="K11" s="264"/>
      <c r="L11" s="265"/>
      <c r="M11" s="344"/>
      <c r="N11" s="344"/>
      <c r="O11" s="160" t="s">
        <v>146</v>
      </c>
    </row>
    <row r="12" spans="1:16" x14ac:dyDescent="0.2">
      <c r="B12" s="282" t="s">
        <v>59</v>
      </c>
      <c r="C12" s="275" t="s">
        <v>119</v>
      </c>
      <c r="D12" s="268">
        <v>368.56669691470051</v>
      </c>
      <c r="E12" s="269">
        <v>595.08000000000004</v>
      </c>
      <c r="F12" s="264">
        <f>ROUND(D12*E12,2)</f>
        <v>219326.67</v>
      </c>
      <c r="H12" s="269">
        <f>ROUND(E12*(1+$O$16),2)</f>
        <v>701.68</v>
      </c>
      <c r="I12" s="254">
        <f>ROUND(D12*H12,2)</f>
        <v>258615.88</v>
      </c>
      <c r="J12" s="349"/>
      <c r="K12" s="264">
        <f>I12-F12</f>
        <v>39289.209999999992</v>
      </c>
      <c r="L12" s="265">
        <f>IFERROR(K12/F12, )</f>
        <v>0.17913557890611292</v>
      </c>
      <c r="M12" s="344"/>
      <c r="N12" s="344"/>
      <c r="O12" s="271">
        <f>'Exh JDT-5 (Rate Spread)'!I47</f>
        <v>10148737.09648389</v>
      </c>
    </row>
    <row r="13" spans="1:16" x14ac:dyDescent="0.2">
      <c r="B13" s="262" t="s">
        <v>136</v>
      </c>
      <c r="C13" s="235" t="s">
        <v>137</v>
      </c>
      <c r="D13" s="268">
        <v>96766.635999999999</v>
      </c>
      <c r="E13" s="269">
        <v>1.3</v>
      </c>
      <c r="F13" s="264">
        <f>ROUND(D13*E13,2)</f>
        <v>125796.63</v>
      </c>
      <c r="H13" s="269">
        <f>ROUND(E13*(1+$O$16),2)</f>
        <v>1.53</v>
      </c>
      <c r="I13" s="254">
        <f>ROUND(D13*H13,2)</f>
        <v>148052.95000000001</v>
      </c>
      <c r="J13" s="349"/>
      <c r="K13" s="264">
        <f>I13-F13</f>
        <v>22256.320000000007</v>
      </c>
      <c r="L13" s="265">
        <f t="shared" ref="L13:L15" si="0">IFERROR(K13/F13, )</f>
        <v>0.17692302250068231</v>
      </c>
      <c r="M13" s="344"/>
      <c r="N13" s="344"/>
      <c r="O13" s="273" t="s">
        <v>121</v>
      </c>
    </row>
    <row r="14" spans="1:16" x14ac:dyDescent="0.2">
      <c r="B14" s="262" t="s">
        <v>61</v>
      </c>
      <c r="C14" s="235" t="s">
        <v>120</v>
      </c>
      <c r="D14" s="268">
        <f>D21</f>
        <v>19992939.502740219</v>
      </c>
      <c r="E14" s="272">
        <v>7.0499999999999998E-3</v>
      </c>
      <c r="F14" s="264">
        <f>E14*D14</f>
        <v>140950.22349431855</v>
      </c>
      <c r="H14" s="272">
        <f>ROUND(E14*(1+$O$16),5)</f>
        <v>8.3099999999999997E-3</v>
      </c>
      <c r="I14" s="254">
        <f>ROUND(D14*H14,2)</f>
        <v>166141.32999999999</v>
      </c>
      <c r="J14" s="233"/>
      <c r="K14" s="264">
        <f>I14-F14</f>
        <v>25191.10650568144</v>
      </c>
      <c r="L14" s="265">
        <f t="shared" si="0"/>
        <v>0.17872342363967128</v>
      </c>
      <c r="M14" s="344"/>
      <c r="N14" s="344"/>
      <c r="O14" s="278">
        <f>I54-O12</f>
        <v>43.953516110777855</v>
      </c>
    </row>
    <row r="15" spans="1:16" x14ac:dyDescent="0.2">
      <c r="B15" s="262" t="s">
        <v>147</v>
      </c>
      <c r="C15" s="235"/>
      <c r="D15" s="268"/>
      <c r="E15" s="272"/>
      <c r="F15" s="296">
        <v>9677.49</v>
      </c>
      <c r="H15" s="272"/>
      <c r="I15" s="293">
        <f>F15</f>
        <v>9677.49</v>
      </c>
      <c r="J15" s="233"/>
      <c r="K15" s="264">
        <f>I15-F15</f>
        <v>0</v>
      </c>
      <c r="L15" s="265">
        <f t="shared" si="0"/>
        <v>0</v>
      </c>
      <c r="M15" s="344"/>
      <c r="N15" s="344"/>
      <c r="O15" s="352"/>
    </row>
    <row r="16" spans="1:16" x14ac:dyDescent="0.2">
      <c r="B16" s="262"/>
      <c r="C16" s="235"/>
      <c r="D16" s="268"/>
      <c r="E16" s="272"/>
      <c r="F16" s="293"/>
      <c r="H16" s="272"/>
      <c r="I16" s="296"/>
      <c r="J16" s="349"/>
      <c r="K16" s="264"/>
      <c r="L16" s="265"/>
      <c r="M16" s="344"/>
      <c r="N16" s="344"/>
      <c r="O16" s="353">
        <f>'Exh JDT-5 (Rate Spread)'!I50</f>
        <v>0.17913846333656847</v>
      </c>
    </row>
    <row r="17" spans="2:16" x14ac:dyDescent="0.2">
      <c r="B17" s="262" t="s">
        <v>138</v>
      </c>
      <c r="C17" s="235"/>
      <c r="D17" s="268"/>
      <c r="E17" s="272"/>
      <c r="F17" s="293"/>
      <c r="H17" s="272"/>
      <c r="I17" s="296"/>
      <c r="J17" s="349"/>
      <c r="K17" s="264"/>
      <c r="L17" s="265"/>
      <c r="M17" s="344"/>
      <c r="N17" s="344"/>
      <c r="O17" s="400"/>
    </row>
    <row r="18" spans="2:16" x14ac:dyDescent="0.2">
      <c r="B18" s="262" t="s">
        <v>89</v>
      </c>
      <c r="C18" s="235" t="s">
        <v>120</v>
      </c>
      <c r="D18" s="268">
        <v>8259556.7221568692</v>
      </c>
      <c r="E18" s="272">
        <v>0.1084</v>
      </c>
      <c r="F18" s="293">
        <f>ROUND(D18*E18,2)</f>
        <v>895335.95</v>
      </c>
      <c r="H18" s="272">
        <f>ROUND((O12-SUM(I12:I15,I19:I20, I28:I30,I34:I35))/SUM(D18,D33),5)</f>
        <v>0.13239000000000001</v>
      </c>
      <c r="I18" s="296">
        <f>ROUND(D18*H18,2)</f>
        <v>1093482.71</v>
      </c>
      <c r="J18" s="349"/>
      <c r="K18" s="264">
        <f>I18-F18</f>
        <v>198146.76</v>
      </c>
      <c r="L18" s="265">
        <f t="shared" ref="L18:L20" si="1">IFERROR(K18/F18, )</f>
        <v>0.22130995633538453</v>
      </c>
      <c r="M18" s="344"/>
      <c r="N18" s="344"/>
      <c r="O18" s="401"/>
      <c r="P18" s="355"/>
    </row>
    <row r="19" spans="2:16" x14ac:dyDescent="0.2">
      <c r="B19" s="262" t="s">
        <v>90</v>
      </c>
      <c r="C19" s="235" t="s">
        <v>120</v>
      </c>
      <c r="D19" s="268">
        <v>4347559.727</v>
      </c>
      <c r="E19" s="272">
        <v>5.3650000000000003E-2</v>
      </c>
      <c r="F19" s="293">
        <f>ROUND(D19*E19,2)</f>
        <v>233246.58</v>
      </c>
      <c r="H19" s="272">
        <f>ROUND(E19*(1+$O$16),5)</f>
        <v>6.3259999999999997E-2</v>
      </c>
      <c r="I19" s="296">
        <f>ROUND(D19*H19,2)</f>
        <v>275026.63</v>
      </c>
      <c r="J19" s="349"/>
      <c r="K19" s="264">
        <f>I19-F19</f>
        <v>41780.050000000017</v>
      </c>
      <c r="L19" s="265">
        <f t="shared" si="1"/>
        <v>0.17912395542948592</v>
      </c>
      <c r="M19" s="344"/>
      <c r="N19" s="344"/>
      <c r="O19" s="272"/>
      <c r="P19" s="272"/>
    </row>
    <row r="20" spans="2:16" x14ac:dyDescent="0.2">
      <c r="B20" s="262" t="s">
        <v>91</v>
      </c>
      <c r="C20" s="235" t="s">
        <v>120</v>
      </c>
      <c r="D20" s="268">
        <v>7385823.0535833519</v>
      </c>
      <c r="E20" s="272">
        <v>5.1319999999999998E-2</v>
      </c>
      <c r="F20" s="293">
        <f>ROUND(D20*E20,2)</f>
        <v>379040.44</v>
      </c>
      <c r="H20" s="272">
        <f>ROUND(E20*(1+$O$16),5)</f>
        <v>6.0510000000000001E-2</v>
      </c>
      <c r="I20" s="296">
        <f>ROUND(D20*H20,2)</f>
        <v>446916.15</v>
      </c>
      <c r="J20" s="349"/>
      <c r="K20" s="264">
        <f>I20-F20</f>
        <v>67875.710000000021</v>
      </c>
      <c r="L20" s="265">
        <f t="shared" si="1"/>
        <v>0.17907247574955332</v>
      </c>
      <c r="M20" s="344"/>
      <c r="N20" s="344"/>
      <c r="O20" s="272"/>
      <c r="P20" s="272"/>
    </row>
    <row r="21" spans="2:16" x14ac:dyDescent="0.2">
      <c r="B21" s="282" t="s">
        <v>123</v>
      </c>
      <c r="C21" s="275"/>
      <c r="D21" s="365">
        <f>SUM(D18:D20)</f>
        <v>19992939.502740219</v>
      </c>
      <c r="E21" s="233"/>
      <c r="F21" s="402">
        <f>SUM(F12:F20)</f>
        <v>2003373.9834943186</v>
      </c>
      <c r="H21" s="269"/>
      <c r="I21" s="402">
        <f>SUM(I12:I20)</f>
        <v>2397913.1399999997</v>
      </c>
      <c r="J21" s="349"/>
      <c r="K21" s="371">
        <f>SUM(K12:K20)</f>
        <v>394539.15650568152</v>
      </c>
      <c r="L21" s="403">
        <f>IFERROR(K21/F21, )</f>
        <v>0.19693734657446219</v>
      </c>
      <c r="M21" s="344"/>
      <c r="N21" s="344"/>
      <c r="O21" s="372"/>
      <c r="P21" s="404"/>
    </row>
    <row r="22" spans="2:16" ht="12.75" customHeight="1" x14ac:dyDescent="0.2">
      <c r="B22" s="282"/>
      <c r="C22" s="275"/>
      <c r="D22" s="268"/>
      <c r="E22" s="233"/>
      <c r="F22" s="296"/>
      <c r="H22" s="269"/>
      <c r="I22" s="296"/>
      <c r="J22" s="349"/>
      <c r="K22" s="264"/>
      <c r="L22" s="265"/>
      <c r="M22" s="344"/>
      <c r="N22" s="344"/>
      <c r="O22" s="405"/>
      <c r="P22" s="406"/>
    </row>
    <row r="23" spans="2:16" x14ac:dyDescent="0.2">
      <c r="B23" s="262" t="s">
        <v>122</v>
      </c>
      <c r="C23" s="235"/>
      <c r="D23" s="268"/>
      <c r="E23" s="272"/>
      <c r="F23" s="402">
        <f>F21</f>
        <v>2003373.9834943186</v>
      </c>
      <c r="H23" s="269"/>
      <c r="I23" s="402">
        <f>I21</f>
        <v>2397913.1399999997</v>
      </c>
      <c r="J23" s="349"/>
      <c r="K23" s="371">
        <f>K21</f>
        <v>394539.15650568152</v>
      </c>
      <c r="L23" s="403">
        <f>IFERROR(K23/F23, )</f>
        <v>0.19693734657446219</v>
      </c>
      <c r="M23" s="344"/>
      <c r="N23" s="344"/>
    </row>
    <row r="24" spans="2:16" x14ac:dyDescent="0.2">
      <c r="B24" s="356"/>
      <c r="C24" s="313"/>
      <c r="D24" s="287"/>
      <c r="E24" s="407"/>
      <c r="F24" s="286"/>
      <c r="G24" s="287"/>
      <c r="H24" s="408"/>
      <c r="I24" s="286"/>
      <c r="J24" s="409"/>
      <c r="K24" s="361"/>
      <c r="L24" s="362"/>
      <c r="M24" s="344"/>
      <c r="N24" s="344"/>
    </row>
    <row r="25" spans="2:16" x14ac:dyDescent="0.2">
      <c r="B25" s="253"/>
      <c r="C25" s="253"/>
      <c r="D25" s="268"/>
      <c r="E25" s="272"/>
      <c r="F25" s="293"/>
      <c r="H25" s="269"/>
      <c r="I25" s="296"/>
      <c r="J25" s="410"/>
      <c r="K25" s="293"/>
      <c r="L25" s="374"/>
      <c r="M25" s="344"/>
      <c r="N25" s="344"/>
    </row>
    <row r="26" spans="2:16" x14ac:dyDescent="0.2">
      <c r="B26" s="255" t="s">
        <v>92</v>
      </c>
      <c r="C26" s="346"/>
      <c r="D26" s="347"/>
      <c r="E26" s="396"/>
      <c r="F26" s="411"/>
      <c r="G26" s="397"/>
      <c r="H26" s="398"/>
      <c r="I26" s="412"/>
      <c r="J26" s="399"/>
      <c r="K26" s="260"/>
      <c r="L26" s="261"/>
      <c r="M26" s="344"/>
      <c r="N26" s="344"/>
      <c r="O26" s="413"/>
      <c r="P26" s="267"/>
    </row>
    <row r="27" spans="2:16" x14ac:dyDescent="0.2">
      <c r="B27" s="262"/>
      <c r="C27" s="235"/>
      <c r="D27" s="268"/>
      <c r="E27" s="390"/>
      <c r="F27" s="293"/>
      <c r="G27" s="294"/>
      <c r="H27" s="269"/>
      <c r="I27" s="296"/>
      <c r="J27" s="349"/>
      <c r="K27" s="264"/>
      <c r="L27" s="265"/>
      <c r="M27" s="344"/>
      <c r="N27" s="344"/>
      <c r="O27" s="253"/>
      <c r="P27" s="253"/>
    </row>
    <row r="28" spans="2:16" x14ac:dyDescent="0.2">
      <c r="B28" s="282" t="s">
        <v>59</v>
      </c>
      <c r="C28" s="275" t="s">
        <v>119</v>
      </c>
      <c r="D28" s="268">
        <v>884.03333362675562</v>
      </c>
      <c r="E28" s="269">
        <v>903.09</v>
      </c>
      <c r="F28" s="293">
        <f>ROUND(D28*E28,2)</f>
        <v>798361.66</v>
      </c>
      <c r="H28" s="269">
        <f>E28</f>
        <v>903.09</v>
      </c>
      <c r="I28" s="296">
        <f>ROUND(D28*H28,2)</f>
        <v>798361.66</v>
      </c>
      <c r="J28" s="349"/>
      <c r="K28" s="264">
        <f>I28-F28</f>
        <v>0</v>
      </c>
      <c r="L28" s="265">
        <f t="shared" ref="L28:L30" si="2">IFERROR(K28/F28, )</f>
        <v>0</v>
      </c>
      <c r="M28" s="344"/>
      <c r="N28" s="344"/>
      <c r="O28" s="267"/>
      <c r="P28" s="267"/>
    </row>
    <row r="29" spans="2:16" x14ac:dyDescent="0.2">
      <c r="B29" s="262" t="s">
        <v>136</v>
      </c>
      <c r="C29" s="235" t="s">
        <v>137</v>
      </c>
      <c r="D29" s="268">
        <v>651309.33499999996</v>
      </c>
      <c r="E29" s="269">
        <v>1.3</v>
      </c>
      <c r="F29" s="293">
        <f>ROUND(D29*E29,2)</f>
        <v>846702.14</v>
      </c>
      <c r="H29" s="269">
        <f>$H$13</f>
        <v>1.53</v>
      </c>
      <c r="I29" s="296">
        <f>ROUND(D29*H29,2)</f>
        <v>996503.28</v>
      </c>
      <c r="J29" s="349"/>
      <c r="K29" s="264">
        <f>I29-F29</f>
        <v>149801.14000000001</v>
      </c>
      <c r="L29" s="265">
        <f t="shared" si="2"/>
        <v>0.17692306765635435</v>
      </c>
      <c r="M29" s="344"/>
      <c r="N29" s="344"/>
      <c r="O29" s="253"/>
      <c r="P29" s="253"/>
    </row>
    <row r="30" spans="2:16" x14ac:dyDescent="0.2">
      <c r="B30" s="262" t="s">
        <v>147</v>
      </c>
      <c r="C30" s="235"/>
      <c r="D30" s="268"/>
      <c r="E30" s="269"/>
      <c r="F30" s="296">
        <v>-10601.630000000003</v>
      </c>
      <c r="H30" s="269"/>
      <c r="I30" s="296">
        <f>F30</f>
        <v>-10601.630000000003</v>
      </c>
      <c r="J30" s="349"/>
      <c r="K30" s="264">
        <f>I30-F30</f>
        <v>0</v>
      </c>
      <c r="L30" s="265">
        <f t="shared" si="2"/>
        <v>0</v>
      </c>
      <c r="M30" s="344"/>
      <c r="N30" s="344"/>
      <c r="O30" s="253"/>
      <c r="P30" s="253"/>
    </row>
    <row r="31" spans="2:16" x14ac:dyDescent="0.2">
      <c r="B31" s="262"/>
      <c r="C31" s="235"/>
      <c r="D31" s="268"/>
      <c r="E31" s="272"/>
      <c r="F31" s="253"/>
      <c r="H31" s="272"/>
      <c r="I31" s="253"/>
      <c r="J31" s="233"/>
      <c r="K31" s="264"/>
      <c r="L31" s="265"/>
      <c r="M31" s="344"/>
      <c r="N31" s="344"/>
      <c r="O31" s="253"/>
      <c r="P31" s="253"/>
    </row>
    <row r="32" spans="2:16" x14ac:dyDescent="0.2">
      <c r="B32" s="262" t="s">
        <v>138</v>
      </c>
      <c r="C32" s="235"/>
      <c r="D32" s="268"/>
      <c r="E32" s="272"/>
      <c r="F32" s="293"/>
      <c r="H32" s="272"/>
      <c r="I32" s="296"/>
      <c r="J32" s="349"/>
      <c r="K32" s="264"/>
      <c r="L32" s="265"/>
      <c r="M32" s="344"/>
      <c r="N32" s="344"/>
      <c r="O32" s="253"/>
      <c r="P32" s="253"/>
    </row>
    <row r="33" spans="2:16" x14ac:dyDescent="0.2">
      <c r="B33" s="262" t="s">
        <v>89</v>
      </c>
      <c r="C33" s="235" t="s">
        <v>120</v>
      </c>
      <c r="D33" s="268">
        <v>24354615.889999997</v>
      </c>
      <c r="E33" s="272">
        <v>0.1084</v>
      </c>
      <c r="F33" s="293">
        <f>ROUND(D33*E33,2)</f>
        <v>2640040.36</v>
      </c>
      <c r="H33" s="272">
        <f>H18</f>
        <v>0.13239000000000001</v>
      </c>
      <c r="I33" s="296">
        <f>ROUND(D33*H33,2)</f>
        <v>3224307.6</v>
      </c>
      <c r="J33" s="349"/>
      <c r="K33" s="264">
        <f>I33-F33</f>
        <v>584267.24000000022</v>
      </c>
      <c r="L33" s="265">
        <f t="shared" ref="L33:L35" si="3">IFERROR(K33/F33, )</f>
        <v>0.2213099651249272</v>
      </c>
      <c r="M33" s="344"/>
      <c r="N33" s="344"/>
      <c r="O33" s="253"/>
      <c r="P33" s="253"/>
    </row>
    <row r="34" spans="2:16" x14ac:dyDescent="0.2">
      <c r="B34" s="262" t="s">
        <v>90</v>
      </c>
      <c r="C34" s="235" t="s">
        <v>120</v>
      </c>
      <c r="D34" s="268">
        <v>17329118.52</v>
      </c>
      <c r="E34" s="272">
        <v>5.3650000000000003E-2</v>
      </c>
      <c r="F34" s="293">
        <f>ROUND(D34*E34,2)</f>
        <v>929707.21</v>
      </c>
      <c r="H34" s="272">
        <f>H19</f>
        <v>6.3259999999999997E-2</v>
      </c>
      <c r="I34" s="296">
        <f>ROUND(D34*H34,2)</f>
        <v>1096240.04</v>
      </c>
      <c r="J34" s="349"/>
      <c r="K34" s="264">
        <f>I34-F34</f>
        <v>166532.83000000007</v>
      </c>
      <c r="L34" s="265">
        <f t="shared" si="3"/>
        <v>0.1791239523677568</v>
      </c>
      <c r="M34" s="344"/>
      <c r="N34" s="344"/>
      <c r="O34" s="253"/>
      <c r="P34" s="253"/>
    </row>
    <row r="35" spans="2:16" x14ac:dyDescent="0.2">
      <c r="B35" s="262" t="s">
        <v>100</v>
      </c>
      <c r="C35" s="235" t="s">
        <v>120</v>
      </c>
      <c r="D35" s="268">
        <v>27203056.60995879</v>
      </c>
      <c r="E35" s="272">
        <v>5.1319999999999998E-2</v>
      </c>
      <c r="F35" s="286">
        <f>ROUND(D35*E35,2)</f>
        <v>1396060.87</v>
      </c>
      <c r="H35" s="272">
        <f>H20</f>
        <v>6.0510000000000001E-2</v>
      </c>
      <c r="I35" s="296">
        <f>ROUND(D35*H35,2)</f>
        <v>1646056.96</v>
      </c>
      <c r="J35" s="349"/>
      <c r="K35" s="264">
        <f>I35-F35</f>
        <v>249996.08999999985</v>
      </c>
      <c r="L35" s="265">
        <f t="shared" si="3"/>
        <v>0.17907248557149219</v>
      </c>
      <c r="M35" s="344"/>
      <c r="N35" s="344"/>
      <c r="O35" s="253"/>
      <c r="P35" s="253"/>
    </row>
    <row r="36" spans="2:16" x14ac:dyDescent="0.2">
      <c r="B36" s="282" t="s">
        <v>123</v>
      </c>
      <c r="C36" s="275"/>
      <c r="D36" s="365">
        <f>SUM(D33:D35)</f>
        <v>68886791.019958794</v>
      </c>
      <c r="E36" s="233"/>
      <c r="F36" s="402">
        <f>SUM(F28:F35)</f>
        <v>6600270.6100000003</v>
      </c>
      <c r="H36" s="269"/>
      <c r="I36" s="402">
        <f>SUM(I28:I35)</f>
        <v>7750867.9100000001</v>
      </c>
      <c r="J36" s="349"/>
      <c r="K36" s="371">
        <f>SUM(K28:K35)</f>
        <v>1150597.3000000003</v>
      </c>
      <c r="L36" s="403">
        <f>IFERROR(K36/F36, )</f>
        <v>0.17432577662145282</v>
      </c>
      <c r="M36" s="344"/>
      <c r="N36" s="344"/>
      <c r="O36" s="253"/>
      <c r="P36" s="253"/>
    </row>
    <row r="37" spans="2:16" x14ac:dyDescent="0.2">
      <c r="B37" s="282"/>
      <c r="C37" s="275"/>
      <c r="D37" s="268"/>
      <c r="E37" s="233"/>
      <c r="F37" s="296"/>
      <c r="H37" s="269"/>
      <c r="I37" s="296"/>
      <c r="J37" s="349"/>
      <c r="K37" s="264"/>
      <c r="L37" s="265"/>
      <c r="M37" s="344"/>
      <c r="N37" s="344"/>
      <c r="O37" s="267"/>
      <c r="P37" s="253"/>
    </row>
    <row r="38" spans="2:16" x14ac:dyDescent="0.2">
      <c r="B38" s="282" t="s">
        <v>122</v>
      </c>
      <c r="C38" s="235"/>
      <c r="D38" s="268"/>
      <c r="E38" s="269"/>
      <c r="F38" s="402">
        <f>F36</f>
        <v>6600270.6100000003</v>
      </c>
      <c r="G38" s="253"/>
      <c r="H38" s="269"/>
      <c r="I38" s="402">
        <f>I36</f>
        <v>7750867.9100000001</v>
      </c>
      <c r="J38" s="233"/>
      <c r="K38" s="371">
        <f>K36</f>
        <v>1150597.3000000003</v>
      </c>
      <c r="L38" s="403">
        <f>IFERROR(K38/F38, )</f>
        <v>0.17432577662145282</v>
      </c>
      <c r="M38" s="344"/>
      <c r="N38" s="344"/>
      <c r="O38" s="414"/>
      <c r="P38" s="253"/>
    </row>
    <row r="39" spans="2:16" x14ac:dyDescent="0.2">
      <c r="B39" s="356"/>
      <c r="C39" s="313"/>
      <c r="D39" s="287"/>
      <c r="E39" s="407"/>
      <c r="F39" s="286"/>
      <c r="G39" s="287"/>
      <c r="H39" s="408"/>
      <c r="I39" s="415"/>
      <c r="J39" s="409"/>
      <c r="K39" s="361"/>
      <c r="L39" s="362"/>
      <c r="M39" s="344"/>
      <c r="N39" s="344"/>
      <c r="O39" s="253"/>
      <c r="P39" s="253"/>
    </row>
    <row r="40" spans="2:16" x14ac:dyDescent="0.2">
      <c r="B40" s="235"/>
      <c r="C40" s="235"/>
      <c r="D40" s="268"/>
      <c r="E40" s="390"/>
      <c r="F40" s="293"/>
      <c r="H40" s="269"/>
      <c r="I40" s="296"/>
      <c r="J40" s="349"/>
      <c r="K40" s="264"/>
      <c r="L40" s="363"/>
      <c r="M40" s="344"/>
      <c r="N40" s="344"/>
      <c r="O40" s="253"/>
      <c r="P40" s="253"/>
    </row>
    <row r="41" spans="2:16" x14ac:dyDescent="0.2">
      <c r="B41" s="289" t="s">
        <v>148</v>
      </c>
      <c r="C41" s="346"/>
      <c r="D41" s="347"/>
      <c r="E41" s="396"/>
      <c r="F41" s="411"/>
      <c r="G41" s="397"/>
      <c r="H41" s="398"/>
      <c r="I41" s="412"/>
      <c r="J41" s="399"/>
      <c r="K41" s="260"/>
      <c r="L41" s="261"/>
      <c r="M41" s="344"/>
      <c r="N41" s="344"/>
      <c r="O41" s="253"/>
      <c r="P41" s="253"/>
    </row>
    <row r="42" spans="2:16" x14ac:dyDescent="0.2">
      <c r="B42" s="262"/>
      <c r="C42" s="235"/>
      <c r="D42" s="268"/>
      <c r="E42" s="272"/>
      <c r="F42" s="293"/>
      <c r="G42" s="294"/>
      <c r="H42" s="269"/>
      <c r="I42" s="296"/>
      <c r="J42" s="410"/>
      <c r="K42" s="293"/>
      <c r="L42" s="295"/>
      <c r="M42" s="416"/>
      <c r="N42" s="344"/>
      <c r="O42" s="253"/>
      <c r="P42" s="253"/>
    </row>
    <row r="43" spans="2:16" x14ac:dyDescent="0.2">
      <c r="B43" s="282" t="s">
        <v>59</v>
      </c>
      <c r="C43" s="275" t="s">
        <v>119</v>
      </c>
      <c r="D43" s="268">
        <f>D28+D12</f>
        <v>1252.6000305414561</v>
      </c>
      <c r="E43" s="269"/>
      <c r="F43" s="293">
        <f>F12+F28</f>
        <v>1017688.3300000001</v>
      </c>
      <c r="H43" s="269"/>
      <c r="I43" s="293">
        <f>I12+I28</f>
        <v>1056977.54</v>
      </c>
      <c r="J43" s="410"/>
      <c r="K43" s="293">
        <f>I43-F43</f>
        <v>39289.209999999963</v>
      </c>
      <c r="L43" s="295">
        <f t="shared" ref="L43:L46" si="4">IFERROR(K43/F43, )</f>
        <v>3.860632852103154E-2</v>
      </c>
      <c r="M43" s="416"/>
      <c r="N43" s="344"/>
      <c r="O43" s="253"/>
      <c r="P43" s="253"/>
    </row>
    <row r="44" spans="2:16" x14ac:dyDescent="0.2">
      <c r="B44" s="262" t="s">
        <v>136</v>
      </c>
      <c r="C44" s="235" t="s">
        <v>137</v>
      </c>
      <c r="D44" s="268">
        <f>D29+D13</f>
        <v>748075.9709999999</v>
      </c>
      <c r="E44" s="269"/>
      <c r="F44" s="293">
        <f>F13+F29</f>
        <v>972498.77</v>
      </c>
      <c r="H44" s="269"/>
      <c r="I44" s="293">
        <f>I13+I29</f>
        <v>1144556.23</v>
      </c>
      <c r="J44" s="410"/>
      <c r="K44" s="293">
        <f>I44-F44</f>
        <v>172057.45999999996</v>
      </c>
      <c r="L44" s="295">
        <f t="shared" si="4"/>
        <v>0.17692306181528636</v>
      </c>
      <c r="M44" s="416"/>
      <c r="N44" s="344"/>
      <c r="O44" s="253"/>
      <c r="P44" s="253"/>
    </row>
    <row r="45" spans="2:16" x14ac:dyDescent="0.2">
      <c r="B45" s="262" t="s">
        <v>61</v>
      </c>
      <c r="C45" s="235" t="s">
        <v>120</v>
      </c>
      <c r="D45" s="268">
        <f>D30+D14</f>
        <v>19992939.502740219</v>
      </c>
      <c r="E45" s="269"/>
      <c r="F45" s="293">
        <f>F14</f>
        <v>140950.22349431855</v>
      </c>
      <c r="H45" s="269"/>
      <c r="I45" s="293">
        <f>I14</f>
        <v>166141.32999999999</v>
      </c>
      <c r="J45" s="410"/>
      <c r="K45" s="293">
        <f>I45-F45</f>
        <v>25191.10650568144</v>
      </c>
      <c r="L45" s="295">
        <f t="shared" si="4"/>
        <v>0.17872342363967128</v>
      </c>
      <c r="M45" s="416"/>
      <c r="N45" s="344"/>
      <c r="O45" s="253"/>
      <c r="P45" s="253"/>
    </row>
    <row r="46" spans="2:16" x14ac:dyDescent="0.2">
      <c r="B46" s="262" t="s">
        <v>147</v>
      </c>
      <c r="C46" s="235"/>
      <c r="D46" s="268"/>
      <c r="E46" s="269"/>
      <c r="F46" s="296">
        <f>F15+F30</f>
        <v>-924.14000000000306</v>
      </c>
      <c r="H46" s="269"/>
      <c r="I46" s="296">
        <f>I15+I30</f>
        <v>-924.14000000000306</v>
      </c>
      <c r="J46" s="410"/>
      <c r="K46" s="293">
        <f>I46-F46</f>
        <v>0</v>
      </c>
      <c r="L46" s="295">
        <f t="shared" si="4"/>
        <v>0</v>
      </c>
      <c r="M46" s="416"/>
      <c r="N46" s="344"/>
      <c r="O46" s="253"/>
      <c r="P46" s="253"/>
    </row>
    <row r="47" spans="2:16" x14ac:dyDescent="0.2">
      <c r="B47" s="262"/>
      <c r="C47" s="235"/>
      <c r="D47" s="268"/>
      <c r="E47" s="272"/>
      <c r="F47" s="253"/>
      <c r="H47" s="272"/>
      <c r="I47" s="253"/>
      <c r="J47" s="269"/>
      <c r="K47" s="293"/>
      <c r="L47" s="295"/>
      <c r="M47" s="416"/>
      <c r="N47" s="344"/>
      <c r="O47" s="253"/>
      <c r="P47" s="253"/>
    </row>
    <row r="48" spans="2:16" x14ac:dyDescent="0.2">
      <c r="B48" s="262" t="s">
        <v>138</v>
      </c>
      <c r="C48" s="235"/>
      <c r="D48" s="268"/>
      <c r="E48" s="272"/>
      <c r="F48" s="293"/>
      <c r="H48" s="272"/>
      <c r="I48" s="293"/>
      <c r="J48" s="410"/>
      <c r="K48" s="293"/>
      <c r="L48" s="295"/>
      <c r="M48" s="416"/>
      <c r="N48" s="344"/>
      <c r="O48" s="253"/>
      <c r="P48" s="253"/>
    </row>
    <row r="49" spans="1:16" x14ac:dyDescent="0.2">
      <c r="B49" s="262" t="s">
        <v>89</v>
      </c>
      <c r="C49" s="235" t="s">
        <v>120</v>
      </c>
      <c r="D49" s="268">
        <f>D33+D18</f>
        <v>32614172.612156868</v>
      </c>
      <c r="E49" s="272"/>
      <c r="F49" s="293">
        <f>F18+F33</f>
        <v>3535376.3099999996</v>
      </c>
      <c r="H49" s="272"/>
      <c r="I49" s="293">
        <f>I18+I33</f>
        <v>4317790.3100000005</v>
      </c>
      <c r="J49" s="410"/>
      <c r="K49" s="293">
        <f>I49-F49</f>
        <v>782414.00000000093</v>
      </c>
      <c r="L49" s="295">
        <f t="shared" ref="L49:L51" si="5">IFERROR(K49/F49, )</f>
        <v>0.22130996289897101</v>
      </c>
      <c r="M49" s="416"/>
      <c r="N49" s="344"/>
      <c r="O49" s="253"/>
      <c r="P49" s="253"/>
    </row>
    <row r="50" spans="1:16" x14ac:dyDescent="0.2">
      <c r="B50" s="262" t="s">
        <v>90</v>
      </c>
      <c r="C50" s="235" t="s">
        <v>120</v>
      </c>
      <c r="D50" s="268">
        <f>D34+D19</f>
        <v>21676678.247000001</v>
      </c>
      <c r="E50" s="272"/>
      <c r="F50" s="293">
        <f>F19+F34</f>
        <v>1162953.79</v>
      </c>
      <c r="H50" s="272"/>
      <c r="I50" s="293">
        <f>I19+I34</f>
        <v>1371266.67</v>
      </c>
      <c r="J50" s="410"/>
      <c r="K50" s="293">
        <f>I50-F50</f>
        <v>208312.87999999989</v>
      </c>
      <c r="L50" s="295">
        <f t="shared" si="5"/>
        <v>0.17912395298182904</v>
      </c>
      <c r="M50" s="416"/>
      <c r="N50" s="344"/>
      <c r="O50" s="253"/>
      <c r="P50" s="253"/>
    </row>
    <row r="51" spans="1:16" x14ac:dyDescent="0.2">
      <c r="B51" s="262" t="s">
        <v>91</v>
      </c>
      <c r="C51" s="235" t="s">
        <v>120</v>
      </c>
      <c r="D51" s="268">
        <f>D35+D20</f>
        <v>34588879.663542144</v>
      </c>
      <c r="E51" s="272"/>
      <c r="F51" s="286">
        <f>F20+F35</f>
        <v>1775101.31</v>
      </c>
      <c r="H51" s="272"/>
      <c r="I51" s="286">
        <f>I20+I35</f>
        <v>2092973.1099999999</v>
      </c>
      <c r="J51" s="410"/>
      <c r="K51" s="293">
        <f>I51-F51</f>
        <v>317871.79999999981</v>
      </c>
      <c r="L51" s="295">
        <f t="shared" si="5"/>
        <v>0.17907248347419663</v>
      </c>
      <c r="M51" s="416"/>
      <c r="N51" s="344"/>
      <c r="O51" s="253"/>
      <c r="P51" s="253"/>
    </row>
    <row r="52" spans="1:16" x14ac:dyDescent="0.2">
      <c r="B52" s="282" t="s">
        <v>123</v>
      </c>
      <c r="C52" s="275"/>
      <c r="D52" s="365">
        <f>SUM(D49:D51)</f>
        <v>88879730.522699013</v>
      </c>
      <c r="E52" s="269"/>
      <c r="F52" s="402">
        <f>SUM(F43:F51)</f>
        <v>8603644.5934943184</v>
      </c>
      <c r="H52" s="269"/>
      <c r="I52" s="402">
        <f>SUM(I43:I51)</f>
        <v>10148781.050000001</v>
      </c>
      <c r="J52" s="410"/>
      <c r="K52" s="402">
        <f>SUM(K43:K51)</f>
        <v>1545136.4565056819</v>
      </c>
      <c r="L52" s="403">
        <f>IFERROR(K52/F52, )</f>
        <v>0.17959092100039131</v>
      </c>
      <c r="M52" s="416"/>
      <c r="N52" s="344"/>
      <c r="O52" s="253"/>
      <c r="P52" s="253"/>
    </row>
    <row r="53" spans="1:16" x14ac:dyDescent="0.2">
      <c r="B53" s="282"/>
      <c r="C53" s="275"/>
      <c r="D53" s="268"/>
      <c r="E53" s="269"/>
      <c r="F53" s="296"/>
      <c r="H53" s="269"/>
      <c r="I53" s="296"/>
      <c r="J53" s="410"/>
      <c r="K53" s="293"/>
      <c r="L53" s="295"/>
      <c r="M53" s="416"/>
      <c r="N53" s="344"/>
      <c r="O53" s="253"/>
      <c r="P53" s="253"/>
    </row>
    <row r="54" spans="1:16" x14ac:dyDescent="0.2">
      <c r="B54" s="262" t="s">
        <v>122</v>
      </c>
      <c r="C54" s="235"/>
      <c r="D54" s="268"/>
      <c r="E54" s="269"/>
      <c r="F54" s="402">
        <f>F52</f>
        <v>8603644.5934943184</v>
      </c>
      <c r="H54" s="269"/>
      <c r="I54" s="402">
        <f>I52</f>
        <v>10148781.050000001</v>
      </c>
      <c r="J54" s="410"/>
      <c r="K54" s="402">
        <f>K52</f>
        <v>1545136.4565056819</v>
      </c>
      <c r="L54" s="403">
        <f>IFERROR(K54/F54, )</f>
        <v>0.17959092100039131</v>
      </c>
      <c r="M54" s="416"/>
      <c r="N54" s="344"/>
    </row>
    <row r="55" spans="1:16" x14ac:dyDescent="0.2">
      <c r="B55" s="356"/>
      <c r="C55" s="313"/>
      <c r="D55" s="287"/>
      <c r="E55" s="417"/>
      <c r="F55" s="286"/>
      <c r="G55" s="287"/>
      <c r="H55" s="408"/>
      <c r="I55" s="415"/>
      <c r="J55" s="418"/>
      <c r="K55" s="286"/>
      <c r="L55" s="288"/>
      <c r="M55" s="416"/>
      <c r="N55" s="344"/>
    </row>
    <row r="56" spans="1:16" x14ac:dyDescent="0.2">
      <c r="A56" s="235"/>
      <c r="B56" s="235"/>
      <c r="C56" s="235"/>
      <c r="D56" s="268"/>
      <c r="E56" s="390"/>
      <c r="F56" s="293"/>
      <c r="H56" s="269"/>
      <c r="I56" s="296"/>
      <c r="J56" s="349"/>
      <c r="K56" s="264"/>
      <c r="L56" s="363"/>
      <c r="M56" s="344"/>
      <c r="N56" s="344"/>
      <c r="O56" s="235"/>
    </row>
    <row r="57" spans="1:16" x14ac:dyDescent="0.2">
      <c r="B57" s="255" t="s">
        <v>94</v>
      </c>
      <c r="C57" s="346"/>
      <c r="D57" s="347"/>
      <c r="E57" s="396"/>
      <c r="F57" s="411"/>
      <c r="G57" s="347"/>
      <c r="H57" s="398"/>
      <c r="I57" s="419"/>
      <c r="J57" s="399"/>
      <c r="K57" s="260"/>
      <c r="L57" s="291"/>
      <c r="M57" s="344"/>
      <c r="N57" s="344"/>
      <c r="O57" s="235"/>
    </row>
    <row r="58" spans="1:16" x14ac:dyDescent="0.2">
      <c r="B58" s="262"/>
      <c r="C58" s="235"/>
      <c r="D58" s="268"/>
      <c r="E58" s="390"/>
      <c r="F58" s="293"/>
      <c r="G58" s="294"/>
      <c r="H58" s="269"/>
      <c r="I58" s="296"/>
      <c r="J58" s="349"/>
      <c r="K58" s="264"/>
      <c r="L58" s="265"/>
      <c r="M58" s="344"/>
      <c r="N58" s="344"/>
      <c r="O58" s="160" t="s">
        <v>149</v>
      </c>
    </row>
    <row r="59" spans="1:16" x14ac:dyDescent="0.2">
      <c r="B59" s="282" t="s">
        <v>59</v>
      </c>
      <c r="C59" s="275" t="s">
        <v>119</v>
      </c>
      <c r="D59" s="268">
        <v>1364.2999596828383</v>
      </c>
      <c r="E59" s="269">
        <v>148.82</v>
      </c>
      <c r="F59" s="293">
        <f>ROUND(D59*E59,2)</f>
        <v>203035.12</v>
      </c>
      <c r="H59" s="269">
        <f>E59</f>
        <v>148.82</v>
      </c>
      <c r="I59" s="296">
        <f>ROUND(D59*H59,2)</f>
        <v>203035.12</v>
      </c>
      <c r="J59" s="349"/>
      <c r="K59" s="264">
        <f>I59-F59</f>
        <v>0</v>
      </c>
      <c r="L59" s="265">
        <f t="shared" ref="L59:L62" si="6">IFERROR(K59/F59, )</f>
        <v>0</v>
      </c>
      <c r="M59" s="344"/>
      <c r="N59" s="344"/>
      <c r="O59" s="271">
        <f>'Exh JDT-5 (Rate Spread)'!J47</f>
        <v>1496082.9575009269</v>
      </c>
    </row>
    <row r="60" spans="1:16" x14ac:dyDescent="0.2">
      <c r="B60" s="262" t="s">
        <v>136</v>
      </c>
      <c r="C60" s="235" t="s">
        <v>137</v>
      </c>
      <c r="D60" s="268">
        <v>39087.972999999998</v>
      </c>
      <c r="E60" s="269">
        <v>1.35</v>
      </c>
      <c r="F60" s="293">
        <f>ROUND(D60*E60,2)</f>
        <v>52768.76</v>
      </c>
      <c r="H60" s="269">
        <f>E60</f>
        <v>1.35</v>
      </c>
      <c r="I60" s="296">
        <f>ROUND(D60*H60,2)</f>
        <v>52768.76</v>
      </c>
      <c r="J60" s="349"/>
      <c r="K60" s="264">
        <f>I60-F60</f>
        <v>0</v>
      </c>
      <c r="L60" s="265">
        <f t="shared" si="6"/>
        <v>0</v>
      </c>
      <c r="M60" s="344"/>
      <c r="N60" s="344"/>
      <c r="O60" s="273" t="s">
        <v>121</v>
      </c>
    </row>
    <row r="61" spans="1:16" x14ac:dyDescent="0.2">
      <c r="B61" s="262" t="s">
        <v>61</v>
      </c>
      <c r="C61" s="235" t="s">
        <v>120</v>
      </c>
      <c r="D61" s="268">
        <f>D67</f>
        <v>5773170.4876905456</v>
      </c>
      <c r="E61" s="272">
        <v>1.222E-2</v>
      </c>
      <c r="F61" s="293">
        <f>ROUND(D61*E61,2)</f>
        <v>70548.14</v>
      </c>
      <c r="H61" s="272">
        <f>E61</f>
        <v>1.222E-2</v>
      </c>
      <c r="I61" s="296">
        <f>ROUND(D67*H61,2)</f>
        <v>70548.14</v>
      </c>
      <c r="J61" s="349"/>
      <c r="K61" s="264">
        <f>I61-F61</f>
        <v>0</v>
      </c>
      <c r="L61" s="265">
        <f t="shared" si="6"/>
        <v>0</v>
      </c>
      <c r="M61" s="344"/>
      <c r="N61" s="344"/>
      <c r="O61" s="278">
        <f>I98-O59</f>
        <v>-7.5009267311543226E-3</v>
      </c>
    </row>
    <row r="62" spans="1:16" x14ac:dyDescent="0.2">
      <c r="B62" s="262" t="s">
        <v>147</v>
      </c>
      <c r="C62" s="235"/>
      <c r="D62" s="268"/>
      <c r="E62" s="272"/>
      <c r="F62" s="296">
        <v>7612.77</v>
      </c>
      <c r="H62" s="272"/>
      <c r="I62" s="296">
        <f>F62</f>
        <v>7612.77</v>
      </c>
      <c r="J62" s="349"/>
      <c r="K62" s="264">
        <f>I62-F62</f>
        <v>0</v>
      </c>
      <c r="L62" s="265">
        <f t="shared" si="6"/>
        <v>0</v>
      </c>
      <c r="M62" s="344"/>
      <c r="N62" s="344"/>
      <c r="O62" s="400"/>
    </row>
    <row r="63" spans="1:16" x14ac:dyDescent="0.2">
      <c r="B63" s="262"/>
      <c r="C63" s="235"/>
      <c r="D63" s="268"/>
      <c r="E63" s="272"/>
      <c r="F63" s="293"/>
      <c r="H63" s="272"/>
      <c r="I63" s="296"/>
      <c r="J63" s="349"/>
      <c r="K63" s="264"/>
      <c r="L63" s="265"/>
      <c r="M63" s="344"/>
      <c r="N63" s="344"/>
      <c r="O63" s="353">
        <f>'Exh JDT-5 (Rate Spread)'!J50</f>
        <v>0</v>
      </c>
      <c r="P63" s="406"/>
    </row>
    <row r="64" spans="1:16" x14ac:dyDescent="0.2">
      <c r="B64" s="262" t="s">
        <v>138</v>
      </c>
      <c r="C64" s="235"/>
      <c r="D64" s="268"/>
      <c r="E64" s="272"/>
      <c r="F64" s="293"/>
      <c r="H64" s="272"/>
      <c r="I64" s="296"/>
      <c r="J64" s="349"/>
      <c r="K64" s="264"/>
      <c r="L64" s="265"/>
      <c r="M64" s="344"/>
      <c r="N64" s="344"/>
      <c r="O64" s="420"/>
      <c r="P64" s="297"/>
    </row>
    <row r="65" spans="1:16" x14ac:dyDescent="0.2">
      <c r="B65" s="292" t="s">
        <v>95</v>
      </c>
      <c r="C65" s="253" t="s">
        <v>120</v>
      </c>
      <c r="D65" s="268">
        <v>1063981.5778999999</v>
      </c>
      <c r="E65" s="272">
        <v>0.18382000000000001</v>
      </c>
      <c r="F65" s="293">
        <f>ROUND(D65*E65,2)</f>
        <v>195581.09</v>
      </c>
      <c r="H65" s="272">
        <f>E65</f>
        <v>0.18382000000000001</v>
      </c>
      <c r="I65" s="296">
        <f>ROUND(D65*H65,2)</f>
        <v>195581.09</v>
      </c>
      <c r="J65" s="349"/>
      <c r="K65" s="264">
        <f>I65-F65</f>
        <v>0</v>
      </c>
      <c r="L65" s="265">
        <f t="shared" ref="L65:L66" si="7">IFERROR(K65/F65, )</f>
        <v>0</v>
      </c>
      <c r="M65" s="344"/>
      <c r="N65" s="344"/>
      <c r="P65" s="406"/>
    </row>
    <row r="66" spans="1:16" ht="12.75" customHeight="1" x14ac:dyDescent="0.2">
      <c r="B66" s="292" t="s">
        <v>96</v>
      </c>
      <c r="C66" s="253" t="s">
        <v>120</v>
      </c>
      <c r="D66" s="268">
        <v>4709188.9097905457</v>
      </c>
      <c r="E66" s="272">
        <v>0.13031000000000001</v>
      </c>
      <c r="F66" s="293">
        <f>ROUND(D66*E66,2)</f>
        <v>613654.41</v>
      </c>
      <c r="H66" s="272">
        <f>E66</f>
        <v>0.13031000000000001</v>
      </c>
      <c r="I66" s="296">
        <f>ROUND(D66*H66,2)</f>
        <v>613654.41</v>
      </c>
      <c r="J66" s="349"/>
      <c r="K66" s="264">
        <f>I66-F66</f>
        <v>0</v>
      </c>
      <c r="L66" s="265">
        <f t="shared" si="7"/>
        <v>0</v>
      </c>
      <c r="M66" s="344"/>
      <c r="N66" s="344"/>
      <c r="O66" s="420"/>
      <c r="P66" s="406"/>
    </row>
    <row r="67" spans="1:16" ht="12.75" customHeight="1" x14ac:dyDescent="0.2">
      <c r="B67" s="282" t="s">
        <v>123</v>
      </c>
      <c r="C67" s="235" t="s">
        <v>120</v>
      </c>
      <c r="D67" s="365">
        <f>SUM(D65:D66)</f>
        <v>5773170.4876905456</v>
      </c>
      <c r="E67" s="390"/>
      <c r="F67" s="402">
        <f>SUM(F59:F66)</f>
        <v>1143200.29</v>
      </c>
      <c r="H67" s="269"/>
      <c r="I67" s="402">
        <f>SUM(I59:I66)</f>
        <v>1143200.29</v>
      </c>
      <c r="J67" s="349"/>
      <c r="K67" s="371">
        <f>SUM(K59:K66)</f>
        <v>0</v>
      </c>
      <c r="L67" s="421">
        <f>IFERROR(K67/F67, )</f>
        <v>0</v>
      </c>
      <c r="M67" s="344"/>
      <c r="N67" s="344"/>
      <c r="O67" s="376"/>
      <c r="P67" s="406"/>
    </row>
    <row r="68" spans="1:16" x14ac:dyDescent="0.2">
      <c r="B68" s="282"/>
      <c r="C68" s="275"/>
      <c r="D68" s="268"/>
      <c r="E68" s="390"/>
      <c r="F68" s="296"/>
      <c r="H68" s="269"/>
      <c r="I68" s="296"/>
      <c r="J68" s="349"/>
      <c r="K68" s="264"/>
      <c r="L68" s="270"/>
      <c r="M68" s="344"/>
      <c r="N68" s="367"/>
      <c r="O68" s="405"/>
      <c r="P68" s="406"/>
    </row>
    <row r="69" spans="1:16" s="235" customFormat="1" x14ac:dyDescent="0.2">
      <c r="B69" s="262" t="s">
        <v>122</v>
      </c>
      <c r="D69" s="268"/>
      <c r="E69" s="233"/>
      <c r="F69" s="402">
        <f>F67</f>
        <v>1143200.29</v>
      </c>
      <c r="G69" s="268"/>
      <c r="H69" s="269"/>
      <c r="I69" s="402">
        <f>I67</f>
        <v>1143200.29</v>
      </c>
      <c r="J69" s="349"/>
      <c r="K69" s="371">
        <f>K67</f>
        <v>0</v>
      </c>
      <c r="L69" s="421">
        <f>IFERROR(K69/F69, )</f>
        <v>0</v>
      </c>
      <c r="M69" s="344"/>
      <c r="N69" s="344"/>
    </row>
    <row r="70" spans="1:16" x14ac:dyDescent="0.2">
      <c r="A70" s="235"/>
      <c r="B70" s="356"/>
      <c r="C70" s="313"/>
      <c r="D70" s="287"/>
      <c r="E70" s="422"/>
      <c r="F70" s="286"/>
      <c r="G70" s="287"/>
      <c r="H70" s="408"/>
      <c r="I70" s="415"/>
      <c r="J70" s="409"/>
      <c r="K70" s="361"/>
      <c r="L70" s="315"/>
      <c r="M70" s="344"/>
      <c r="N70" s="344"/>
    </row>
    <row r="71" spans="1:16" s="235" customFormat="1" x14ac:dyDescent="0.2">
      <c r="D71" s="268"/>
      <c r="E71" s="423"/>
      <c r="F71" s="293"/>
      <c r="G71" s="268"/>
      <c r="H71" s="269"/>
      <c r="I71" s="296"/>
      <c r="J71" s="349"/>
      <c r="K71" s="264"/>
      <c r="L71" s="424"/>
      <c r="M71" s="344"/>
      <c r="N71" s="344"/>
    </row>
    <row r="72" spans="1:16" x14ac:dyDescent="0.2">
      <c r="A72" s="235"/>
      <c r="B72" s="255" t="s">
        <v>97</v>
      </c>
      <c r="C72" s="346"/>
      <c r="D72" s="347"/>
      <c r="E72" s="396"/>
      <c r="F72" s="411"/>
      <c r="G72" s="347"/>
      <c r="H72" s="398"/>
      <c r="I72" s="419"/>
      <c r="J72" s="399"/>
      <c r="K72" s="260"/>
      <c r="L72" s="291"/>
      <c r="M72" s="344"/>
      <c r="N72" s="344"/>
    </row>
    <row r="73" spans="1:16" x14ac:dyDescent="0.2">
      <c r="A73" s="235"/>
      <c r="B73" s="262"/>
      <c r="C73" s="235"/>
      <c r="D73" s="268"/>
      <c r="E73" s="390"/>
      <c r="F73" s="293"/>
      <c r="G73" s="294"/>
      <c r="H73" s="269"/>
      <c r="I73" s="296"/>
      <c r="J73" s="349"/>
      <c r="K73" s="264"/>
      <c r="L73" s="265"/>
      <c r="M73" s="344"/>
      <c r="N73" s="344"/>
    </row>
    <row r="74" spans="1:16" x14ac:dyDescent="0.2">
      <c r="A74" s="235"/>
      <c r="B74" s="282" t="s">
        <v>59</v>
      </c>
      <c r="C74" s="275" t="s">
        <v>119</v>
      </c>
      <c r="D74" s="268">
        <v>135.03332221112262</v>
      </c>
      <c r="E74" s="269">
        <v>457.76</v>
      </c>
      <c r="F74" s="293">
        <f>ROUND(D74*E74,2)</f>
        <v>61812.85</v>
      </c>
      <c r="H74" s="269">
        <f>E74</f>
        <v>457.76</v>
      </c>
      <c r="I74" s="296">
        <f>ROUND(D74*H74,2)</f>
        <v>61812.85</v>
      </c>
      <c r="J74" s="349"/>
      <c r="K74" s="264">
        <f>I74-F74</f>
        <v>0</v>
      </c>
      <c r="L74" s="265">
        <f t="shared" ref="L74:L76" si="8">IFERROR(K74/F74, )</f>
        <v>0</v>
      </c>
      <c r="M74" s="344"/>
      <c r="N74" s="344"/>
    </row>
    <row r="75" spans="1:16" x14ac:dyDescent="0.2">
      <c r="A75" s="235"/>
      <c r="B75" s="262" t="s">
        <v>136</v>
      </c>
      <c r="C75" s="235" t="s">
        <v>137</v>
      </c>
      <c r="D75" s="268">
        <v>43385</v>
      </c>
      <c r="E75" s="269">
        <v>1.35</v>
      </c>
      <c r="F75" s="293">
        <f>ROUND(D75*E75,2)</f>
        <v>58569.75</v>
      </c>
      <c r="H75" s="269">
        <f>H60</f>
        <v>1.35</v>
      </c>
      <c r="I75" s="296">
        <f>ROUND(D75*H75,2)</f>
        <v>58569.75</v>
      </c>
      <c r="J75" s="349"/>
      <c r="K75" s="264">
        <f>I75-F75</f>
        <v>0</v>
      </c>
      <c r="L75" s="265">
        <f t="shared" si="8"/>
        <v>0</v>
      </c>
      <c r="M75" s="344"/>
      <c r="N75" s="344"/>
    </row>
    <row r="76" spans="1:16" x14ac:dyDescent="0.2">
      <c r="A76" s="235"/>
      <c r="B76" s="262" t="s">
        <v>147</v>
      </c>
      <c r="C76" s="235"/>
      <c r="D76" s="268"/>
      <c r="E76" s="272"/>
      <c r="F76" s="296">
        <v>0</v>
      </c>
      <c r="H76" s="272"/>
      <c r="I76" s="296">
        <f>F76</f>
        <v>0</v>
      </c>
      <c r="J76" s="349"/>
      <c r="K76" s="264">
        <f>I76-F76</f>
        <v>0</v>
      </c>
      <c r="L76" s="265">
        <f t="shared" si="8"/>
        <v>0</v>
      </c>
      <c r="M76" s="344"/>
      <c r="N76" s="344"/>
    </row>
    <row r="77" spans="1:16" x14ac:dyDescent="0.2">
      <c r="A77" s="235"/>
      <c r="B77" s="262"/>
      <c r="C77" s="235"/>
      <c r="D77" s="268"/>
      <c r="E77" s="272"/>
      <c r="F77" s="293"/>
      <c r="H77" s="272"/>
      <c r="I77" s="296"/>
      <c r="J77" s="349"/>
      <c r="K77" s="264"/>
      <c r="L77" s="265"/>
      <c r="M77" s="344"/>
      <c r="N77" s="344"/>
    </row>
    <row r="78" spans="1:16" x14ac:dyDescent="0.2">
      <c r="A78" s="235"/>
      <c r="B78" s="262" t="s">
        <v>138</v>
      </c>
      <c r="C78" s="235"/>
      <c r="D78" s="268"/>
      <c r="E78" s="272"/>
      <c r="F78" s="293"/>
      <c r="H78" s="272"/>
      <c r="I78" s="296"/>
      <c r="J78" s="349"/>
      <c r="K78" s="264"/>
      <c r="L78" s="265"/>
      <c r="M78" s="344"/>
      <c r="N78" s="344"/>
    </row>
    <row r="79" spans="1:16" x14ac:dyDescent="0.2">
      <c r="A79" s="235"/>
      <c r="B79" s="292" t="s">
        <v>95</v>
      </c>
      <c r="C79" s="253" t="s">
        <v>120</v>
      </c>
      <c r="D79" s="268">
        <v>160051.62</v>
      </c>
      <c r="E79" s="272">
        <v>0.18382000000000001</v>
      </c>
      <c r="F79" s="293">
        <f>ROUND(D79*E79,2)</f>
        <v>29420.69</v>
      </c>
      <c r="H79" s="272">
        <f>H65</f>
        <v>0.18382000000000001</v>
      </c>
      <c r="I79" s="296">
        <f>ROUND(D79*H79,2)</f>
        <v>29420.69</v>
      </c>
      <c r="J79" s="349"/>
      <c r="K79" s="264">
        <f>I79-F79</f>
        <v>0</v>
      </c>
      <c r="L79" s="265">
        <f t="shared" ref="L79:L80" si="9">IFERROR(K79/F79, )</f>
        <v>0</v>
      </c>
      <c r="M79" s="344"/>
      <c r="N79" s="344"/>
    </row>
    <row r="80" spans="1:16" x14ac:dyDescent="0.2">
      <c r="A80" s="235"/>
      <c r="B80" s="292" t="s">
        <v>96</v>
      </c>
      <c r="C80" s="253" t="s">
        <v>120</v>
      </c>
      <c r="D80" s="268">
        <v>1558432.7200000002</v>
      </c>
      <c r="E80" s="272">
        <v>0.13031000000000001</v>
      </c>
      <c r="F80" s="293">
        <f>ROUND(D80*E80,2)</f>
        <v>203079.37</v>
      </c>
      <c r="H80" s="272">
        <f>H66</f>
        <v>0.13031000000000001</v>
      </c>
      <c r="I80" s="296">
        <f>ROUND(D80*H80,2)</f>
        <v>203079.37</v>
      </c>
      <c r="J80" s="349"/>
      <c r="K80" s="264">
        <f>I80-F80</f>
        <v>0</v>
      </c>
      <c r="L80" s="265">
        <f t="shared" si="9"/>
        <v>0</v>
      </c>
      <c r="M80" s="344"/>
      <c r="N80" s="344"/>
    </row>
    <row r="81" spans="1:14" x14ac:dyDescent="0.2">
      <c r="A81" s="235"/>
      <c r="B81" s="282" t="s">
        <v>123</v>
      </c>
      <c r="C81" s="235" t="s">
        <v>120</v>
      </c>
      <c r="D81" s="365">
        <f>SUM(D79:D80)</f>
        <v>1718484.3400000003</v>
      </c>
      <c r="E81" s="390"/>
      <c r="F81" s="402">
        <f>SUM(F74:F80)</f>
        <v>352882.66000000003</v>
      </c>
      <c r="H81" s="269"/>
      <c r="I81" s="402">
        <f>SUM(I74:I80)</f>
        <v>352882.66000000003</v>
      </c>
      <c r="J81" s="349"/>
      <c r="K81" s="371">
        <f>SUM(K74:K80)</f>
        <v>0</v>
      </c>
      <c r="L81" s="421">
        <f>IFERROR(K81/F81, )</f>
        <v>0</v>
      </c>
      <c r="M81" s="344"/>
      <c r="N81" s="344"/>
    </row>
    <row r="82" spans="1:14" x14ac:dyDescent="0.2">
      <c r="A82" s="235"/>
      <c r="B82" s="282"/>
      <c r="C82" s="275"/>
      <c r="D82" s="268"/>
      <c r="E82" s="390"/>
      <c r="F82" s="296"/>
      <c r="H82" s="269"/>
      <c r="I82" s="296"/>
      <c r="J82" s="349"/>
      <c r="K82" s="264"/>
      <c r="L82" s="270"/>
      <c r="M82" s="344"/>
      <c r="N82" s="344"/>
    </row>
    <row r="83" spans="1:14" x14ac:dyDescent="0.2">
      <c r="A83" s="235"/>
      <c r="B83" s="282" t="s">
        <v>122</v>
      </c>
      <c r="C83" s="235"/>
      <c r="D83" s="268"/>
      <c r="E83" s="269"/>
      <c r="F83" s="402">
        <f>+F81</f>
        <v>352882.66000000003</v>
      </c>
      <c r="G83" s="402"/>
      <c r="H83" s="269"/>
      <c r="I83" s="402">
        <f>+I81</f>
        <v>352882.66000000003</v>
      </c>
      <c r="J83" s="233"/>
      <c r="K83" s="371">
        <f>+K81</f>
        <v>0</v>
      </c>
      <c r="L83" s="421">
        <f>IFERROR(K83/F83, )</f>
        <v>0</v>
      </c>
      <c r="M83" s="344"/>
      <c r="N83" s="344"/>
    </row>
    <row r="84" spans="1:14" x14ac:dyDescent="0.2">
      <c r="A84" s="235"/>
      <c r="B84" s="356"/>
      <c r="C84" s="313"/>
      <c r="D84" s="287"/>
      <c r="E84" s="407"/>
      <c r="F84" s="286"/>
      <c r="G84" s="287"/>
      <c r="H84" s="408"/>
      <c r="I84" s="415"/>
      <c r="J84" s="409"/>
      <c r="K84" s="361"/>
      <c r="L84" s="362"/>
      <c r="M84" s="344"/>
      <c r="N84" s="344"/>
    </row>
    <row r="85" spans="1:14" s="235" customFormat="1" x14ac:dyDescent="0.2">
      <c r="D85" s="268"/>
      <c r="E85" s="423"/>
      <c r="F85" s="293"/>
      <c r="G85" s="268"/>
      <c r="H85" s="269"/>
      <c r="I85" s="296"/>
      <c r="J85" s="349"/>
      <c r="K85" s="264"/>
      <c r="L85" s="424"/>
      <c r="M85" s="344"/>
      <c r="N85" s="344"/>
    </row>
    <row r="86" spans="1:14" x14ac:dyDescent="0.2">
      <c r="A86" s="235"/>
      <c r="B86" s="255" t="s">
        <v>150</v>
      </c>
      <c r="C86" s="346"/>
      <c r="D86" s="347"/>
      <c r="E86" s="396"/>
      <c r="F86" s="411"/>
      <c r="G86" s="347"/>
      <c r="H86" s="398"/>
      <c r="I86" s="419"/>
      <c r="J86" s="399"/>
      <c r="K86" s="260"/>
      <c r="L86" s="291"/>
      <c r="M86" s="344"/>
      <c r="N86" s="344"/>
    </row>
    <row r="87" spans="1:14" x14ac:dyDescent="0.2">
      <c r="A87" s="235"/>
      <c r="B87" s="262"/>
      <c r="C87" s="235"/>
      <c r="D87" s="268"/>
      <c r="E87" s="390"/>
      <c r="F87" s="293"/>
      <c r="G87" s="294"/>
      <c r="H87" s="269"/>
      <c r="I87" s="296"/>
      <c r="J87" s="349"/>
      <c r="K87" s="264"/>
      <c r="L87" s="265"/>
      <c r="M87" s="344"/>
      <c r="N87" s="344"/>
    </row>
    <row r="88" spans="1:14" x14ac:dyDescent="0.2">
      <c r="A88" s="235"/>
      <c r="B88" s="282" t="s">
        <v>59</v>
      </c>
      <c r="C88" s="275" t="s">
        <v>119</v>
      </c>
      <c r="D88" s="268">
        <f>D59+D74</f>
        <v>1499.3332818939609</v>
      </c>
      <c r="E88" s="269"/>
      <c r="F88" s="293">
        <f>F59+F74</f>
        <v>264847.96999999997</v>
      </c>
      <c r="H88" s="269"/>
      <c r="I88" s="293">
        <f>I59+I74</f>
        <v>264847.96999999997</v>
      </c>
      <c r="J88" s="349"/>
      <c r="K88" s="264">
        <f>I88-F88</f>
        <v>0</v>
      </c>
      <c r="L88" s="265">
        <f t="shared" ref="L88:L91" si="10">IFERROR(K88/F88, )</f>
        <v>0</v>
      </c>
      <c r="M88" s="344"/>
      <c r="N88" s="344"/>
    </row>
    <row r="89" spans="1:14" x14ac:dyDescent="0.2">
      <c r="A89" s="235"/>
      <c r="B89" s="262" t="s">
        <v>136</v>
      </c>
      <c r="C89" s="235" t="s">
        <v>137</v>
      </c>
      <c r="D89" s="268">
        <f>D60+D75</f>
        <v>82472.972999999998</v>
      </c>
      <c r="E89" s="269"/>
      <c r="F89" s="293">
        <f>F60+F75</f>
        <v>111338.51000000001</v>
      </c>
      <c r="H89" s="269"/>
      <c r="I89" s="293">
        <f>I60+I75</f>
        <v>111338.51000000001</v>
      </c>
      <c r="J89" s="349"/>
      <c r="K89" s="264">
        <f>I89-F89</f>
        <v>0</v>
      </c>
      <c r="L89" s="265">
        <f t="shared" si="10"/>
        <v>0</v>
      </c>
      <c r="M89" s="344"/>
      <c r="N89" s="344"/>
    </row>
    <row r="90" spans="1:14" x14ac:dyDescent="0.2">
      <c r="A90" s="235"/>
      <c r="B90" s="262" t="s">
        <v>61</v>
      </c>
      <c r="C90" s="235" t="s">
        <v>120</v>
      </c>
      <c r="D90" s="268">
        <f>D61</f>
        <v>5773170.4876905456</v>
      </c>
      <c r="E90" s="272"/>
      <c r="F90" s="293">
        <f>F61</f>
        <v>70548.14</v>
      </c>
      <c r="H90" s="272"/>
      <c r="I90" s="293">
        <f>I61</f>
        <v>70548.14</v>
      </c>
      <c r="J90" s="349"/>
      <c r="K90" s="264">
        <f>I90-F90</f>
        <v>0</v>
      </c>
      <c r="L90" s="265">
        <f t="shared" si="10"/>
        <v>0</v>
      </c>
      <c r="M90" s="344"/>
      <c r="N90" s="344"/>
    </row>
    <row r="91" spans="1:14" x14ac:dyDescent="0.2">
      <c r="A91" s="235"/>
      <c r="B91" s="262" t="s">
        <v>147</v>
      </c>
      <c r="C91" s="235"/>
      <c r="D91" s="268"/>
      <c r="E91" s="272"/>
      <c r="F91" s="296">
        <f>F62+F76</f>
        <v>7612.77</v>
      </c>
      <c r="H91" s="272"/>
      <c r="I91" s="296">
        <f>I62+I76</f>
        <v>7612.77</v>
      </c>
      <c r="J91" s="349"/>
      <c r="K91" s="264">
        <f>I91-F91</f>
        <v>0</v>
      </c>
      <c r="L91" s="265">
        <f t="shared" si="10"/>
        <v>0</v>
      </c>
      <c r="M91" s="344"/>
      <c r="N91" s="344"/>
    </row>
    <row r="92" spans="1:14" x14ac:dyDescent="0.2">
      <c r="A92" s="235"/>
      <c r="B92" s="262"/>
      <c r="C92" s="235"/>
      <c r="D92" s="268"/>
      <c r="E92" s="272"/>
      <c r="F92" s="293"/>
      <c r="H92" s="272"/>
      <c r="I92" s="293"/>
      <c r="J92" s="349"/>
      <c r="K92" s="264"/>
      <c r="L92" s="265"/>
      <c r="M92" s="344"/>
      <c r="N92" s="344"/>
    </row>
    <row r="93" spans="1:14" x14ac:dyDescent="0.2">
      <c r="A93" s="235"/>
      <c r="B93" s="262" t="s">
        <v>138</v>
      </c>
      <c r="C93" s="235"/>
      <c r="D93" s="268"/>
      <c r="E93" s="272"/>
      <c r="F93" s="293"/>
      <c r="H93" s="272"/>
      <c r="I93" s="293"/>
      <c r="J93" s="349"/>
      <c r="K93" s="264"/>
      <c r="L93" s="265"/>
      <c r="M93" s="344"/>
      <c r="N93" s="344"/>
    </row>
    <row r="94" spans="1:14" x14ac:dyDescent="0.2">
      <c r="A94" s="235"/>
      <c r="B94" s="292" t="s">
        <v>95</v>
      </c>
      <c r="C94" s="253" t="s">
        <v>120</v>
      </c>
      <c r="D94" s="268">
        <f>D65+D79</f>
        <v>1224033.1979</v>
      </c>
      <c r="E94" s="272"/>
      <c r="F94" s="293">
        <f>F65+F79</f>
        <v>225001.78</v>
      </c>
      <c r="H94" s="272"/>
      <c r="I94" s="293">
        <f>I65+I79</f>
        <v>225001.78</v>
      </c>
      <c r="J94" s="349"/>
      <c r="K94" s="264">
        <f>I94-F94</f>
        <v>0</v>
      </c>
      <c r="L94" s="265">
        <f t="shared" ref="L94:L95" si="11">IFERROR(K94/F94, )</f>
        <v>0</v>
      </c>
      <c r="M94" s="344"/>
      <c r="N94" s="344"/>
    </row>
    <row r="95" spans="1:14" x14ac:dyDescent="0.2">
      <c r="A95" s="235"/>
      <c r="B95" s="292" t="s">
        <v>96</v>
      </c>
      <c r="C95" s="253" t="s">
        <v>120</v>
      </c>
      <c r="D95" s="268">
        <f>D66+D80</f>
        <v>6267621.6297905464</v>
      </c>
      <c r="E95" s="272"/>
      <c r="F95" s="293">
        <f>F66+F80</f>
        <v>816733.78</v>
      </c>
      <c r="H95" s="272"/>
      <c r="I95" s="293">
        <f>I66+I80</f>
        <v>816733.78</v>
      </c>
      <c r="J95" s="349"/>
      <c r="K95" s="264">
        <f>I95-F95</f>
        <v>0</v>
      </c>
      <c r="L95" s="265">
        <f t="shared" si="11"/>
        <v>0</v>
      </c>
      <c r="M95" s="344"/>
      <c r="N95" s="344"/>
    </row>
    <row r="96" spans="1:14" x14ac:dyDescent="0.2">
      <c r="A96" s="235"/>
      <c r="B96" s="282" t="s">
        <v>123</v>
      </c>
      <c r="C96" s="235" t="s">
        <v>120</v>
      </c>
      <c r="D96" s="365">
        <f>SUM(D94:D95)</f>
        <v>7491654.8276905464</v>
      </c>
      <c r="E96" s="390"/>
      <c r="F96" s="402">
        <f>SUM(F88:F95)</f>
        <v>1496082.9500000002</v>
      </c>
      <c r="H96" s="269"/>
      <c r="I96" s="402">
        <f>SUM(I88:I95)</f>
        <v>1496082.9500000002</v>
      </c>
      <c r="J96" s="349"/>
      <c r="K96" s="371">
        <f>SUM(K88:K95)</f>
        <v>0</v>
      </c>
      <c r="L96" s="421">
        <f>IFERROR(K96/F96, )</f>
        <v>0</v>
      </c>
      <c r="M96" s="344"/>
      <c r="N96" s="344"/>
    </row>
    <row r="97" spans="1:16" x14ac:dyDescent="0.2">
      <c r="A97" s="235"/>
      <c r="B97" s="282"/>
      <c r="C97" s="275"/>
      <c r="D97" s="268"/>
      <c r="E97" s="390"/>
      <c r="F97" s="296"/>
      <c r="H97" s="269"/>
      <c r="I97" s="296"/>
      <c r="J97" s="349"/>
      <c r="K97" s="264"/>
      <c r="L97" s="270"/>
      <c r="M97" s="344"/>
      <c r="N97" s="344"/>
    </row>
    <row r="98" spans="1:16" x14ac:dyDescent="0.2">
      <c r="A98" s="235"/>
      <c r="B98" s="282" t="s">
        <v>122</v>
      </c>
      <c r="C98" s="275"/>
      <c r="D98" s="253"/>
      <c r="E98" s="233"/>
      <c r="F98" s="402">
        <f>F96</f>
        <v>1496082.9500000002</v>
      </c>
      <c r="G98" s="253"/>
      <c r="H98" s="269"/>
      <c r="I98" s="402">
        <f>I96</f>
        <v>1496082.9500000002</v>
      </c>
      <c r="J98" s="349"/>
      <c r="K98" s="371">
        <f>K96</f>
        <v>0</v>
      </c>
      <c r="L98" s="421">
        <f>IFERROR(K98/F98, )</f>
        <v>0</v>
      </c>
      <c r="M98" s="344"/>
      <c r="N98" s="344"/>
    </row>
    <row r="99" spans="1:16" x14ac:dyDescent="0.2">
      <c r="A99" s="235"/>
      <c r="B99" s="356"/>
      <c r="C99" s="313"/>
      <c r="D99" s="287"/>
      <c r="E99" s="407"/>
      <c r="F99" s="286"/>
      <c r="G99" s="287"/>
      <c r="H99" s="408"/>
      <c r="I99" s="415"/>
      <c r="J99" s="409"/>
      <c r="K99" s="361"/>
      <c r="L99" s="315"/>
      <c r="M99" s="344"/>
      <c r="N99" s="344"/>
    </row>
    <row r="100" spans="1:16" s="235" customFormat="1" x14ac:dyDescent="0.2">
      <c r="B100" s="253"/>
      <c r="C100" s="253"/>
      <c r="D100" s="268"/>
      <c r="E100" s="423"/>
      <c r="F100" s="293"/>
      <c r="G100" s="268"/>
      <c r="H100" s="269"/>
      <c r="I100" s="296"/>
      <c r="J100" s="410"/>
      <c r="K100" s="293"/>
      <c r="L100" s="425"/>
      <c r="M100" s="344"/>
      <c r="N100" s="344"/>
    </row>
    <row r="101" spans="1:16" s="235" customFormat="1" x14ac:dyDescent="0.2">
      <c r="B101" s="253"/>
      <c r="C101" s="253"/>
      <c r="D101" s="268"/>
      <c r="E101" s="272"/>
      <c r="F101" s="293"/>
      <c r="G101" s="268"/>
      <c r="H101" s="269"/>
      <c r="I101" s="296"/>
      <c r="J101" s="410"/>
      <c r="K101" s="293"/>
      <c r="L101" s="425"/>
      <c r="M101" s="344"/>
      <c r="N101" s="344"/>
    </row>
    <row r="102" spans="1:16" x14ac:dyDescent="0.2">
      <c r="B102" s="255" t="s">
        <v>99</v>
      </c>
      <c r="C102" s="346"/>
      <c r="D102" s="347"/>
      <c r="E102" s="396"/>
      <c r="F102" s="411"/>
      <c r="G102" s="347"/>
      <c r="H102" s="398"/>
      <c r="I102" s="419"/>
      <c r="J102" s="399"/>
      <c r="K102" s="260"/>
      <c r="L102" s="261"/>
      <c r="M102" s="344"/>
      <c r="N102" s="344"/>
      <c r="O102" s="235"/>
    </row>
    <row r="103" spans="1:16" x14ac:dyDescent="0.2">
      <c r="B103" s="262"/>
      <c r="C103" s="235"/>
      <c r="D103" s="268"/>
      <c r="E103" s="390"/>
      <c r="F103" s="293"/>
      <c r="H103" s="269"/>
      <c r="I103" s="296"/>
      <c r="J103" s="349"/>
      <c r="K103" s="264"/>
      <c r="L103" s="265"/>
      <c r="M103" s="344"/>
      <c r="N103" s="344"/>
      <c r="O103" s="160" t="s">
        <v>151</v>
      </c>
    </row>
    <row r="104" spans="1:16" x14ac:dyDescent="0.2">
      <c r="B104" s="282" t="s">
        <v>59</v>
      </c>
      <c r="C104" s="275" t="s">
        <v>119</v>
      </c>
      <c r="D104" s="268">
        <v>61</v>
      </c>
      <c r="E104" s="269">
        <v>606.5</v>
      </c>
      <c r="F104" s="293">
        <f>ROUND(D104*E104,2)</f>
        <v>36996.5</v>
      </c>
      <c r="H104" s="269">
        <f>ROUND(E104*(1+$O$108),2)</f>
        <v>715.15</v>
      </c>
      <c r="I104" s="296">
        <f>ROUND(D104*H104,2)</f>
        <v>43624.15</v>
      </c>
      <c r="J104" s="349"/>
      <c r="K104" s="264">
        <f>I104-F104</f>
        <v>6627.6500000000015</v>
      </c>
      <c r="L104" s="265">
        <f t="shared" ref="L104:L107" si="12">IFERROR(K104/F104, )</f>
        <v>0.17914262159934052</v>
      </c>
      <c r="M104" s="344"/>
      <c r="N104" s="344"/>
      <c r="O104" s="273">
        <f>'Exh JDT-5 (Rate Spread)'!K47</f>
        <v>6588295.3859659331</v>
      </c>
    </row>
    <row r="105" spans="1:16" x14ac:dyDescent="0.2">
      <c r="B105" s="262" t="s">
        <v>136</v>
      </c>
      <c r="C105" s="235" t="s">
        <v>137</v>
      </c>
      <c r="D105" s="268">
        <v>0</v>
      </c>
      <c r="E105" s="269">
        <v>1.45</v>
      </c>
      <c r="F105" s="293">
        <f>ROUND(D105*E105,2)</f>
        <v>0</v>
      </c>
      <c r="H105" s="269">
        <f>ROUND(E105*(1+$O$108),2)</f>
        <v>1.71</v>
      </c>
      <c r="I105" s="296">
        <f>ROUND(D105*H105,2)</f>
        <v>0</v>
      </c>
      <c r="J105" s="349"/>
      <c r="K105" s="264">
        <f>I105-F105</f>
        <v>0</v>
      </c>
      <c r="L105" s="265">
        <f>IFERROR(K105/F105, )</f>
        <v>0</v>
      </c>
      <c r="M105" s="344"/>
      <c r="N105" s="344"/>
      <c r="O105" s="273" t="s">
        <v>121</v>
      </c>
    </row>
    <row r="106" spans="1:16" x14ac:dyDescent="0.2">
      <c r="B106" s="262" t="s">
        <v>61</v>
      </c>
      <c r="C106" s="235"/>
      <c r="D106" s="268">
        <f>D116</f>
        <v>21819455.762355208</v>
      </c>
      <c r="E106" s="272">
        <v>8.43E-3</v>
      </c>
      <c r="F106" s="293">
        <f>ROUND(D106*E106,2)</f>
        <v>183938.01</v>
      </c>
      <c r="H106" s="272">
        <f>ROUND(E106*(1+$O$108),5)</f>
        <v>9.9399999999999992E-3</v>
      </c>
      <c r="I106" s="293">
        <f>ROUND(D106*H106,2)</f>
        <v>216885.39</v>
      </c>
      <c r="J106" s="349"/>
      <c r="K106" s="264">
        <f>I106-F106</f>
        <v>32947.380000000005</v>
      </c>
      <c r="L106" s="265">
        <f t="shared" si="12"/>
        <v>0.17912219448280431</v>
      </c>
      <c r="M106" s="344"/>
      <c r="N106" s="344"/>
      <c r="O106" s="278">
        <f>I155-O104</f>
        <v>13.49403406586498</v>
      </c>
    </row>
    <row r="107" spans="1:16" x14ac:dyDescent="0.2">
      <c r="B107" s="292" t="s">
        <v>147</v>
      </c>
      <c r="C107" s="253"/>
      <c r="D107" s="268"/>
      <c r="E107" s="269"/>
      <c r="F107" s="296">
        <v>51086.770000000004</v>
      </c>
      <c r="H107" s="272" t="s">
        <v>152</v>
      </c>
      <c r="I107" s="296">
        <f>F107</f>
        <v>51086.770000000004</v>
      </c>
      <c r="J107" s="349"/>
      <c r="K107" s="264">
        <f>I107-F107</f>
        <v>0</v>
      </c>
      <c r="L107" s="265">
        <f t="shared" si="12"/>
        <v>0</v>
      </c>
      <c r="M107" s="344"/>
      <c r="N107" s="344"/>
      <c r="O107" s="426"/>
    </row>
    <row r="108" spans="1:16" x14ac:dyDescent="0.2">
      <c r="B108" s="262"/>
      <c r="C108" s="235"/>
      <c r="D108" s="268"/>
      <c r="E108" s="233"/>
      <c r="F108" s="293"/>
      <c r="H108" s="272"/>
      <c r="I108" s="296"/>
      <c r="J108" s="349"/>
      <c r="K108" s="299"/>
      <c r="L108" s="364"/>
      <c r="M108" s="344"/>
      <c r="N108" s="344"/>
      <c r="O108" s="353">
        <f>'Exh JDT-5 (Rate Spread)'!K50</f>
        <v>0.17913846333656824</v>
      </c>
    </row>
    <row r="109" spans="1:16" x14ac:dyDescent="0.2">
      <c r="B109" s="262" t="s">
        <v>138</v>
      </c>
      <c r="C109" s="235"/>
      <c r="D109" s="268"/>
      <c r="E109" s="233"/>
      <c r="F109" s="293"/>
      <c r="H109" s="272"/>
      <c r="I109" s="296"/>
      <c r="J109" s="349"/>
      <c r="K109" s="299"/>
      <c r="L109" s="364"/>
      <c r="M109" s="344"/>
      <c r="N109" s="344"/>
      <c r="O109" s="427"/>
      <c r="P109" s="406"/>
    </row>
    <row r="110" spans="1:16" x14ac:dyDescent="0.2">
      <c r="B110" s="262" t="s">
        <v>89</v>
      </c>
      <c r="C110" s="235" t="s">
        <v>120</v>
      </c>
      <c r="D110" s="268">
        <v>1512193</v>
      </c>
      <c r="E110" s="272">
        <v>0.17533000000000001</v>
      </c>
      <c r="F110" s="293">
        <f t="shared" ref="F110:F115" si="13">ROUND(D110*E110,2)</f>
        <v>265132.79999999999</v>
      </c>
      <c r="H110" s="272">
        <f>ROUND((O104-SUM(I104:I107,I111:I115, I123:I125,I129:I133))/SUM(D110,D128),5)</f>
        <v>0.20954999999999999</v>
      </c>
      <c r="I110" s="296">
        <f t="shared" ref="I110:I115" si="14">ROUND(D110*H110,2)</f>
        <v>316880.03999999998</v>
      </c>
      <c r="J110" s="349"/>
      <c r="K110" s="264">
        <f t="shared" ref="K110:K116" si="15">I110-F110</f>
        <v>51747.239999999991</v>
      </c>
      <c r="L110" s="265">
        <f t="shared" ref="L110:L115" si="16">IFERROR(K110/F110, )</f>
        <v>0.19517479542327465</v>
      </c>
      <c r="M110" s="344"/>
      <c r="N110" s="344"/>
      <c r="O110" s="299"/>
      <c r="P110" s="297"/>
    </row>
    <row r="111" spans="1:16" x14ac:dyDescent="0.2">
      <c r="B111" s="262" t="s">
        <v>90</v>
      </c>
      <c r="C111" s="235" t="s">
        <v>120</v>
      </c>
      <c r="D111" s="268">
        <v>1398016.115</v>
      </c>
      <c r="E111" s="272">
        <v>0.10595</v>
      </c>
      <c r="F111" s="293">
        <f t="shared" si="13"/>
        <v>148119.81</v>
      </c>
      <c r="H111" s="272">
        <f>ROUND(E111*(1+$O$108),5)</f>
        <v>0.12493</v>
      </c>
      <c r="I111" s="296">
        <f t="shared" si="14"/>
        <v>174654.15</v>
      </c>
      <c r="J111" s="349"/>
      <c r="K111" s="264">
        <f t="shared" si="15"/>
        <v>26534.339999999997</v>
      </c>
      <c r="L111" s="265">
        <f t="shared" si="16"/>
        <v>0.17914106155010595</v>
      </c>
      <c r="M111" s="344"/>
      <c r="N111" s="344"/>
      <c r="O111" s="298"/>
      <c r="P111" s="235"/>
    </row>
    <row r="112" spans="1:16" x14ac:dyDescent="0.2">
      <c r="B112" s="262" t="s">
        <v>100</v>
      </c>
      <c r="C112" s="235" t="s">
        <v>120</v>
      </c>
      <c r="D112" s="268">
        <v>2316890.0959999999</v>
      </c>
      <c r="E112" s="272">
        <v>6.7419999999999994E-2</v>
      </c>
      <c r="F112" s="293">
        <f t="shared" si="13"/>
        <v>156204.73000000001</v>
      </c>
      <c r="H112" s="272">
        <f>ROUND(E112*(1+$O$108),5)</f>
        <v>7.9500000000000001E-2</v>
      </c>
      <c r="I112" s="296">
        <f t="shared" si="14"/>
        <v>184192.76</v>
      </c>
      <c r="J112" s="349"/>
      <c r="K112" s="264">
        <f t="shared" si="15"/>
        <v>27988.03</v>
      </c>
      <c r="L112" s="265">
        <f t="shared" si="16"/>
        <v>0.17917530410250698</v>
      </c>
      <c r="M112" s="344"/>
      <c r="N112" s="344"/>
      <c r="O112" s="275"/>
      <c r="P112" s="275"/>
    </row>
    <row r="113" spans="1:16" x14ac:dyDescent="0.2">
      <c r="B113" s="262" t="s">
        <v>101</v>
      </c>
      <c r="C113" s="235" t="s">
        <v>120</v>
      </c>
      <c r="D113" s="268">
        <v>3045256.8779999996</v>
      </c>
      <c r="E113" s="272">
        <v>4.3229999999999998E-2</v>
      </c>
      <c r="F113" s="293">
        <f t="shared" si="13"/>
        <v>131646.45000000001</v>
      </c>
      <c r="H113" s="272">
        <f>ROUND(E113*(1+$O$108),5)</f>
        <v>5.0970000000000001E-2</v>
      </c>
      <c r="I113" s="296">
        <f t="shared" si="14"/>
        <v>155216.74</v>
      </c>
      <c r="J113" s="349"/>
      <c r="K113" s="264">
        <f t="shared" si="15"/>
        <v>23570.289999999979</v>
      </c>
      <c r="L113" s="265">
        <f t="shared" si="16"/>
        <v>0.17904235169273441</v>
      </c>
      <c r="M113" s="344"/>
      <c r="N113" s="344"/>
      <c r="O113" s="235"/>
      <c r="P113" s="235"/>
    </row>
    <row r="114" spans="1:16" x14ac:dyDescent="0.2">
      <c r="B114" s="262" t="s">
        <v>102</v>
      </c>
      <c r="C114" s="235" t="s">
        <v>120</v>
      </c>
      <c r="D114" s="268">
        <v>3792042.2029999997</v>
      </c>
      <c r="E114" s="272">
        <v>3.1109999999999999E-2</v>
      </c>
      <c r="F114" s="293">
        <f t="shared" si="13"/>
        <v>117970.43</v>
      </c>
      <c r="H114" s="272">
        <f>ROUND(E114*(1+$O$108),5)</f>
        <v>3.6679999999999997E-2</v>
      </c>
      <c r="I114" s="296">
        <f t="shared" si="14"/>
        <v>139092.10999999999</v>
      </c>
      <c r="J114" s="349"/>
      <c r="K114" s="264">
        <f t="shared" si="15"/>
        <v>21121.679999999993</v>
      </c>
      <c r="L114" s="265">
        <f t="shared" si="16"/>
        <v>0.17904215488576242</v>
      </c>
      <c r="M114" s="344"/>
      <c r="N114" s="344"/>
      <c r="P114" s="235"/>
    </row>
    <row r="115" spans="1:16" x14ac:dyDescent="0.2">
      <c r="B115" s="262" t="s">
        <v>103</v>
      </c>
      <c r="C115" s="235" t="s">
        <v>120</v>
      </c>
      <c r="D115" s="268">
        <v>9755057.4703552071</v>
      </c>
      <c r="E115" s="272">
        <v>2.3990000000000001E-2</v>
      </c>
      <c r="F115" s="293">
        <f t="shared" si="13"/>
        <v>234023.83</v>
      </c>
      <c r="H115" s="272">
        <f>ROUND(E115*(1+$O$108),5)</f>
        <v>2.8289999999999999E-2</v>
      </c>
      <c r="I115" s="296">
        <f t="shared" si="14"/>
        <v>275970.58</v>
      </c>
      <c r="J115" s="349"/>
      <c r="K115" s="264">
        <f t="shared" si="15"/>
        <v>41946.750000000029</v>
      </c>
      <c r="L115" s="265">
        <f t="shared" si="16"/>
        <v>0.17924136187327602</v>
      </c>
      <c r="M115" s="344"/>
      <c r="N115" s="344"/>
      <c r="O115" s="235"/>
      <c r="P115" s="275"/>
    </row>
    <row r="116" spans="1:16" x14ac:dyDescent="0.2">
      <c r="B116" s="282" t="s">
        <v>123</v>
      </c>
      <c r="C116" s="235" t="s">
        <v>120</v>
      </c>
      <c r="D116" s="365">
        <f>SUM(D110:D115)</f>
        <v>21819455.762355208</v>
      </c>
      <c r="E116" s="390"/>
      <c r="F116" s="402">
        <f>SUM(F104:F115)</f>
        <v>1325119.33</v>
      </c>
      <c r="H116" s="269"/>
      <c r="I116" s="402">
        <f>SUM(I104:I115)</f>
        <v>1557602.69</v>
      </c>
      <c r="J116" s="349"/>
      <c r="K116" s="371">
        <f t="shared" si="15"/>
        <v>232483.35999999987</v>
      </c>
      <c r="L116" s="421">
        <f>IFERROR(K116/F116, )</f>
        <v>0.17544333912931437</v>
      </c>
      <c r="M116" s="344"/>
      <c r="N116" s="344"/>
      <c r="O116" s="235"/>
      <c r="P116" s="363"/>
    </row>
    <row r="117" spans="1:16" x14ac:dyDescent="0.2">
      <c r="B117" s="282"/>
      <c r="C117" s="275"/>
      <c r="D117" s="268"/>
      <c r="E117" s="390"/>
      <c r="F117" s="293"/>
      <c r="H117" s="269"/>
      <c r="I117" s="296"/>
      <c r="J117" s="349"/>
      <c r="K117" s="264"/>
      <c r="L117" s="270"/>
      <c r="M117" s="344"/>
      <c r="N117" s="367"/>
      <c r="O117" s="428"/>
      <c r="P117" s="235"/>
    </row>
    <row r="118" spans="1:16" x14ac:dyDescent="0.2">
      <c r="B118" s="262" t="s">
        <v>122</v>
      </c>
      <c r="C118" s="235"/>
      <c r="D118" s="268"/>
      <c r="E118" s="233"/>
      <c r="F118" s="402">
        <f>F116</f>
        <v>1325119.33</v>
      </c>
      <c r="H118" s="269"/>
      <c r="I118" s="402">
        <f>I116</f>
        <v>1557602.69</v>
      </c>
      <c r="J118" s="349"/>
      <c r="K118" s="371">
        <f>K116</f>
        <v>232483.35999999987</v>
      </c>
      <c r="L118" s="421">
        <f>IFERROR(K118/F118, )</f>
        <v>0.17544333912931437</v>
      </c>
      <c r="M118" s="344"/>
      <c r="N118" s="344"/>
      <c r="O118" s="235"/>
      <c r="P118" s="235"/>
    </row>
    <row r="119" spans="1:16" x14ac:dyDescent="0.2">
      <c r="A119" s="235"/>
      <c r="B119" s="356"/>
      <c r="C119" s="313"/>
      <c r="D119" s="287"/>
      <c r="E119" s="417"/>
      <c r="F119" s="286"/>
      <c r="G119" s="287"/>
      <c r="H119" s="408"/>
      <c r="I119" s="415"/>
      <c r="J119" s="409"/>
      <c r="K119" s="361"/>
      <c r="L119" s="315"/>
      <c r="M119" s="344"/>
      <c r="N119" s="344"/>
      <c r="O119" s="275"/>
      <c r="P119" s="235"/>
    </row>
    <row r="120" spans="1:16" x14ac:dyDescent="0.2">
      <c r="A120" s="235"/>
      <c r="B120" s="235"/>
      <c r="C120" s="235"/>
      <c r="D120" s="268"/>
      <c r="E120" s="272"/>
      <c r="F120" s="293"/>
      <c r="H120" s="269"/>
      <c r="I120" s="296"/>
      <c r="J120" s="349"/>
      <c r="K120" s="264"/>
      <c r="L120" s="424"/>
      <c r="M120" s="344"/>
      <c r="N120" s="344"/>
      <c r="O120" s="235"/>
      <c r="P120" s="235"/>
    </row>
    <row r="121" spans="1:16" x14ac:dyDescent="0.2">
      <c r="A121" s="235"/>
      <c r="B121" s="255" t="s">
        <v>104</v>
      </c>
      <c r="C121" s="346"/>
      <c r="D121" s="347"/>
      <c r="E121" s="396"/>
      <c r="F121" s="411"/>
      <c r="G121" s="347"/>
      <c r="H121" s="398"/>
      <c r="I121" s="419"/>
      <c r="J121" s="399"/>
      <c r="K121" s="260"/>
      <c r="L121" s="261"/>
      <c r="M121" s="344"/>
      <c r="N121" s="344"/>
      <c r="O121" s="235"/>
      <c r="P121" s="235"/>
    </row>
    <row r="122" spans="1:16" x14ac:dyDescent="0.2">
      <c r="A122" s="235"/>
      <c r="B122" s="262"/>
      <c r="C122" s="235"/>
      <c r="D122" s="268"/>
      <c r="E122" s="390"/>
      <c r="F122" s="293"/>
      <c r="H122" s="269"/>
      <c r="I122" s="296"/>
      <c r="J122" s="349"/>
      <c r="K122" s="264"/>
      <c r="L122" s="265"/>
      <c r="M122" s="344"/>
      <c r="N122" s="344"/>
      <c r="O122" s="235"/>
      <c r="P122" s="235"/>
    </row>
    <row r="123" spans="1:16" x14ac:dyDescent="0.2">
      <c r="A123" s="235"/>
      <c r="B123" s="282" t="s">
        <v>59</v>
      </c>
      <c r="C123" s="275" t="s">
        <v>119</v>
      </c>
      <c r="D123" s="268">
        <v>120.00000000000001</v>
      </c>
      <c r="E123" s="269">
        <v>918.31</v>
      </c>
      <c r="F123" s="293">
        <f>ROUND(D123*E123,2)</f>
        <v>110197.2</v>
      </c>
      <c r="H123" s="269">
        <f>ROUND(E123*(1+$O$108),2)</f>
        <v>1082.81</v>
      </c>
      <c r="I123" s="296">
        <f>ROUND(D123*H123,2)</f>
        <v>129937.2</v>
      </c>
      <c r="J123" s="349"/>
      <c r="K123" s="264">
        <f>I123-F123</f>
        <v>19740</v>
      </c>
      <c r="L123" s="265">
        <f t="shared" ref="L123:L124" si="17">IFERROR(K123/F123, )</f>
        <v>0.179133408108373</v>
      </c>
      <c r="M123" s="344"/>
      <c r="N123" s="344"/>
      <c r="O123" s="235"/>
      <c r="P123" s="235"/>
    </row>
    <row r="124" spans="1:16" x14ac:dyDescent="0.2">
      <c r="A124" s="235"/>
      <c r="B124" s="262" t="s">
        <v>136</v>
      </c>
      <c r="C124" s="235" t="s">
        <v>137</v>
      </c>
      <c r="D124" s="268">
        <v>296082</v>
      </c>
      <c r="E124" s="269">
        <v>1.45</v>
      </c>
      <c r="F124" s="293">
        <f>ROUND(D124*E124,2)</f>
        <v>429318.9</v>
      </c>
      <c r="H124" s="269">
        <f>H105</f>
        <v>1.71</v>
      </c>
      <c r="I124" s="296">
        <f>ROUND(D124*H124,2)</f>
        <v>506300.22</v>
      </c>
      <c r="J124" s="349"/>
      <c r="K124" s="264">
        <f>I124-F124</f>
        <v>76981.319999999949</v>
      </c>
      <c r="L124" s="265">
        <f t="shared" si="17"/>
        <v>0.17931034482758607</v>
      </c>
      <c r="M124" s="344"/>
      <c r="N124" s="344"/>
    </row>
    <row r="125" spans="1:16" x14ac:dyDescent="0.2">
      <c r="A125" s="235"/>
      <c r="B125" s="262" t="s">
        <v>147</v>
      </c>
      <c r="C125" s="235"/>
      <c r="D125" s="268"/>
      <c r="E125" s="269"/>
      <c r="F125" s="296">
        <v>19447.379999999997</v>
      </c>
      <c r="H125" s="269"/>
      <c r="I125" s="296">
        <f>F125</f>
        <v>19447.379999999997</v>
      </c>
      <c r="J125" s="349"/>
      <c r="K125" s="299"/>
      <c r="L125" s="265">
        <f>IFERROR(K125/F125, )</f>
        <v>0</v>
      </c>
      <c r="M125" s="344"/>
      <c r="N125" s="344"/>
    </row>
    <row r="126" spans="1:16" x14ac:dyDescent="0.2">
      <c r="A126" s="235"/>
      <c r="B126" s="292"/>
      <c r="C126" s="235"/>
      <c r="D126" s="268"/>
      <c r="E126" s="272"/>
      <c r="F126" s="293"/>
      <c r="H126" s="272"/>
      <c r="I126" s="296"/>
      <c r="J126" s="349"/>
      <c r="K126" s="299"/>
      <c r="L126" s="364"/>
      <c r="M126" s="344"/>
      <c r="N126" s="344"/>
    </row>
    <row r="127" spans="1:16" x14ac:dyDescent="0.2">
      <c r="A127" s="235"/>
      <c r="B127" s="262" t="s">
        <v>138</v>
      </c>
      <c r="C127" s="235"/>
      <c r="D127" s="268"/>
      <c r="E127" s="233"/>
      <c r="F127" s="293"/>
      <c r="H127" s="272"/>
      <c r="I127" s="296"/>
      <c r="J127" s="349"/>
      <c r="K127" s="299"/>
      <c r="L127" s="364"/>
      <c r="M127" s="344"/>
      <c r="N127" s="344"/>
    </row>
    <row r="128" spans="1:16" x14ac:dyDescent="0.2">
      <c r="A128" s="235"/>
      <c r="B128" s="262" t="s">
        <v>89</v>
      </c>
      <c r="C128" s="235" t="s">
        <v>120</v>
      </c>
      <c r="D128" s="268">
        <v>2998789.67</v>
      </c>
      <c r="E128" s="272">
        <v>0.17533000000000001</v>
      </c>
      <c r="F128" s="293">
        <f t="shared" ref="F128:F133" si="18">ROUND(D128*E128,2)</f>
        <v>525777.79</v>
      </c>
      <c r="H128" s="272">
        <f t="shared" ref="H128:H133" si="19">H110</f>
        <v>0.20954999999999999</v>
      </c>
      <c r="I128" s="296">
        <f t="shared" ref="I128:I133" si="20">ROUND(D128*H128,2)</f>
        <v>628396.38</v>
      </c>
      <c r="J128" s="349"/>
      <c r="K128" s="264">
        <f t="shared" ref="K128:K133" si="21">I128-F128</f>
        <v>102618.58999999997</v>
      </c>
      <c r="L128" s="265">
        <f t="shared" ref="L128:L133" si="22">IFERROR(K128/F128, )</f>
        <v>0.19517482851453266</v>
      </c>
      <c r="M128" s="344"/>
      <c r="N128" s="344"/>
    </row>
    <row r="129" spans="1:15" x14ac:dyDescent="0.2">
      <c r="A129" s="235"/>
      <c r="B129" s="262" t="s">
        <v>90</v>
      </c>
      <c r="C129" s="235" t="s">
        <v>120</v>
      </c>
      <c r="D129" s="268">
        <v>3000000</v>
      </c>
      <c r="E129" s="272">
        <v>0.10595</v>
      </c>
      <c r="F129" s="293">
        <f t="shared" si="18"/>
        <v>317850</v>
      </c>
      <c r="H129" s="272">
        <f t="shared" si="19"/>
        <v>0.12493</v>
      </c>
      <c r="I129" s="296">
        <f t="shared" si="20"/>
        <v>374790</v>
      </c>
      <c r="J129" s="349"/>
      <c r="K129" s="264">
        <f t="shared" si="21"/>
        <v>56940</v>
      </c>
      <c r="L129" s="265">
        <f t="shared" si="22"/>
        <v>0.17914110429447852</v>
      </c>
      <c r="M129" s="344"/>
      <c r="N129" s="344"/>
    </row>
    <row r="130" spans="1:15" x14ac:dyDescent="0.2">
      <c r="A130" s="235"/>
      <c r="B130" s="262" t="s">
        <v>100</v>
      </c>
      <c r="C130" s="235" t="s">
        <v>120</v>
      </c>
      <c r="D130" s="268">
        <v>6000000</v>
      </c>
      <c r="E130" s="272">
        <v>6.7419999999999994E-2</v>
      </c>
      <c r="F130" s="293">
        <f t="shared" si="18"/>
        <v>404520</v>
      </c>
      <c r="H130" s="272">
        <f t="shared" si="19"/>
        <v>7.9500000000000001E-2</v>
      </c>
      <c r="I130" s="296">
        <f t="shared" si="20"/>
        <v>477000</v>
      </c>
      <c r="J130" s="349"/>
      <c r="K130" s="264">
        <f t="shared" si="21"/>
        <v>72480</v>
      </c>
      <c r="L130" s="265">
        <f t="shared" si="22"/>
        <v>0.1791753188964699</v>
      </c>
      <c r="M130" s="344"/>
      <c r="N130" s="344"/>
    </row>
    <row r="131" spans="1:15" x14ac:dyDescent="0.2">
      <c r="A131" s="235"/>
      <c r="B131" s="262" t="s">
        <v>101</v>
      </c>
      <c r="C131" s="235" t="s">
        <v>120</v>
      </c>
      <c r="D131" s="268">
        <v>11463691.02</v>
      </c>
      <c r="E131" s="272">
        <v>4.3229999999999998E-2</v>
      </c>
      <c r="F131" s="293">
        <f t="shared" si="18"/>
        <v>495575.36</v>
      </c>
      <c r="H131" s="272">
        <f t="shared" si="19"/>
        <v>5.0970000000000001E-2</v>
      </c>
      <c r="I131" s="296">
        <f t="shared" si="20"/>
        <v>584304.32999999996</v>
      </c>
      <c r="J131" s="349"/>
      <c r="K131" s="264">
        <f t="shared" si="21"/>
        <v>88728.969999999972</v>
      </c>
      <c r="L131" s="265">
        <f t="shared" si="22"/>
        <v>0.17904233576100309</v>
      </c>
      <c r="M131" s="344"/>
      <c r="N131" s="344"/>
    </row>
    <row r="132" spans="1:15" x14ac:dyDescent="0.2">
      <c r="A132" s="235"/>
      <c r="B132" s="262" t="s">
        <v>102</v>
      </c>
      <c r="C132" s="235" t="s">
        <v>120</v>
      </c>
      <c r="D132" s="268">
        <v>25744602.149999999</v>
      </c>
      <c r="E132" s="272">
        <v>3.1109999999999999E-2</v>
      </c>
      <c r="F132" s="293">
        <f t="shared" si="18"/>
        <v>800914.57</v>
      </c>
      <c r="H132" s="272">
        <f t="shared" si="19"/>
        <v>3.6679999999999997E-2</v>
      </c>
      <c r="I132" s="296">
        <f t="shared" si="20"/>
        <v>944312.01</v>
      </c>
      <c r="J132" s="349"/>
      <c r="K132" s="264">
        <f t="shared" si="21"/>
        <v>143397.44000000006</v>
      </c>
      <c r="L132" s="265">
        <f t="shared" si="22"/>
        <v>0.17904211681403182</v>
      </c>
      <c r="M132" s="344"/>
      <c r="N132" s="344"/>
    </row>
    <row r="133" spans="1:15" x14ac:dyDescent="0.2">
      <c r="A133" s="235"/>
      <c r="B133" s="262" t="s">
        <v>103</v>
      </c>
      <c r="C133" s="235" t="s">
        <v>120</v>
      </c>
      <c r="D133" s="268">
        <v>48293342.805479579</v>
      </c>
      <c r="E133" s="272">
        <v>2.3990000000000001E-2</v>
      </c>
      <c r="F133" s="293">
        <f t="shared" si="18"/>
        <v>1158557.29</v>
      </c>
      <c r="H133" s="272">
        <f t="shared" si="19"/>
        <v>2.8289999999999999E-2</v>
      </c>
      <c r="I133" s="296">
        <f t="shared" si="20"/>
        <v>1366218.67</v>
      </c>
      <c r="J133" s="349"/>
      <c r="K133" s="264">
        <f t="shared" si="21"/>
        <v>207661.37999999989</v>
      </c>
      <c r="L133" s="265">
        <f t="shared" si="22"/>
        <v>0.1792413562906327</v>
      </c>
      <c r="M133" s="344"/>
      <c r="N133" s="344"/>
    </row>
    <row r="134" spans="1:15" x14ac:dyDescent="0.2">
      <c r="A134" s="235"/>
      <c r="B134" s="282" t="s">
        <v>123</v>
      </c>
      <c r="C134" s="235"/>
      <c r="D134" s="365">
        <f>SUM(D128:D133)</f>
        <v>97500425.645479575</v>
      </c>
      <c r="E134" s="272"/>
      <c r="F134" s="402">
        <f>SUM(F123:F133)</f>
        <v>4262158.49</v>
      </c>
      <c r="H134" s="272"/>
      <c r="I134" s="402">
        <f>SUM(I123:I133)</f>
        <v>5030706.1899999995</v>
      </c>
      <c r="J134" s="349"/>
      <c r="K134" s="402">
        <f>SUM(K123:K133)</f>
        <v>768547.69999999984</v>
      </c>
      <c r="L134" s="421">
        <f>IFERROR(K134/F134, )</f>
        <v>0.18031889283403907</v>
      </c>
      <c r="M134" s="344"/>
      <c r="N134" s="344"/>
    </row>
    <row r="135" spans="1:15" x14ac:dyDescent="0.2">
      <c r="A135" s="235"/>
      <c r="B135" s="262"/>
      <c r="C135" s="275"/>
      <c r="D135" s="268"/>
      <c r="E135" s="272"/>
      <c r="F135" s="293"/>
      <c r="H135" s="269"/>
      <c r="I135" s="296"/>
      <c r="J135" s="349"/>
      <c r="K135" s="264"/>
      <c r="L135" s="270"/>
      <c r="M135" s="344"/>
      <c r="N135" s="344"/>
    </row>
    <row r="136" spans="1:15" x14ac:dyDescent="0.2">
      <c r="A136" s="235"/>
      <c r="B136" s="262" t="s">
        <v>122</v>
      </c>
      <c r="C136" s="235"/>
      <c r="D136" s="268"/>
      <c r="E136" s="233"/>
      <c r="F136" s="402">
        <f>F134</f>
        <v>4262158.49</v>
      </c>
      <c r="H136" s="269"/>
      <c r="I136" s="402">
        <f>I134</f>
        <v>5030706.1899999995</v>
      </c>
      <c r="J136" s="349"/>
      <c r="K136" s="371">
        <f>K134</f>
        <v>768547.69999999984</v>
      </c>
      <c r="L136" s="421">
        <f>IFERROR(K136/F136, )</f>
        <v>0.18031889283403907</v>
      </c>
      <c r="M136" s="344"/>
      <c r="N136" s="344"/>
      <c r="O136" s="319"/>
    </row>
    <row r="137" spans="1:15" s="235" customFormat="1" x14ac:dyDescent="0.2">
      <c r="B137" s="356"/>
      <c r="C137" s="313"/>
      <c r="D137" s="287"/>
      <c r="E137" s="417"/>
      <c r="F137" s="286"/>
      <c r="G137" s="287"/>
      <c r="H137" s="408"/>
      <c r="I137" s="415"/>
      <c r="J137" s="409"/>
      <c r="K137" s="361"/>
      <c r="L137" s="315"/>
      <c r="M137" s="344"/>
      <c r="N137" s="344"/>
    </row>
    <row r="138" spans="1:15" s="235" customFormat="1" x14ac:dyDescent="0.2">
      <c r="D138" s="268"/>
      <c r="E138" s="272"/>
      <c r="F138" s="293"/>
      <c r="G138" s="268"/>
      <c r="H138" s="269"/>
      <c r="I138" s="296"/>
      <c r="J138" s="349"/>
      <c r="K138" s="264"/>
      <c r="L138" s="424"/>
      <c r="M138" s="344"/>
      <c r="N138" s="344"/>
    </row>
    <row r="139" spans="1:15" x14ac:dyDescent="0.2">
      <c r="A139" s="235"/>
      <c r="B139" s="289" t="s">
        <v>153</v>
      </c>
      <c r="C139" s="429"/>
      <c r="D139" s="347"/>
      <c r="E139" s="430"/>
      <c r="F139" s="411"/>
      <c r="G139" s="347"/>
      <c r="H139" s="398"/>
      <c r="I139" s="419"/>
      <c r="J139" s="412"/>
      <c r="K139" s="411"/>
      <c r="L139" s="431"/>
      <c r="M139" s="344"/>
      <c r="N139" s="344"/>
    </row>
    <row r="140" spans="1:15" x14ac:dyDescent="0.2">
      <c r="A140" s="235"/>
      <c r="B140" s="292"/>
      <c r="C140" s="253"/>
      <c r="D140" s="268"/>
      <c r="E140" s="272"/>
      <c r="F140" s="293"/>
      <c r="H140" s="269"/>
      <c r="I140" s="296"/>
      <c r="J140" s="410"/>
      <c r="K140" s="293"/>
      <c r="L140" s="295"/>
      <c r="M140" s="344"/>
      <c r="N140" s="344"/>
    </row>
    <row r="141" spans="1:15" x14ac:dyDescent="0.2">
      <c r="A141" s="235"/>
      <c r="B141" s="266" t="s">
        <v>59</v>
      </c>
      <c r="C141" s="267" t="s">
        <v>119</v>
      </c>
      <c r="D141" s="268">
        <f>D123+D104</f>
        <v>181</v>
      </c>
      <c r="E141" s="269"/>
      <c r="F141" s="293">
        <f>F123+F104</f>
        <v>147193.70000000001</v>
      </c>
      <c r="H141" s="269"/>
      <c r="I141" s="293">
        <f>I123+I104</f>
        <v>173561.35</v>
      </c>
      <c r="J141" s="410"/>
      <c r="K141" s="296">
        <f>I141-F141</f>
        <v>26367.649999999994</v>
      </c>
      <c r="L141" s="295">
        <f t="shared" ref="L141:L144" si="23">IFERROR(K141/F141, )</f>
        <v>0.17913572387948665</v>
      </c>
      <c r="M141" s="344"/>
      <c r="N141" s="344"/>
    </row>
    <row r="142" spans="1:15" x14ac:dyDescent="0.2">
      <c r="A142" s="235"/>
      <c r="B142" s="292" t="s">
        <v>136</v>
      </c>
      <c r="C142" s="253" t="s">
        <v>137</v>
      </c>
      <c r="D142" s="268">
        <f>D124+D105</f>
        <v>296082</v>
      </c>
      <c r="E142" s="269"/>
      <c r="F142" s="293">
        <f>F124+F105</f>
        <v>429318.9</v>
      </c>
      <c r="H142" s="269"/>
      <c r="I142" s="293">
        <f>I124+I105</f>
        <v>506300.22</v>
      </c>
      <c r="J142" s="410"/>
      <c r="K142" s="296">
        <f>I142-F142</f>
        <v>76981.319999999949</v>
      </c>
      <c r="L142" s="295">
        <f t="shared" si="23"/>
        <v>0.17931034482758607</v>
      </c>
      <c r="M142" s="344"/>
      <c r="N142" s="344"/>
    </row>
    <row r="143" spans="1:15" x14ac:dyDescent="0.2">
      <c r="A143" s="235"/>
      <c r="B143" s="292" t="s">
        <v>61</v>
      </c>
      <c r="C143" s="253"/>
      <c r="D143" s="268"/>
      <c r="E143" s="269"/>
      <c r="F143" s="293">
        <f>F106</f>
        <v>183938.01</v>
      </c>
      <c r="H143" s="269"/>
      <c r="I143" s="293">
        <f>I106</f>
        <v>216885.39</v>
      </c>
      <c r="J143" s="410"/>
      <c r="K143" s="296">
        <f>I143-F143</f>
        <v>32947.380000000005</v>
      </c>
      <c r="L143" s="295">
        <f t="shared" si="23"/>
        <v>0.17912219448280431</v>
      </c>
      <c r="M143" s="344"/>
      <c r="N143" s="344"/>
    </row>
    <row r="144" spans="1:15" x14ac:dyDescent="0.2">
      <c r="A144" s="235"/>
      <c r="B144" s="292" t="s">
        <v>147</v>
      </c>
      <c r="C144" s="253"/>
      <c r="D144" s="268"/>
      <c r="E144" s="269"/>
      <c r="F144" s="296">
        <f>F125+F107</f>
        <v>70534.149999999994</v>
      </c>
      <c r="H144" s="269"/>
      <c r="I144" s="296">
        <f>I125+I107</f>
        <v>70534.149999999994</v>
      </c>
      <c r="J144" s="410"/>
      <c r="K144" s="296">
        <f>I144-F144</f>
        <v>0</v>
      </c>
      <c r="L144" s="295">
        <f t="shared" si="23"/>
        <v>0</v>
      </c>
      <c r="M144" s="344"/>
      <c r="N144" s="344"/>
    </row>
    <row r="145" spans="1:16" x14ac:dyDescent="0.2">
      <c r="A145" s="235"/>
      <c r="B145" s="292"/>
      <c r="C145" s="253"/>
      <c r="D145" s="268"/>
      <c r="E145" s="269"/>
      <c r="F145" s="296"/>
      <c r="H145" s="272"/>
      <c r="I145" s="296"/>
      <c r="J145" s="410"/>
      <c r="K145" s="296"/>
      <c r="L145" s="432"/>
      <c r="M145" s="344"/>
      <c r="N145" s="344"/>
    </row>
    <row r="146" spans="1:16" ht="12" customHeight="1" x14ac:dyDescent="0.2">
      <c r="A146" s="235"/>
      <c r="B146" s="292" t="s">
        <v>138</v>
      </c>
      <c r="C146" s="253"/>
      <c r="D146" s="268"/>
      <c r="E146" s="269"/>
      <c r="F146" s="293"/>
      <c r="H146" s="272"/>
      <c r="I146" s="293"/>
      <c r="J146" s="410"/>
      <c r="K146" s="296"/>
      <c r="L146" s="432"/>
      <c r="M146" s="344"/>
      <c r="N146" s="344"/>
    </row>
    <row r="147" spans="1:16" x14ac:dyDescent="0.2">
      <c r="A147" s="235"/>
      <c r="B147" s="292" t="s">
        <v>89</v>
      </c>
      <c r="C147" s="253" t="s">
        <v>120</v>
      </c>
      <c r="D147" s="268">
        <f t="shared" ref="D147:D152" si="24">D128+D110</f>
        <v>4510982.67</v>
      </c>
      <c r="E147" s="272"/>
      <c r="F147" s="293">
        <f t="shared" ref="F147:F152" si="25">F128+F110</f>
        <v>790910.59000000008</v>
      </c>
      <c r="H147" s="272"/>
      <c r="I147" s="293">
        <f t="shared" ref="I147:I152" si="26">I128+I110</f>
        <v>945276.41999999993</v>
      </c>
      <c r="J147" s="410"/>
      <c r="K147" s="296">
        <f t="shared" ref="K147:K152" si="27">I147-F147</f>
        <v>154365.82999999984</v>
      </c>
      <c r="L147" s="295">
        <f t="shared" ref="L147:L152" si="28">IFERROR(K147/F147, )</f>
        <v>0.19517481742152401</v>
      </c>
      <c r="M147" s="344"/>
      <c r="N147" s="344"/>
    </row>
    <row r="148" spans="1:16" x14ac:dyDescent="0.2">
      <c r="A148" s="235"/>
      <c r="B148" s="292" t="s">
        <v>90</v>
      </c>
      <c r="C148" s="253" t="s">
        <v>120</v>
      </c>
      <c r="D148" s="268">
        <f t="shared" si="24"/>
        <v>4398016.1150000002</v>
      </c>
      <c r="E148" s="272"/>
      <c r="F148" s="293">
        <f t="shared" si="25"/>
        <v>465969.81</v>
      </c>
      <c r="H148" s="272"/>
      <c r="I148" s="293">
        <f t="shared" si="26"/>
        <v>549444.15</v>
      </c>
      <c r="J148" s="410"/>
      <c r="K148" s="296">
        <f t="shared" si="27"/>
        <v>83474.340000000026</v>
      </c>
      <c r="L148" s="295">
        <f t="shared" si="28"/>
        <v>0.17914109070714265</v>
      </c>
      <c r="M148" s="344"/>
      <c r="N148" s="344"/>
    </row>
    <row r="149" spans="1:16" x14ac:dyDescent="0.2">
      <c r="A149" s="235"/>
      <c r="B149" s="292" t="s">
        <v>100</v>
      </c>
      <c r="C149" s="253" t="s">
        <v>120</v>
      </c>
      <c r="D149" s="268">
        <f t="shared" si="24"/>
        <v>8316890.0959999999</v>
      </c>
      <c r="E149" s="272"/>
      <c r="F149" s="293">
        <f t="shared" si="25"/>
        <v>560724.73</v>
      </c>
      <c r="H149" s="272"/>
      <c r="I149" s="293">
        <f t="shared" si="26"/>
        <v>661192.76</v>
      </c>
      <c r="J149" s="410"/>
      <c r="K149" s="296">
        <f t="shared" si="27"/>
        <v>100468.03000000003</v>
      </c>
      <c r="L149" s="295">
        <f t="shared" si="28"/>
        <v>0.17917531477521961</v>
      </c>
      <c r="M149" s="344"/>
      <c r="N149" s="344"/>
    </row>
    <row r="150" spans="1:16" x14ac:dyDescent="0.2">
      <c r="A150" s="235"/>
      <c r="B150" s="292" t="s">
        <v>101</v>
      </c>
      <c r="C150" s="253" t="s">
        <v>120</v>
      </c>
      <c r="D150" s="268">
        <f t="shared" si="24"/>
        <v>14508947.897999998</v>
      </c>
      <c r="E150" s="272"/>
      <c r="F150" s="293">
        <f t="shared" si="25"/>
        <v>627221.81000000006</v>
      </c>
      <c r="H150" s="272"/>
      <c r="I150" s="293">
        <f t="shared" si="26"/>
        <v>739521.07</v>
      </c>
      <c r="J150" s="410"/>
      <c r="K150" s="296">
        <f t="shared" si="27"/>
        <v>112299.25999999989</v>
      </c>
      <c r="L150" s="295">
        <f t="shared" si="28"/>
        <v>0.17904233910488521</v>
      </c>
      <c r="M150" s="344"/>
      <c r="N150" s="344"/>
    </row>
    <row r="151" spans="1:16" x14ac:dyDescent="0.2">
      <c r="A151" s="235"/>
      <c r="B151" s="292" t="s">
        <v>102</v>
      </c>
      <c r="C151" s="253" t="s">
        <v>120</v>
      </c>
      <c r="D151" s="268">
        <f t="shared" si="24"/>
        <v>29536644.353</v>
      </c>
      <c r="E151" s="272"/>
      <c r="F151" s="293">
        <f t="shared" si="25"/>
        <v>918885</v>
      </c>
      <c r="H151" s="272"/>
      <c r="I151" s="293">
        <f t="shared" si="26"/>
        <v>1083404.1200000001</v>
      </c>
      <c r="J151" s="410"/>
      <c r="K151" s="296">
        <f t="shared" si="27"/>
        <v>164519.12000000011</v>
      </c>
      <c r="L151" s="295">
        <f t="shared" si="28"/>
        <v>0.1790421217018453</v>
      </c>
      <c r="M151" s="344"/>
      <c r="N151" s="344"/>
    </row>
    <row r="152" spans="1:16" x14ac:dyDescent="0.2">
      <c r="A152" s="235"/>
      <c r="B152" s="292" t="s">
        <v>103</v>
      </c>
      <c r="C152" s="253" t="s">
        <v>120</v>
      </c>
      <c r="D152" s="268">
        <f t="shared" si="24"/>
        <v>58048400.275834784</v>
      </c>
      <c r="E152" s="272"/>
      <c r="F152" s="293">
        <f t="shared" si="25"/>
        <v>1392581.12</v>
      </c>
      <c r="H152" s="272"/>
      <c r="I152" s="293">
        <f t="shared" si="26"/>
        <v>1642189.25</v>
      </c>
      <c r="J152" s="410"/>
      <c r="K152" s="296">
        <f t="shared" si="27"/>
        <v>249608.12999999989</v>
      </c>
      <c r="L152" s="295">
        <f t="shared" si="28"/>
        <v>0.17924135722879819</v>
      </c>
      <c r="M152" s="344"/>
      <c r="N152" s="344"/>
    </row>
    <row r="153" spans="1:16" x14ac:dyDescent="0.2">
      <c r="A153" s="235"/>
      <c r="B153" s="282" t="s">
        <v>123</v>
      </c>
      <c r="C153" s="253" t="s">
        <v>120</v>
      </c>
      <c r="D153" s="365">
        <f>SUM(D147:D152)</f>
        <v>119319881.40783478</v>
      </c>
      <c r="E153" s="272"/>
      <c r="F153" s="351">
        <f>SUM(F141:F152)</f>
        <v>5587277.8200000003</v>
      </c>
      <c r="H153" s="269"/>
      <c r="I153" s="351">
        <f>SUM(I141:I152)</f>
        <v>6588308.879999999</v>
      </c>
      <c r="J153" s="410"/>
      <c r="K153" s="351">
        <f>SUM(K141:K152)</f>
        <v>1001031.0599999998</v>
      </c>
      <c r="L153" s="403">
        <f>IFERROR(K153/F153, )</f>
        <v>0.17916257115705761</v>
      </c>
      <c r="M153" s="344"/>
      <c r="N153" s="344"/>
      <c r="P153" s="363"/>
    </row>
    <row r="154" spans="1:16" x14ac:dyDescent="0.2">
      <c r="A154" s="235"/>
      <c r="B154" s="266"/>
      <c r="C154" s="267"/>
      <c r="D154" s="268"/>
      <c r="E154" s="272"/>
      <c r="F154" s="293"/>
      <c r="H154" s="269"/>
      <c r="I154" s="296"/>
      <c r="J154" s="410"/>
      <c r="K154" s="293"/>
      <c r="L154" s="366"/>
      <c r="M154" s="344"/>
      <c r="N154" s="344"/>
    </row>
    <row r="155" spans="1:16" x14ac:dyDescent="0.2">
      <c r="A155" s="235"/>
      <c r="B155" s="266" t="s">
        <v>122</v>
      </c>
      <c r="C155" s="267"/>
      <c r="D155" s="293"/>
      <c r="E155" s="269"/>
      <c r="F155" s="351">
        <f>F153</f>
        <v>5587277.8200000003</v>
      </c>
      <c r="G155" s="253"/>
      <c r="H155" s="269"/>
      <c r="I155" s="351">
        <f>I153</f>
        <v>6588308.879999999</v>
      </c>
      <c r="J155" s="269"/>
      <c r="K155" s="351">
        <f>K153</f>
        <v>1001031.0599999998</v>
      </c>
      <c r="L155" s="403">
        <f>IFERROR(K155/F155, )</f>
        <v>0.17916257115705761</v>
      </c>
      <c r="M155" s="344"/>
      <c r="N155" s="344"/>
    </row>
    <row r="156" spans="1:16" x14ac:dyDescent="0.2">
      <c r="A156" s="235"/>
      <c r="B156" s="356"/>
      <c r="C156" s="313"/>
      <c r="D156" s="287"/>
      <c r="E156" s="314"/>
      <c r="F156" s="415"/>
      <c r="G156" s="287"/>
      <c r="H156" s="408"/>
      <c r="I156" s="415"/>
      <c r="J156" s="409"/>
      <c r="K156" s="361"/>
      <c r="L156" s="362"/>
      <c r="M156" s="344"/>
      <c r="N156" s="344"/>
    </row>
    <row r="157" spans="1:16" x14ac:dyDescent="0.2">
      <c r="A157" s="235"/>
      <c r="B157" s="235"/>
      <c r="C157" s="235"/>
      <c r="D157" s="268"/>
      <c r="E157" s="272"/>
      <c r="F157" s="293"/>
      <c r="H157" s="269"/>
      <c r="I157" s="296"/>
      <c r="J157" s="349"/>
      <c r="K157" s="264"/>
      <c r="L157" s="424"/>
      <c r="M157" s="344"/>
      <c r="N157" s="344"/>
    </row>
    <row r="158" spans="1:16" x14ac:dyDescent="0.2">
      <c r="B158" s="229" t="s">
        <v>154</v>
      </c>
      <c r="C158" s="235"/>
      <c r="D158" s="268"/>
      <c r="E158" s="390"/>
      <c r="F158" s="269"/>
      <c r="H158" s="272"/>
      <c r="I158" s="269"/>
      <c r="J158" s="233"/>
      <c r="K158" s="233"/>
      <c r="L158" s="363"/>
      <c r="M158" s="344"/>
      <c r="N158" s="344"/>
      <c r="O158" s="352"/>
    </row>
    <row r="159" spans="1:16" x14ac:dyDescent="0.2">
      <c r="C159" s="235"/>
      <c r="D159" s="317" t="s">
        <v>120</v>
      </c>
      <c r="E159" s="390"/>
      <c r="F159" s="359" t="s">
        <v>65</v>
      </c>
      <c r="G159" s="321"/>
      <c r="H159" s="230"/>
      <c r="I159" s="359" t="s">
        <v>66</v>
      </c>
      <c r="J159" s="319"/>
      <c r="K159" s="377" t="s">
        <v>128</v>
      </c>
      <c r="L159" s="363"/>
      <c r="M159" s="344"/>
      <c r="N159" s="344"/>
      <c r="O159" s="352"/>
    </row>
    <row r="160" spans="1:16" x14ac:dyDescent="0.2">
      <c r="B160" s="229" t="s">
        <v>122</v>
      </c>
      <c r="C160" s="235"/>
      <c r="D160" s="231"/>
      <c r="E160" s="390"/>
      <c r="F160" s="433"/>
      <c r="G160" s="433"/>
      <c r="H160" s="433"/>
      <c r="I160" s="433"/>
      <c r="J160" s="434"/>
      <c r="K160" s="434"/>
      <c r="L160" s="363"/>
      <c r="M160" s="344"/>
      <c r="N160" s="344"/>
      <c r="O160" s="352"/>
    </row>
    <row r="161" spans="2:15" x14ac:dyDescent="0.2">
      <c r="B161" s="224" t="s">
        <v>155</v>
      </c>
      <c r="C161" s="235"/>
      <c r="D161" s="231">
        <f>D52</f>
        <v>88879730.522699013</v>
      </c>
      <c r="E161" s="390"/>
      <c r="F161" s="433">
        <f>F21+F36</f>
        <v>8603644.5934943184</v>
      </c>
      <c r="G161" s="433"/>
      <c r="H161" s="433"/>
      <c r="I161" s="433">
        <f>I21+I36</f>
        <v>10148781.050000001</v>
      </c>
      <c r="J161" s="434"/>
      <c r="K161" s="434">
        <f>I161-F161</f>
        <v>1545136.4565056823</v>
      </c>
      <c r="L161" s="424">
        <f t="shared" ref="L161:L163" si="29">IFERROR(K161/F161, )</f>
        <v>0.17959092100039134</v>
      </c>
      <c r="M161" s="344"/>
      <c r="N161" s="344"/>
      <c r="O161" s="352"/>
    </row>
    <row r="162" spans="2:15" x14ac:dyDescent="0.2">
      <c r="B162" s="224" t="s">
        <v>156</v>
      </c>
      <c r="C162" s="235"/>
      <c r="D162" s="231">
        <f>D96</f>
        <v>7491654.8276905464</v>
      </c>
      <c r="E162" s="390"/>
      <c r="F162" s="433">
        <f>F67+F81</f>
        <v>1496082.9500000002</v>
      </c>
      <c r="G162" s="433"/>
      <c r="H162" s="433"/>
      <c r="I162" s="433">
        <f>I67+I81</f>
        <v>1496082.9500000002</v>
      </c>
      <c r="J162" s="434"/>
      <c r="K162" s="434">
        <f>I162-F162</f>
        <v>0</v>
      </c>
      <c r="L162" s="424">
        <f t="shared" si="29"/>
        <v>0</v>
      </c>
      <c r="M162" s="344"/>
      <c r="N162" s="344"/>
      <c r="O162" s="352"/>
    </row>
    <row r="163" spans="2:15" x14ac:dyDescent="0.2">
      <c r="B163" s="224" t="s">
        <v>157</v>
      </c>
      <c r="C163" s="235"/>
      <c r="D163" s="231">
        <f>D153</f>
        <v>119319881.40783478</v>
      </c>
      <c r="E163" s="390"/>
      <c r="F163" s="433">
        <f>F116+F134</f>
        <v>5587277.8200000003</v>
      </c>
      <c r="G163" s="433"/>
      <c r="H163" s="433"/>
      <c r="I163" s="433">
        <f>I116+I134</f>
        <v>6588308.879999999</v>
      </c>
      <c r="J163" s="434"/>
      <c r="K163" s="434">
        <f>I163-F163</f>
        <v>1001031.0599999987</v>
      </c>
      <c r="L163" s="424">
        <f t="shared" si="29"/>
        <v>0.17916257115705742</v>
      </c>
      <c r="M163" s="344"/>
      <c r="N163" s="344"/>
      <c r="O163" s="352"/>
    </row>
    <row r="164" spans="2:15" x14ac:dyDescent="0.2">
      <c r="B164" s="224" t="s">
        <v>3</v>
      </c>
      <c r="C164" s="235"/>
      <c r="D164" s="365">
        <f>SUM(D161:D163)</f>
        <v>215691266.75822434</v>
      </c>
      <c r="E164" s="390"/>
      <c r="F164" s="435">
        <f>SUM(F161:F163)</f>
        <v>15687005.363494318</v>
      </c>
      <c r="G164" s="433"/>
      <c r="H164" s="433"/>
      <c r="I164" s="435">
        <f>SUM(I161:I163)</f>
        <v>18233172.879999999</v>
      </c>
      <c r="J164" s="434"/>
      <c r="K164" s="436">
        <f>SUM(K161:K163)</f>
        <v>2546167.516505681</v>
      </c>
      <c r="L164" s="424">
        <f>IFERROR(K164/F164, )</f>
        <v>0.162310616813515</v>
      </c>
      <c r="M164" s="344"/>
      <c r="N164" s="344"/>
      <c r="O164" s="352"/>
    </row>
    <row r="165" spans="2:15" x14ac:dyDescent="0.2">
      <c r="C165" s="235"/>
      <c r="D165" s="231"/>
      <c r="E165" s="390"/>
      <c r="F165" s="433"/>
      <c r="G165" s="433"/>
      <c r="H165" s="433"/>
      <c r="I165" s="433"/>
      <c r="J165" s="434"/>
      <c r="K165" s="434"/>
      <c r="L165" s="363"/>
      <c r="M165" s="344"/>
      <c r="N165" s="344"/>
      <c r="O165" s="352"/>
    </row>
    <row r="166" spans="2:15" x14ac:dyDescent="0.2">
      <c r="B166" s="229" t="s">
        <v>158</v>
      </c>
      <c r="E166" s="382"/>
      <c r="F166" s="437"/>
      <c r="G166" s="438"/>
      <c r="H166" s="437"/>
      <c r="I166" s="437"/>
      <c r="J166" s="439"/>
      <c r="K166" s="439"/>
      <c r="L166" s="316"/>
      <c r="O166" s="319"/>
    </row>
    <row r="167" spans="2:15" x14ac:dyDescent="0.2">
      <c r="B167" s="232" t="s">
        <v>3</v>
      </c>
      <c r="D167" s="382">
        <f>'Exh JDT-5 (RES_RD)'!D13+'Exh JDT-5 (RES_RD)'!D21+'Exh JDT-5 (RES_RD)'!D30+'Exh JDT-5 (C&amp;I-RD)'!D32+'Exh JDT-5 (C&amp;I-RD)'!D82+'Exh JDT-5 (INTRPL-RD)'!D52+'Exh JDT-5 (INTRPL-RD)'!D96+'Exh JDT-5 (INTRPL-RD)'!D153</f>
        <v>1140752508.5224547</v>
      </c>
      <c r="E167" s="268"/>
      <c r="F167" s="437">
        <f>'Exh JDT-5 (RES_RD)'!F16+'Exh JDT-5 (RES_RD)'!F24+'Exh JDT-5 (RES_RD)'!F32+'Exh JDT-5 (C&amp;I-RD)'!F36+'Exh JDT-5 (C&amp;I-RD)'!F86+'Exh JDT-5 (INTRPL-RD)'!F54+'Exh JDT-5 (INTRPL-RD)'!F98+'Exh JDT-5 (INTRPL-RD)'!F155</f>
        <v>518938321.8820585</v>
      </c>
      <c r="G167" s="433"/>
      <c r="H167" s="437"/>
      <c r="I167" s="437">
        <f>'Exh JDT-5 (RES_RD)'!I16+'Exh JDT-5 (RES_RD)'!I24+'Exh JDT-5 (RES_RD)'!I32+'Exh JDT-5 (C&amp;I-RD)'!I36+'Exh JDT-5 (C&amp;I-RD)'!I86+'Exh JDT-5 (INTRPL-RD)'!I54+'Exh JDT-5 (INTRPL-RD)'!I98+'Exh JDT-5 (INTRPL-RD)'!I155</f>
        <v>581248971.47310901</v>
      </c>
      <c r="J167" s="439"/>
      <c r="K167" s="439">
        <f>I167-F167</f>
        <v>62310649.591050506</v>
      </c>
      <c r="L167" s="316">
        <f t="shared" ref="L167:L168" si="30">IFERROR(K167/F167, )</f>
        <v>0.12007332463916999</v>
      </c>
      <c r="O167" s="319"/>
    </row>
    <row r="168" spans="2:15" x14ac:dyDescent="0.2">
      <c r="B168" s="232" t="s">
        <v>159</v>
      </c>
      <c r="D168" s="321">
        <v>32154478.538398605</v>
      </c>
      <c r="E168" s="268"/>
      <c r="F168" s="437">
        <f>'Exh JDT-5 (Rate Spread)'!L13</f>
        <v>1649825.4441392999</v>
      </c>
      <c r="G168" s="433"/>
      <c r="H168" s="437"/>
      <c r="I168" s="440">
        <f>'Exh JDT-5 (Rate Spread)'!L47</f>
        <v>1794312.4041392996</v>
      </c>
      <c r="J168" s="439"/>
      <c r="K168" s="439">
        <f>I168-F168</f>
        <v>144486.95999999973</v>
      </c>
      <c r="L168" s="316">
        <f t="shared" si="30"/>
        <v>8.757711945422042E-2</v>
      </c>
      <c r="O168" s="319"/>
    </row>
    <row r="169" spans="2:15" x14ac:dyDescent="0.2">
      <c r="B169" s="232" t="s">
        <v>160</v>
      </c>
      <c r="D169" s="365">
        <f>SUM(D167:D168)</f>
        <v>1172906987.0608532</v>
      </c>
      <c r="E169" s="268"/>
      <c r="F169" s="435">
        <f>SUM(F167:F168)</f>
        <v>520588147.3261978</v>
      </c>
      <c r="G169" s="433"/>
      <c r="H169" s="437"/>
      <c r="I169" s="435">
        <f>SUM(I167:I168)</f>
        <v>583043283.87724829</v>
      </c>
      <c r="J169" s="439"/>
      <c r="K169" s="436">
        <f>SUM(K167:K168)</f>
        <v>62455136.551050507</v>
      </c>
      <c r="L169" s="316">
        <f>IFERROR(K169/F169, )</f>
        <v>0.11997033907096706</v>
      </c>
      <c r="O169" s="319"/>
    </row>
    <row r="170" spans="2:15" x14ac:dyDescent="0.2">
      <c r="B170" s="441"/>
      <c r="C170" s="230"/>
      <c r="E170" s="268"/>
      <c r="F170" s="442"/>
      <c r="G170" s="433"/>
      <c r="H170" s="437"/>
      <c r="I170" s="442"/>
      <c r="J170" s="439"/>
      <c r="K170" s="442"/>
      <c r="L170" s="316"/>
    </row>
    <row r="171" spans="2:15" x14ac:dyDescent="0.2">
      <c r="B171" s="224" t="s">
        <v>161</v>
      </c>
      <c r="E171" s="268"/>
      <c r="F171" s="434"/>
      <c r="G171" s="433"/>
      <c r="H171" s="437"/>
      <c r="I171" s="434"/>
      <c r="J171" s="439"/>
      <c r="K171" s="434"/>
      <c r="L171" s="316"/>
    </row>
    <row r="172" spans="2:15" ht="13.5" thickBot="1" x14ac:dyDescent="0.25">
      <c r="F172" s="434"/>
      <c r="G172" s="433"/>
      <c r="H172" s="437"/>
      <c r="I172" s="434"/>
      <c r="J172" s="439"/>
      <c r="K172" s="434"/>
      <c r="L172" s="316"/>
    </row>
    <row r="173" spans="2:15" x14ac:dyDescent="0.2">
      <c r="B173" s="164" t="s">
        <v>130</v>
      </c>
      <c r="C173" s="444" t="s">
        <v>131</v>
      </c>
      <c r="D173" s="445">
        <v>15687005.377336541</v>
      </c>
      <c r="E173" s="444" t="s">
        <v>35</v>
      </c>
      <c r="F173" s="446">
        <f>D173-F164</f>
        <v>1.3842223212122917E-2</v>
      </c>
      <c r="G173" s="433"/>
      <c r="H173" s="437" t="s">
        <v>130</v>
      </c>
      <c r="I173" s="439">
        <f>'Exh JDT-5 (Rate Spread)'!C47</f>
        <v>583046394.54857337</v>
      </c>
      <c r="J173" s="439"/>
      <c r="K173" s="439">
        <f>'Exh JDT-5 (Rate Spread)'!C46</f>
        <v>62458247.210988283</v>
      </c>
      <c r="L173" s="316"/>
    </row>
    <row r="174" spans="2:15" ht="13.5" thickBot="1" x14ac:dyDescent="0.25">
      <c r="B174" s="165" t="s">
        <v>130</v>
      </c>
      <c r="C174" s="447" t="s">
        <v>131</v>
      </c>
      <c r="D174" s="448">
        <v>520588147.33758515</v>
      </c>
      <c r="E174" s="447" t="s">
        <v>35</v>
      </c>
      <c r="F174" s="449">
        <f>D174-F169</f>
        <v>1.1387348175048828E-2</v>
      </c>
      <c r="H174" s="441" t="s">
        <v>35</v>
      </c>
      <c r="I174" s="232">
        <f>I173-I169</f>
        <v>3110.6713250875473</v>
      </c>
      <c r="K174" s="232">
        <f>K173-K169</f>
        <v>3110.6599377766252</v>
      </c>
      <c r="L174" s="316"/>
    </row>
    <row r="175" spans="2:15" x14ac:dyDescent="0.2">
      <c r="L175" s="316"/>
    </row>
    <row r="176" spans="2:15" x14ac:dyDescent="0.2">
      <c r="D176" s="443"/>
      <c r="L176" s="316"/>
    </row>
    <row r="177" spans="4:14" s="327" customFormat="1" x14ac:dyDescent="0.2">
      <c r="D177" s="321"/>
      <c r="E177" s="443"/>
      <c r="F177" s="232"/>
      <c r="G177" s="268"/>
      <c r="H177" s="441"/>
      <c r="I177" s="232"/>
      <c r="J177" s="232"/>
      <c r="K177" s="232"/>
      <c r="L177" s="316"/>
      <c r="N177" s="391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9"/>
  <sheetViews>
    <sheetView zoomScale="90" zoomScaleNormal="90" zoomScaleSheetLayoutView="90" workbookViewId="0">
      <pane xSplit="2" ySplit="9" topLeftCell="C10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ColWidth="9.140625" defaultRowHeight="12.75" x14ac:dyDescent="0.2"/>
  <cols>
    <col min="1" max="1" width="2.85546875" style="156" customWidth="1"/>
    <col min="2" max="2" width="38.42578125" style="185" customWidth="1"/>
    <col min="3" max="3" width="12.28515625" style="173" customWidth="1"/>
    <col min="4" max="4" width="12.28515625" style="156" customWidth="1"/>
    <col min="5" max="5" width="15.85546875" style="156" bestFit="1" customWidth="1"/>
    <col min="6" max="6" width="14.5703125" style="167" bestFit="1" customWidth="1"/>
    <col min="7" max="7" width="14.5703125" style="163" bestFit="1" customWidth="1"/>
    <col min="8" max="8" width="13.28515625" style="163" bestFit="1" customWidth="1"/>
    <col min="9" max="9" width="14.5703125" style="163" bestFit="1" customWidth="1"/>
    <col min="10" max="10" width="2.85546875" style="158" customWidth="1"/>
    <col min="11" max="11" width="19.140625" style="156" bestFit="1" customWidth="1"/>
    <col min="12" max="12" width="14.5703125" style="167" bestFit="1" customWidth="1"/>
    <col min="13" max="13" width="14.5703125" style="163" bestFit="1" customWidth="1"/>
    <col min="14" max="14" width="12.85546875" style="163" bestFit="1" customWidth="1"/>
    <col min="15" max="15" width="14.5703125" style="163" bestFit="1" customWidth="1"/>
    <col min="16" max="16" width="2.85546875" style="158" customWidth="1"/>
    <col min="17" max="17" width="15.85546875" style="156" bestFit="1" customWidth="1"/>
    <col min="18" max="18" width="14.5703125" style="167" bestFit="1" customWidth="1"/>
    <col min="19" max="19" width="14.5703125" style="163" bestFit="1" customWidth="1"/>
    <col min="20" max="20" width="14" style="163" bestFit="1" customWidth="1"/>
    <col min="21" max="21" width="14.5703125" style="163" bestFit="1" customWidth="1"/>
    <col min="22" max="16384" width="9.140625" style="156"/>
  </cols>
  <sheetData>
    <row r="1" spans="2:21" ht="12.95" customHeight="1" x14ac:dyDescent="0.2">
      <c r="B1" s="155" t="s">
        <v>253</v>
      </c>
      <c r="C1" s="166"/>
      <c r="D1" s="159"/>
      <c r="G1" s="162"/>
      <c r="H1" s="162"/>
      <c r="I1" s="162"/>
      <c r="J1" s="168"/>
      <c r="M1" s="162"/>
      <c r="N1" s="162"/>
      <c r="O1" s="162"/>
      <c r="P1" s="168"/>
      <c r="S1" s="162"/>
      <c r="T1" s="162"/>
      <c r="U1" s="162"/>
    </row>
    <row r="2" spans="2:21" x14ac:dyDescent="0.2">
      <c r="B2" s="1" t="s">
        <v>254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x14ac:dyDescent="0.2">
      <c r="B3" s="1" t="s">
        <v>255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2:21" x14ac:dyDescent="0.2">
      <c r="B4" s="169" t="s">
        <v>162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2:21" x14ac:dyDescent="0.2">
      <c r="B5" s="169" t="str">
        <f>'Exh JDT-5 (RES_RD)'!B5</f>
        <v>Rate Spread and Schedule 141R and 141N Allocation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7" spans="2:21" x14ac:dyDescent="0.2">
      <c r="B7" s="451"/>
      <c r="C7" s="452"/>
      <c r="D7" s="453"/>
      <c r="E7" s="454" t="s">
        <v>163</v>
      </c>
      <c r="F7" s="454"/>
      <c r="G7" s="454"/>
      <c r="H7" s="454"/>
      <c r="I7" s="454"/>
      <c r="J7" s="455"/>
      <c r="K7" s="454" t="s">
        <v>164</v>
      </c>
      <c r="L7" s="454"/>
      <c r="M7" s="454"/>
      <c r="N7" s="454"/>
      <c r="O7" s="454"/>
      <c r="P7" s="455"/>
      <c r="Q7" s="454" t="s">
        <v>165</v>
      </c>
      <c r="R7" s="454"/>
      <c r="S7" s="454"/>
      <c r="T7" s="454"/>
      <c r="U7" s="456"/>
    </row>
    <row r="8" spans="2:21" ht="25.5" x14ac:dyDescent="0.2">
      <c r="B8" s="457" t="s">
        <v>2</v>
      </c>
      <c r="C8" s="458" t="s">
        <v>166</v>
      </c>
      <c r="D8" s="459" t="s">
        <v>167</v>
      </c>
      <c r="E8" s="460" t="s">
        <v>168</v>
      </c>
      <c r="F8" s="460" t="s">
        <v>169</v>
      </c>
      <c r="G8" s="461" t="s">
        <v>170</v>
      </c>
      <c r="H8" s="462" t="s">
        <v>171</v>
      </c>
      <c r="I8" s="462" t="s">
        <v>172</v>
      </c>
      <c r="J8" s="462"/>
      <c r="K8" s="460" t="s">
        <v>168</v>
      </c>
      <c r="L8" s="460" t="s">
        <v>169</v>
      </c>
      <c r="M8" s="461" t="s">
        <v>170</v>
      </c>
      <c r="N8" s="462" t="s">
        <v>171</v>
      </c>
      <c r="O8" s="462" t="s">
        <v>172</v>
      </c>
      <c r="P8" s="462"/>
      <c r="Q8" s="460" t="s">
        <v>168</v>
      </c>
      <c r="R8" s="460" t="s">
        <v>169</v>
      </c>
      <c r="S8" s="461" t="s">
        <v>170</v>
      </c>
      <c r="T8" s="462" t="s">
        <v>171</v>
      </c>
      <c r="U8" s="463" t="s">
        <v>172</v>
      </c>
    </row>
    <row r="9" spans="2:21" x14ac:dyDescent="0.2">
      <c r="B9" s="464"/>
      <c r="C9" s="248"/>
      <c r="D9" s="248"/>
      <c r="E9" s="465"/>
      <c r="F9" s="465"/>
      <c r="G9" s="358"/>
      <c r="H9" s="358"/>
      <c r="I9" s="358"/>
      <c r="J9" s="358"/>
      <c r="K9" s="465"/>
      <c r="L9" s="465"/>
      <c r="M9" s="358"/>
      <c r="N9" s="358"/>
      <c r="O9" s="358"/>
      <c r="P9" s="358"/>
      <c r="Q9" s="465"/>
      <c r="R9" s="465"/>
      <c r="S9" s="358"/>
      <c r="T9" s="358"/>
      <c r="U9" s="466"/>
    </row>
    <row r="10" spans="2:21" x14ac:dyDescent="0.2">
      <c r="B10" s="467" t="s">
        <v>173</v>
      </c>
      <c r="C10" s="468"/>
      <c r="D10" s="469"/>
      <c r="E10" s="365">
        <f>E17+E25+E33</f>
        <v>636378193</v>
      </c>
      <c r="F10" s="365"/>
      <c r="G10" s="351"/>
      <c r="H10" s="351">
        <f>'Exh JDT-5 (Rate Spread)'!F62</f>
        <v>12569040.362128628</v>
      </c>
      <c r="I10" s="351">
        <f>'Exh JDT-5 (Rate Spread)'!F73</f>
        <v>52129036.556168869</v>
      </c>
      <c r="J10" s="470"/>
      <c r="K10" s="365">
        <f>K17+K25+K33</f>
        <v>639473381</v>
      </c>
      <c r="L10" s="365"/>
      <c r="M10" s="470"/>
      <c r="N10" s="351">
        <f>'Exh JDT-5 (Rate Spread)'!F66</f>
        <v>-3061395.9073436842</v>
      </c>
      <c r="O10" s="351">
        <f>'Exh JDT-5 (Rate Spread)'!F74</f>
        <v>86629999.66663608</v>
      </c>
      <c r="P10" s="470"/>
      <c r="Q10" s="365">
        <f>Q17+Q25+Q33</f>
        <v>638276545</v>
      </c>
      <c r="R10" s="365"/>
      <c r="S10" s="471"/>
      <c r="T10" s="351">
        <f>'Exh JDT-5 (Rate Spread)'!F70</f>
        <v>-13782050.931193708</v>
      </c>
      <c r="U10" s="472">
        <f>'Exh JDT-5 (Rate Spread)'!F75</f>
        <v>112270579.79538961</v>
      </c>
    </row>
    <row r="11" spans="2:21" s="157" customFormat="1" x14ac:dyDescent="0.2">
      <c r="B11" s="292"/>
      <c r="C11" s="253"/>
      <c r="D11" s="253"/>
      <c r="E11" s="253"/>
      <c r="F11" s="253"/>
      <c r="G11" s="410" t="s">
        <v>174</v>
      </c>
      <c r="H11" s="272">
        <f>ROUND(H10/E10, 5)</f>
        <v>1.975E-2</v>
      </c>
      <c r="I11" s="272">
        <f>ROUND(I10/E10, 5)</f>
        <v>8.1920000000000007E-2</v>
      </c>
      <c r="J11" s="269"/>
      <c r="K11" s="253"/>
      <c r="L11" s="253"/>
      <c r="M11" s="269"/>
      <c r="N11" s="272">
        <f>ROUND(N10/K10, 5)</f>
        <v>-4.79E-3</v>
      </c>
      <c r="O11" s="272">
        <f>ROUND(O10/K10, 5)</f>
        <v>0.13547000000000001</v>
      </c>
      <c r="P11" s="269"/>
      <c r="Q11" s="253"/>
      <c r="R11" s="253"/>
      <c r="S11" s="269"/>
      <c r="T11" s="272">
        <f>ROUND(T10/Q10, 5)</f>
        <v>-2.1590000000000002E-2</v>
      </c>
      <c r="U11" s="473">
        <f>ROUND(U10/Q10, 5)</f>
        <v>0.1759</v>
      </c>
    </row>
    <row r="12" spans="2:21" s="157" customFormat="1" x14ac:dyDescent="0.2">
      <c r="B12" s="284"/>
      <c r="C12" s="285"/>
      <c r="D12" s="285"/>
      <c r="E12" s="474" t="s">
        <v>122</v>
      </c>
      <c r="F12" s="286">
        <f>F18+F26+F34</f>
        <v>381408517.88003999</v>
      </c>
      <c r="G12" s="286">
        <f>G18+G26+G34</f>
        <v>422484809.255</v>
      </c>
      <c r="H12" s="475"/>
      <c r="I12" s="475"/>
      <c r="J12" s="408"/>
      <c r="K12" s="474" t="s">
        <v>122</v>
      </c>
      <c r="L12" s="286">
        <f>L18+L26+L34</f>
        <v>384032148.01235998</v>
      </c>
      <c r="M12" s="286">
        <f>M18+M26+M34</f>
        <v>425390283.42500001</v>
      </c>
      <c r="N12" s="475"/>
      <c r="O12" s="475"/>
      <c r="P12" s="408"/>
      <c r="Q12" s="474" t="s">
        <v>122</v>
      </c>
      <c r="R12" s="286">
        <f>R18+R26+R34</f>
        <v>384836229.67332</v>
      </c>
      <c r="S12" s="286">
        <f>S18+S26+S34</f>
        <v>426279553.685</v>
      </c>
      <c r="T12" s="475"/>
      <c r="U12" s="476"/>
    </row>
    <row r="13" spans="2:21" x14ac:dyDescent="0.2">
      <c r="B13" s="292"/>
      <c r="C13" s="253"/>
      <c r="D13" s="253"/>
      <c r="E13" s="253"/>
      <c r="F13" s="253"/>
      <c r="G13" s="269"/>
      <c r="H13" s="477"/>
      <c r="I13" s="477"/>
      <c r="J13" s="269"/>
      <c r="K13" s="253"/>
      <c r="L13" s="253"/>
      <c r="M13" s="269"/>
      <c r="N13" s="477"/>
      <c r="O13" s="477"/>
      <c r="P13" s="269"/>
      <c r="Q13" s="253"/>
      <c r="R13" s="253"/>
      <c r="S13" s="269"/>
      <c r="T13" s="477"/>
      <c r="U13" s="478"/>
    </row>
    <row r="14" spans="2:21" x14ac:dyDescent="0.2">
      <c r="B14" s="479" t="s">
        <v>72</v>
      </c>
      <c r="C14" s="469"/>
      <c r="D14" s="469"/>
      <c r="E14" s="469"/>
      <c r="F14" s="469"/>
      <c r="G14" s="351"/>
      <c r="H14" s="351"/>
      <c r="I14" s="351"/>
      <c r="J14" s="351"/>
      <c r="K14" s="469"/>
      <c r="L14" s="469"/>
      <c r="M14" s="351"/>
      <c r="N14" s="351"/>
      <c r="O14" s="351"/>
      <c r="P14" s="351"/>
      <c r="Q14" s="469"/>
      <c r="R14" s="469"/>
      <c r="S14" s="351"/>
      <c r="T14" s="351"/>
      <c r="U14" s="472"/>
    </row>
    <row r="15" spans="2:21" x14ac:dyDescent="0.2">
      <c r="B15" s="292"/>
      <c r="C15" s="253"/>
      <c r="D15" s="253"/>
      <c r="E15" s="253"/>
      <c r="F15" s="253"/>
      <c r="G15" s="293"/>
      <c r="H15" s="293"/>
      <c r="I15" s="293"/>
      <c r="J15" s="293"/>
      <c r="K15" s="253"/>
      <c r="L15" s="253"/>
      <c r="M15" s="293"/>
      <c r="N15" s="293"/>
      <c r="O15" s="293"/>
      <c r="P15" s="293"/>
      <c r="Q15" s="253"/>
      <c r="R15" s="253"/>
      <c r="S15" s="293"/>
      <c r="T15" s="293"/>
      <c r="U15" s="480"/>
    </row>
    <row r="16" spans="2:21" x14ac:dyDescent="0.2">
      <c r="B16" s="266" t="s">
        <v>59</v>
      </c>
      <c r="C16" s="269">
        <f>'Exh JDT-5 (RES_RD)'!$E$12</f>
        <v>11.52</v>
      </c>
      <c r="D16" s="269">
        <f>'Exh JDT-5 (RES_RD)'!$H$12</f>
        <v>12.75</v>
      </c>
      <c r="E16" s="268">
        <v>9926845</v>
      </c>
      <c r="F16" s="293">
        <f>SUM(+E16*C16)</f>
        <v>114357254.39999999</v>
      </c>
      <c r="G16" s="293">
        <f>SUM(+E16*D16)</f>
        <v>126567273.75</v>
      </c>
      <c r="H16" s="293"/>
      <c r="I16" s="293"/>
      <c r="J16" s="293"/>
      <c r="K16" s="268">
        <v>10041842</v>
      </c>
      <c r="L16" s="293">
        <f>SUM(+K16*C16)</f>
        <v>115682019.83999999</v>
      </c>
      <c r="M16" s="293">
        <f>SUM(+K16*D16)</f>
        <v>128033485.5</v>
      </c>
      <c r="N16" s="293"/>
      <c r="O16" s="293"/>
      <c r="P16" s="293"/>
      <c r="Q16" s="268">
        <v>10155238</v>
      </c>
      <c r="R16" s="293">
        <f>SUM(+Q16*C16)</f>
        <v>116988341.75999999</v>
      </c>
      <c r="S16" s="293">
        <f>SUM(+Q16*D16)</f>
        <v>129479284.5</v>
      </c>
      <c r="T16" s="293"/>
      <c r="U16" s="480"/>
    </row>
    <row r="17" spans="2:23" x14ac:dyDescent="0.2">
      <c r="B17" s="292" t="s">
        <v>58</v>
      </c>
      <c r="C17" s="272">
        <f>'Exh JDT-5 (RES_RD)'!$E$13</f>
        <v>0.41964000000000001</v>
      </c>
      <c r="D17" s="272">
        <f>'Exh JDT-5 (RES_RD)'!$H$13</f>
        <v>0.46500000000000002</v>
      </c>
      <c r="E17" s="268">
        <v>636369361</v>
      </c>
      <c r="F17" s="293">
        <f>SUM(+E17*C17)</f>
        <v>267046038.65004</v>
      </c>
      <c r="G17" s="293">
        <f>SUM(+E17*D17)</f>
        <v>295911752.86500001</v>
      </c>
      <c r="H17" s="293"/>
      <c r="I17" s="293"/>
      <c r="J17" s="293"/>
      <c r="K17" s="268">
        <v>639464549</v>
      </c>
      <c r="L17" s="293">
        <f>SUM(+K17*C17)</f>
        <v>268344903.34236002</v>
      </c>
      <c r="M17" s="293">
        <f>SUM(+K17*D17)</f>
        <v>297351015.28500003</v>
      </c>
      <c r="N17" s="293"/>
      <c r="O17" s="293"/>
      <c r="P17" s="293"/>
      <c r="Q17" s="268">
        <v>638267713</v>
      </c>
      <c r="R17" s="293">
        <f>SUM(+Q17*C17)</f>
        <v>267842663.08332002</v>
      </c>
      <c r="S17" s="293">
        <f>SUM(+Q17*D17)</f>
        <v>296794486.54500002</v>
      </c>
      <c r="T17" s="293"/>
      <c r="U17" s="480"/>
    </row>
    <row r="18" spans="2:23" x14ac:dyDescent="0.2">
      <c r="B18" s="300" t="s">
        <v>175</v>
      </c>
      <c r="C18" s="253"/>
      <c r="D18" s="253"/>
      <c r="E18" s="268"/>
      <c r="F18" s="351">
        <f>SUM(F16:F17)</f>
        <v>381403293.05004001</v>
      </c>
      <c r="G18" s="351">
        <f>SUM(G16:G17)</f>
        <v>422479026.61500001</v>
      </c>
      <c r="H18" s="441"/>
      <c r="I18" s="441"/>
      <c r="J18" s="293"/>
      <c r="K18" s="268"/>
      <c r="L18" s="351">
        <f>SUM(L16:L17)</f>
        <v>384026923.18235999</v>
      </c>
      <c r="M18" s="351">
        <f>SUM(M16:M17)</f>
        <v>425384500.78500003</v>
      </c>
      <c r="N18" s="441"/>
      <c r="O18" s="441"/>
      <c r="P18" s="293"/>
      <c r="Q18" s="268"/>
      <c r="R18" s="351">
        <f>SUM(R16:R17)</f>
        <v>384831004.84332001</v>
      </c>
      <c r="S18" s="351">
        <f>SUM(S16:S17)</f>
        <v>426273771.04500002</v>
      </c>
      <c r="T18" s="441"/>
      <c r="U18" s="480"/>
      <c r="W18" s="172"/>
    </row>
    <row r="19" spans="2:23" x14ac:dyDescent="0.2">
      <c r="B19" s="292" t="s">
        <v>176</v>
      </c>
      <c r="C19" s="253"/>
      <c r="D19" s="253"/>
      <c r="E19" s="253"/>
      <c r="F19" s="253"/>
      <c r="G19" s="293"/>
      <c r="H19" s="286">
        <f>H11*E17</f>
        <v>12568294.87975</v>
      </c>
      <c r="I19" s="481">
        <f>I11*E17</f>
        <v>52131378.053120002</v>
      </c>
      <c r="J19" s="293"/>
      <c r="K19" s="253"/>
      <c r="L19" s="253"/>
      <c r="M19" s="293"/>
      <c r="N19" s="286">
        <f>N11*K17</f>
        <v>-3063035.1897100001</v>
      </c>
      <c r="O19" s="481">
        <f>O11*K17</f>
        <v>86628262.453030005</v>
      </c>
      <c r="P19" s="293"/>
      <c r="Q19" s="253"/>
      <c r="R19" s="253"/>
      <c r="S19" s="293"/>
      <c r="T19" s="286">
        <f>T11*Q17</f>
        <v>-13780199.923670001</v>
      </c>
      <c r="U19" s="480">
        <f>U11*Q17</f>
        <v>112271290.7167</v>
      </c>
    </row>
    <row r="20" spans="2:23" x14ac:dyDescent="0.2">
      <c r="B20" s="300" t="str">
        <f>"Total "&amp;B14</f>
        <v>Total Schedule 23</v>
      </c>
      <c r="C20" s="253"/>
      <c r="D20" s="253"/>
      <c r="E20" s="253"/>
      <c r="F20" s="253"/>
      <c r="G20" s="230"/>
      <c r="H20" s="293"/>
      <c r="I20" s="482">
        <f>G18+H19+I19</f>
        <v>487178699.54787004</v>
      </c>
      <c r="J20" s="293"/>
      <c r="K20" s="253"/>
      <c r="L20" s="253"/>
      <c r="M20" s="293"/>
      <c r="N20" s="293"/>
      <c r="O20" s="482">
        <f>M18+N19+O19</f>
        <v>508949728.04832</v>
      </c>
      <c r="P20" s="293"/>
      <c r="Q20" s="253"/>
      <c r="R20" s="253"/>
      <c r="S20" s="293"/>
      <c r="T20" s="293"/>
      <c r="U20" s="483">
        <f>S18+T19+U19</f>
        <v>524764861.83803004</v>
      </c>
    </row>
    <row r="21" spans="2:23" x14ac:dyDescent="0.2">
      <c r="B21" s="284"/>
      <c r="C21" s="484"/>
      <c r="D21" s="484"/>
      <c r="E21" s="285"/>
      <c r="F21" s="285"/>
      <c r="G21" s="286"/>
      <c r="H21" s="286"/>
      <c r="I21" s="286"/>
      <c r="J21" s="286"/>
      <c r="K21" s="285"/>
      <c r="L21" s="285"/>
      <c r="M21" s="286"/>
      <c r="N21" s="286"/>
      <c r="O21" s="286"/>
      <c r="P21" s="286"/>
      <c r="Q21" s="285"/>
      <c r="R21" s="285"/>
      <c r="S21" s="286"/>
      <c r="T21" s="286"/>
      <c r="U21" s="485"/>
    </row>
    <row r="22" spans="2:23" x14ac:dyDescent="0.2">
      <c r="B22" s="289" t="s">
        <v>75</v>
      </c>
      <c r="C22" s="290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486"/>
    </row>
    <row r="23" spans="2:23" x14ac:dyDescent="0.2">
      <c r="B23" s="292"/>
      <c r="C23" s="253"/>
      <c r="D23" s="253"/>
      <c r="E23" s="253"/>
      <c r="F23" s="253"/>
      <c r="G23" s="293"/>
      <c r="H23" s="293"/>
      <c r="I23" s="293"/>
      <c r="J23" s="293"/>
      <c r="K23" s="253"/>
      <c r="L23" s="253"/>
      <c r="M23" s="293"/>
      <c r="N23" s="293"/>
      <c r="O23" s="293"/>
      <c r="P23" s="293"/>
      <c r="Q23" s="253"/>
      <c r="R23" s="253"/>
      <c r="S23" s="293"/>
      <c r="T23" s="293"/>
      <c r="U23" s="480"/>
    </row>
    <row r="24" spans="2:23" x14ac:dyDescent="0.2">
      <c r="B24" s="266" t="s">
        <v>59</v>
      </c>
      <c r="C24" s="269">
        <f>'Exh JDT-5 (RES_RD)'!E20</f>
        <v>11.52</v>
      </c>
      <c r="D24" s="269">
        <f>D16</f>
        <v>12.75</v>
      </c>
      <c r="E24" s="268">
        <v>0</v>
      </c>
      <c r="F24" s="293">
        <f>SUM(+E24*C24)</f>
        <v>0</v>
      </c>
      <c r="G24" s="293">
        <f>SUM(+E24*D24)</f>
        <v>0</v>
      </c>
      <c r="H24" s="293"/>
      <c r="I24" s="293"/>
      <c r="J24" s="293"/>
      <c r="K24" s="268">
        <v>0</v>
      </c>
      <c r="L24" s="293">
        <f>SUM(+K24*C24)</f>
        <v>0</v>
      </c>
      <c r="M24" s="293">
        <f>SUM(+K24*D24)</f>
        <v>0</v>
      </c>
      <c r="N24" s="293"/>
      <c r="O24" s="293"/>
      <c r="P24" s="293"/>
      <c r="Q24" s="268">
        <v>0</v>
      </c>
      <c r="R24" s="293">
        <f>SUM(+Q24*C24)</f>
        <v>0</v>
      </c>
      <c r="S24" s="293">
        <f>SUM(+Q24*D24)</f>
        <v>0</v>
      </c>
      <c r="T24" s="293"/>
      <c r="U24" s="480"/>
    </row>
    <row r="25" spans="2:23" x14ac:dyDescent="0.2">
      <c r="B25" s="292" t="s">
        <v>58</v>
      </c>
      <c r="C25" s="272">
        <f>'Exh JDT-5 (RES_RD)'!E21</f>
        <v>0.41964000000000001</v>
      </c>
      <c r="D25" s="272">
        <f>D17</f>
        <v>0.46500000000000002</v>
      </c>
      <c r="E25" s="268">
        <v>0</v>
      </c>
      <c r="F25" s="293">
        <f>SUM(+E25*C25)</f>
        <v>0</v>
      </c>
      <c r="G25" s="293">
        <f>SUM(+E25*D25)</f>
        <v>0</v>
      </c>
      <c r="H25" s="293"/>
      <c r="I25" s="293"/>
      <c r="J25" s="293"/>
      <c r="K25" s="268">
        <v>0</v>
      </c>
      <c r="L25" s="293">
        <f>SUM(+K25*C25)</f>
        <v>0</v>
      </c>
      <c r="M25" s="293">
        <f>SUM(+K25*D25)</f>
        <v>0</v>
      </c>
      <c r="N25" s="293"/>
      <c r="O25" s="293"/>
      <c r="P25" s="293"/>
      <c r="Q25" s="268">
        <v>0</v>
      </c>
      <c r="R25" s="293">
        <f>SUM(+Q25*C25)</f>
        <v>0</v>
      </c>
      <c r="S25" s="293">
        <f>SUM(+Q25*D25)</f>
        <v>0</v>
      </c>
      <c r="T25" s="293"/>
      <c r="U25" s="480"/>
    </row>
    <row r="26" spans="2:23" x14ac:dyDescent="0.2">
      <c r="B26" s="300" t="s">
        <v>175</v>
      </c>
      <c r="C26" s="301"/>
      <c r="D26" s="253"/>
      <c r="E26" s="253"/>
      <c r="F26" s="351">
        <f>SUM(F24:F25)</f>
        <v>0</v>
      </c>
      <c r="G26" s="351">
        <f>SUM(G24:G25)</f>
        <v>0</v>
      </c>
      <c r="H26" s="293"/>
      <c r="I26" s="293"/>
      <c r="J26" s="293"/>
      <c r="K26" s="253"/>
      <c r="L26" s="351">
        <f>SUM(L24:L25)</f>
        <v>0</v>
      </c>
      <c r="M26" s="351">
        <f>SUM(M24:M25)</f>
        <v>0</v>
      </c>
      <c r="N26" s="293"/>
      <c r="O26" s="293"/>
      <c r="P26" s="293"/>
      <c r="Q26" s="253"/>
      <c r="R26" s="351">
        <f>SUM(R24:R25)</f>
        <v>0</v>
      </c>
      <c r="S26" s="351">
        <f>SUM(S24:S25)</f>
        <v>0</v>
      </c>
      <c r="T26" s="293"/>
      <c r="U26" s="480"/>
    </row>
    <row r="27" spans="2:23" x14ac:dyDescent="0.2">
      <c r="B27" s="292" t="s">
        <v>176</v>
      </c>
      <c r="C27" s="253"/>
      <c r="D27" s="253"/>
      <c r="E27" s="253"/>
      <c r="F27" s="253"/>
      <c r="G27" s="293"/>
      <c r="H27" s="286">
        <f>H$11*E25</f>
        <v>0</v>
      </c>
      <c r="I27" s="481">
        <f>I$11*E25</f>
        <v>0</v>
      </c>
      <c r="J27" s="293"/>
      <c r="K27" s="253"/>
      <c r="L27" s="253"/>
      <c r="M27" s="293"/>
      <c r="N27" s="286">
        <f>N$11*K25</f>
        <v>0</v>
      </c>
      <c r="O27" s="481">
        <f>O$11*K25</f>
        <v>0</v>
      </c>
      <c r="P27" s="293"/>
      <c r="Q27" s="253"/>
      <c r="R27" s="253"/>
      <c r="S27" s="293"/>
      <c r="T27" s="286">
        <f>T$11*Q25</f>
        <v>0</v>
      </c>
      <c r="U27" s="480">
        <f>U$11*Q25</f>
        <v>0</v>
      </c>
    </row>
    <row r="28" spans="2:23" x14ac:dyDescent="0.2">
      <c r="B28" s="300" t="str">
        <f>"Total "&amp;B22</f>
        <v>Total Schedule 53</v>
      </c>
      <c r="C28" s="301"/>
      <c r="D28" s="253"/>
      <c r="E28" s="253"/>
      <c r="F28" s="253"/>
      <c r="G28" s="293"/>
      <c r="H28" s="293"/>
      <c r="I28" s="482">
        <f>G26+H27+I27</f>
        <v>0</v>
      </c>
      <c r="J28" s="293"/>
      <c r="K28" s="253"/>
      <c r="L28" s="253"/>
      <c r="M28" s="293"/>
      <c r="N28" s="293"/>
      <c r="O28" s="482">
        <f>M26+N27+O27</f>
        <v>0</v>
      </c>
      <c r="P28" s="293"/>
      <c r="Q28" s="253"/>
      <c r="R28" s="253"/>
      <c r="S28" s="293"/>
      <c r="T28" s="293"/>
      <c r="U28" s="483">
        <f>S26+T27+U27</f>
        <v>0</v>
      </c>
    </row>
    <row r="29" spans="2:23" x14ac:dyDescent="0.2">
      <c r="B29" s="284"/>
      <c r="C29" s="285"/>
      <c r="D29" s="285"/>
      <c r="E29" s="285"/>
      <c r="F29" s="285"/>
      <c r="G29" s="286"/>
      <c r="H29" s="286"/>
      <c r="I29" s="286"/>
      <c r="J29" s="286"/>
      <c r="K29" s="285"/>
      <c r="L29" s="285"/>
      <c r="M29" s="286"/>
      <c r="N29" s="286"/>
      <c r="O29" s="286"/>
      <c r="P29" s="286"/>
      <c r="Q29" s="285"/>
      <c r="R29" s="285"/>
      <c r="S29" s="286"/>
      <c r="T29" s="286"/>
      <c r="U29" s="485"/>
    </row>
    <row r="30" spans="2:23" x14ac:dyDescent="0.2">
      <c r="B30" s="289" t="s">
        <v>76</v>
      </c>
      <c r="C30" s="290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486"/>
    </row>
    <row r="31" spans="2:23" x14ac:dyDescent="0.2">
      <c r="B31" s="300"/>
      <c r="C31" s="301"/>
      <c r="D31" s="253"/>
      <c r="E31" s="253"/>
      <c r="F31" s="253"/>
      <c r="G31" s="293"/>
      <c r="H31" s="293"/>
      <c r="I31" s="293"/>
      <c r="J31" s="293"/>
      <c r="K31" s="253"/>
      <c r="L31" s="253"/>
      <c r="M31" s="293"/>
      <c r="N31" s="293"/>
      <c r="O31" s="293"/>
      <c r="P31" s="293"/>
      <c r="Q31" s="253"/>
      <c r="R31" s="253"/>
      <c r="S31" s="293"/>
      <c r="T31" s="293"/>
      <c r="U31" s="480"/>
    </row>
    <row r="32" spans="2:23" x14ac:dyDescent="0.2">
      <c r="B32" s="292" t="s">
        <v>124</v>
      </c>
      <c r="C32" s="269">
        <f>'Exh JDT-5 (RES_RD)'!E28</f>
        <v>11.24</v>
      </c>
      <c r="D32" s="269">
        <f>'Exh JDT-5 (RES_RD)'!$H$28</f>
        <v>12.44</v>
      </c>
      <c r="E32" s="268">
        <v>464.84210526315798</v>
      </c>
      <c r="F32" s="293">
        <f>ROUND(E32*C32,2)</f>
        <v>5224.83</v>
      </c>
      <c r="G32" s="293">
        <f>ROUND(E32*D32,2)</f>
        <v>5782.64</v>
      </c>
      <c r="H32" s="293"/>
      <c r="I32" s="293"/>
      <c r="J32" s="293"/>
      <c r="K32" s="268">
        <v>464.84210526315798</v>
      </c>
      <c r="L32" s="293">
        <f>ROUND(K32*C32,2)</f>
        <v>5224.83</v>
      </c>
      <c r="M32" s="293">
        <f>ROUND(K32*D32,2)</f>
        <v>5782.64</v>
      </c>
      <c r="N32" s="293"/>
      <c r="O32" s="293"/>
      <c r="P32" s="293"/>
      <c r="Q32" s="268">
        <v>464.84210526315798</v>
      </c>
      <c r="R32" s="293">
        <f>ROUND(Q32*C32,2)</f>
        <v>5224.83</v>
      </c>
      <c r="S32" s="293">
        <f>ROUND(Q32*D32,2)</f>
        <v>5782.64</v>
      </c>
      <c r="T32" s="293"/>
      <c r="U32" s="480"/>
    </row>
    <row r="33" spans="2:21" x14ac:dyDescent="0.2">
      <c r="B33" s="266" t="s">
        <v>126</v>
      </c>
      <c r="C33" s="267"/>
      <c r="D33" s="253"/>
      <c r="E33" s="268">
        <v>8832</v>
      </c>
      <c r="F33" s="268"/>
      <c r="G33" s="293"/>
      <c r="H33" s="293"/>
      <c r="I33" s="293"/>
      <c r="J33" s="293"/>
      <c r="K33" s="268">
        <v>8832</v>
      </c>
      <c r="L33" s="268"/>
      <c r="M33" s="293"/>
      <c r="N33" s="293"/>
      <c r="O33" s="293"/>
      <c r="P33" s="293"/>
      <c r="Q33" s="268">
        <v>8832</v>
      </c>
      <c r="R33" s="268"/>
      <c r="S33" s="293"/>
      <c r="T33" s="293"/>
      <c r="U33" s="480"/>
    </row>
    <row r="34" spans="2:21" x14ac:dyDescent="0.2">
      <c r="B34" s="300" t="s">
        <v>175</v>
      </c>
      <c r="C34" s="301"/>
      <c r="D34" s="253"/>
      <c r="E34" s="253"/>
      <c r="F34" s="351">
        <f>SUM(F32:F33)</f>
        <v>5224.83</v>
      </c>
      <c r="G34" s="351">
        <f>SUM(G32:G33)</f>
        <v>5782.64</v>
      </c>
      <c r="H34" s="293"/>
      <c r="I34" s="293"/>
      <c r="J34" s="293"/>
      <c r="K34" s="253"/>
      <c r="L34" s="351">
        <f>SUM(L32:L33)</f>
        <v>5224.83</v>
      </c>
      <c r="M34" s="351">
        <f>SUM(M32:M33)</f>
        <v>5782.64</v>
      </c>
      <c r="N34" s="293"/>
      <c r="O34" s="293"/>
      <c r="P34" s="293"/>
      <c r="Q34" s="253"/>
      <c r="R34" s="351">
        <f>SUM(R32:R33)</f>
        <v>5224.83</v>
      </c>
      <c r="S34" s="351">
        <f>SUM(S32:S33)</f>
        <v>5782.64</v>
      </c>
      <c r="T34" s="293"/>
      <c r="U34" s="480"/>
    </row>
    <row r="35" spans="2:21" x14ac:dyDescent="0.2">
      <c r="B35" s="292" t="s">
        <v>176</v>
      </c>
      <c r="C35" s="253"/>
      <c r="D35" s="253"/>
      <c r="E35" s="253"/>
      <c r="F35" s="253"/>
      <c r="G35" s="293"/>
      <c r="H35" s="286">
        <f>H$11*E33</f>
        <v>174.43199999999999</v>
      </c>
      <c r="I35" s="481">
        <f>I$11*E33</f>
        <v>723.51744000000008</v>
      </c>
      <c r="J35" s="293"/>
      <c r="K35" s="253"/>
      <c r="L35" s="253"/>
      <c r="M35" s="293"/>
      <c r="N35" s="286">
        <f>N$11*K33</f>
        <v>-42.305280000000003</v>
      </c>
      <c r="O35" s="481">
        <f>O$11*K33</f>
        <v>1196.4710400000001</v>
      </c>
      <c r="P35" s="293"/>
      <c r="Q35" s="253"/>
      <c r="R35" s="253"/>
      <c r="S35" s="293"/>
      <c r="T35" s="286">
        <f>T$11*Q33</f>
        <v>-190.68288000000001</v>
      </c>
      <c r="U35" s="480">
        <f>U$11*Q33</f>
        <v>1553.5488</v>
      </c>
    </row>
    <row r="36" spans="2:21" x14ac:dyDescent="0.2">
      <c r="B36" s="300" t="str">
        <f>"Total "&amp;B30</f>
        <v>Total Schedule 16</v>
      </c>
      <c r="C36" s="301"/>
      <c r="D36" s="253"/>
      <c r="E36" s="253"/>
      <c r="F36" s="253"/>
      <c r="G36" s="293"/>
      <c r="H36" s="293"/>
      <c r="I36" s="482">
        <f>G34+H35+I35</f>
        <v>6680.5894399999997</v>
      </c>
      <c r="J36" s="293"/>
      <c r="K36" s="253"/>
      <c r="L36" s="253"/>
      <c r="M36" s="293"/>
      <c r="N36" s="293"/>
      <c r="O36" s="482">
        <f>M34+N35+O35</f>
        <v>6936.8057600000011</v>
      </c>
      <c r="P36" s="293"/>
      <c r="Q36" s="253"/>
      <c r="R36" s="253"/>
      <c r="S36" s="293"/>
      <c r="T36" s="293"/>
      <c r="U36" s="483">
        <f>S34+T35+U35</f>
        <v>7145.5059199999996</v>
      </c>
    </row>
    <row r="37" spans="2:21" x14ac:dyDescent="0.2">
      <c r="B37" s="487"/>
      <c r="C37" s="488"/>
      <c r="D37" s="285"/>
      <c r="E37" s="285"/>
      <c r="F37" s="285"/>
      <c r="G37" s="408"/>
      <c r="H37" s="408"/>
      <c r="I37" s="408"/>
      <c r="J37" s="408"/>
      <c r="K37" s="285"/>
      <c r="L37" s="285"/>
      <c r="M37" s="408"/>
      <c r="N37" s="408"/>
      <c r="O37" s="408"/>
      <c r="P37" s="408"/>
      <c r="Q37" s="285"/>
      <c r="R37" s="285"/>
      <c r="S37" s="408"/>
      <c r="T37" s="408"/>
      <c r="U37" s="476"/>
    </row>
    <row r="38" spans="2:21" x14ac:dyDescent="0.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</row>
    <row r="39" spans="2:21" x14ac:dyDescent="0.2">
      <c r="B39" s="467" t="s">
        <v>177</v>
      </c>
      <c r="C39" s="468"/>
      <c r="D39" s="469"/>
      <c r="E39" s="365">
        <f>E47+E55</f>
        <v>243226645</v>
      </c>
      <c r="F39" s="365"/>
      <c r="G39" s="351"/>
      <c r="H39" s="351">
        <f>'Exh JDT-5 (Rate Spread)'!G62</f>
        <v>5260999.1640201649</v>
      </c>
      <c r="I39" s="351">
        <f>'Exh JDT-5 (Rate Spread)'!G73</f>
        <v>21819551.043014977</v>
      </c>
      <c r="J39" s="470"/>
      <c r="K39" s="365">
        <f>K47+K55</f>
        <v>245970110</v>
      </c>
      <c r="L39" s="365"/>
      <c r="M39" s="470"/>
      <c r="N39" s="351">
        <f>'Exh JDT-5 (Rate Spread)'!G66</f>
        <v>-1281402.6246425586</v>
      </c>
      <c r="O39" s="351">
        <f>'Exh JDT-5 (Rate Spread)'!G74</f>
        <v>36260553.12850108</v>
      </c>
      <c r="P39" s="470"/>
      <c r="Q39" s="365">
        <f>Q47+Q55</f>
        <v>245908003</v>
      </c>
      <c r="R39" s="365"/>
      <c r="S39" s="471"/>
      <c r="T39" s="351">
        <f>'Exh JDT-5 (Rate Spread)'!G70</f>
        <v>-5768726.6759014493</v>
      </c>
      <c r="U39" s="472">
        <f>'Exh JDT-5 (Rate Spread)'!G75</f>
        <v>46992881.670369111</v>
      </c>
    </row>
    <row r="40" spans="2:21" x14ac:dyDescent="0.2">
      <c r="B40" s="292"/>
      <c r="C40" s="253"/>
      <c r="D40" s="253"/>
      <c r="E40" s="253"/>
      <c r="F40" s="253"/>
      <c r="G40" s="410" t="s">
        <v>174</v>
      </c>
      <c r="H40" s="272">
        <f>ROUND(H39/E39, 5)</f>
        <v>2.163E-2</v>
      </c>
      <c r="I40" s="272">
        <f>ROUND(I39/E39, 5)</f>
        <v>8.9709999999999998E-2</v>
      </c>
      <c r="J40" s="269"/>
      <c r="K40" s="253"/>
      <c r="L40" s="253"/>
      <c r="M40" s="269"/>
      <c r="N40" s="272">
        <f>ROUND(N39/K39, 5)</f>
        <v>-5.2100000000000002E-3</v>
      </c>
      <c r="O40" s="272">
        <f>ROUND(O39/K39, 5)</f>
        <v>0.14742</v>
      </c>
      <c r="P40" s="269"/>
      <c r="Q40" s="253"/>
      <c r="R40" s="253"/>
      <c r="S40" s="269"/>
      <c r="T40" s="272">
        <f>ROUND(T39/Q39, 5)</f>
        <v>-2.3460000000000002E-2</v>
      </c>
      <c r="U40" s="473">
        <f>ROUND(U39/Q39, 5)</f>
        <v>0.19109999999999999</v>
      </c>
    </row>
    <row r="41" spans="2:21" x14ac:dyDescent="0.2">
      <c r="B41" s="284"/>
      <c r="C41" s="285"/>
      <c r="D41" s="285"/>
      <c r="E41" s="474" t="s">
        <v>122</v>
      </c>
      <c r="F41" s="286">
        <f>F48+F58</f>
        <v>119685870.05628002</v>
      </c>
      <c r="G41" s="286">
        <f>G48+G58</f>
        <v>137645638.55791998</v>
      </c>
      <c r="H41" s="475"/>
      <c r="I41" s="475"/>
      <c r="J41" s="408"/>
      <c r="K41" s="474" t="s">
        <v>122</v>
      </c>
      <c r="L41" s="286">
        <f>L48+L58</f>
        <v>120892478.12313001</v>
      </c>
      <c r="M41" s="286">
        <f>M48+M58</f>
        <v>139033439.78767002</v>
      </c>
      <c r="N41" s="475"/>
      <c r="O41" s="475"/>
      <c r="P41" s="408"/>
      <c r="Q41" s="474" t="s">
        <v>122</v>
      </c>
      <c r="R41" s="286">
        <f>R48+R58</f>
        <v>120958822.35606001</v>
      </c>
      <c r="S41" s="286">
        <f>S48+S58</f>
        <v>139109658.62086001</v>
      </c>
      <c r="T41" s="475"/>
      <c r="U41" s="485"/>
    </row>
    <row r="42" spans="2:21" x14ac:dyDescent="0.2">
      <c r="B42" s="489"/>
      <c r="C42" s="490"/>
      <c r="D42" s="490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486"/>
    </row>
    <row r="43" spans="2:21" x14ac:dyDescent="0.2">
      <c r="B43" s="289" t="s">
        <v>79</v>
      </c>
      <c r="C43" s="290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486"/>
    </row>
    <row r="44" spans="2:21" x14ac:dyDescent="0.2">
      <c r="B44" s="292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491"/>
    </row>
    <row r="45" spans="2:21" x14ac:dyDescent="0.2">
      <c r="B45" s="266" t="s">
        <v>59</v>
      </c>
      <c r="C45" s="269">
        <f>'Exh JDT-5 (C&amp;I-RD)'!E12</f>
        <v>33.840000000000003</v>
      </c>
      <c r="D45" s="269">
        <f>'Exh JDT-5 (C&amp;I-RD)'!$H$12</f>
        <v>38.89</v>
      </c>
      <c r="E45" s="268">
        <v>709925</v>
      </c>
      <c r="F45" s="293">
        <f>SUM(+E45*C45)</f>
        <v>24023862.000000004</v>
      </c>
      <c r="G45" s="293">
        <f>SUM(+E45*D45)</f>
        <v>27608983.25</v>
      </c>
      <c r="H45" s="293"/>
      <c r="I45" s="293"/>
      <c r="J45" s="253"/>
      <c r="K45" s="268">
        <v>713698</v>
      </c>
      <c r="L45" s="293">
        <f>SUM(+K45*C45)</f>
        <v>24151540.320000004</v>
      </c>
      <c r="M45" s="293">
        <f>SUM(+K45*D45)</f>
        <v>27755715.219999999</v>
      </c>
      <c r="N45" s="293"/>
      <c r="O45" s="293"/>
      <c r="P45" s="293"/>
      <c r="Q45" s="268">
        <v>716380</v>
      </c>
      <c r="R45" s="293">
        <f>SUM(+Q45*C45)</f>
        <v>24242299.200000003</v>
      </c>
      <c r="S45" s="293">
        <f>SUM(+Q45*D45)</f>
        <v>27860018.199999999</v>
      </c>
      <c r="T45" s="293"/>
      <c r="U45" s="480"/>
    </row>
    <row r="46" spans="2:21" x14ac:dyDescent="0.2">
      <c r="B46" s="292" t="s">
        <v>58</v>
      </c>
      <c r="C46" s="272">
        <f>'Exh JDT-5 (C&amp;I-RD)'!E13</f>
        <v>0.37956000000000001</v>
      </c>
      <c r="D46" s="272">
        <f>'Exh JDT-5 (C&amp;I-RD)'!$H$13</f>
        <v>0.43728</v>
      </c>
      <c r="E46" s="268">
        <v>243192248</v>
      </c>
      <c r="F46" s="293">
        <f t="shared" ref="F46:F47" si="0">SUM(+E46*C46)</f>
        <v>92306049.650880009</v>
      </c>
      <c r="G46" s="293">
        <f>SUM(+E46*D46)</f>
        <v>106343106.20544</v>
      </c>
      <c r="H46" s="293"/>
      <c r="I46" s="293"/>
      <c r="J46" s="253"/>
      <c r="K46" s="268">
        <v>245936243</v>
      </c>
      <c r="L46" s="293">
        <f t="shared" ref="L46:L47" si="1">SUM(+K46*C46)</f>
        <v>93347560.393079996</v>
      </c>
      <c r="M46" s="293">
        <f>SUM(+K46*D46)</f>
        <v>107543000.33904</v>
      </c>
      <c r="N46" s="293"/>
      <c r="O46" s="293"/>
      <c r="P46" s="293"/>
      <c r="Q46" s="268">
        <v>245874878</v>
      </c>
      <c r="R46" s="293">
        <f t="shared" ref="R46:R47" si="2">SUM(+Q46*C46)</f>
        <v>93324268.693680003</v>
      </c>
      <c r="S46" s="293">
        <f>SUM(+Q46*D46)</f>
        <v>107516166.65184</v>
      </c>
      <c r="T46" s="293"/>
      <c r="U46" s="480"/>
    </row>
    <row r="47" spans="2:21" x14ac:dyDescent="0.2">
      <c r="B47" s="292" t="s">
        <v>61</v>
      </c>
      <c r="C47" s="272">
        <f>'Exh JDT-5 (C&amp;I-RD)'!E14</f>
        <v>1.371E-2</v>
      </c>
      <c r="D47" s="272">
        <f>'Exh JDT-5 (C&amp;I-RD)'!$H$14</f>
        <v>1.5089999999999999E-2</v>
      </c>
      <c r="E47" s="268">
        <f>E46</f>
        <v>243192248</v>
      </c>
      <c r="F47" s="286">
        <f t="shared" si="0"/>
        <v>3334165.7200799999</v>
      </c>
      <c r="G47" s="286">
        <f>SUM(+E47*D47)</f>
        <v>3669771.02232</v>
      </c>
      <c r="H47" s="230"/>
      <c r="I47" s="293"/>
      <c r="J47" s="253"/>
      <c r="K47" s="268">
        <f>K46</f>
        <v>245936243</v>
      </c>
      <c r="L47" s="293">
        <f t="shared" si="1"/>
        <v>3371785.8915300001</v>
      </c>
      <c r="M47" s="286">
        <f>SUM(+K47*D47)</f>
        <v>3711177.9068699996</v>
      </c>
      <c r="N47" s="293"/>
      <c r="O47" s="293"/>
      <c r="P47" s="293"/>
      <c r="Q47" s="268">
        <f>Q46</f>
        <v>245874878</v>
      </c>
      <c r="R47" s="286">
        <f t="shared" si="2"/>
        <v>3370944.5773800001</v>
      </c>
      <c r="S47" s="286">
        <f>SUM(+Q47*D47)</f>
        <v>3710251.9090199997</v>
      </c>
      <c r="T47" s="293"/>
      <c r="U47" s="480"/>
    </row>
    <row r="48" spans="2:21" x14ac:dyDescent="0.2">
      <c r="B48" s="300" t="s">
        <v>175</v>
      </c>
      <c r="C48" s="301"/>
      <c r="D48" s="253"/>
      <c r="E48" s="253"/>
      <c r="F48" s="293">
        <f>SUM(F45:F47)</f>
        <v>119664077.37096001</v>
      </c>
      <c r="G48" s="293">
        <f>SUM(G45:G47)</f>
        <v>137621860.47775999</v>
      </c>
      <c r="H48" s="293"/>
      <c r="I48" s="293"/>
      <c r="J48" s="253"/>
      <c r="K48" s="253"/>
      <c r="L48" s="351">
        <f>SUM(L45:L47)</f>
        <v>120870886.60461001</v>
      </c>
      <c r="M48" s="351">
        <f>SUM(M45:M47)</f>
        <v>139009893.46591002</v>
      </c>
      <c r="N48" s="293"/>
      <c r="O48" s="293"/>
      <c r="P48" s="293"/>
      <c r="Q48" s="253"/>
      <c r="R48" s="351">
        <f>SUM(R45:R47)</f>
        <v>120937512.47106001</v>
      </c>
      <c r="S48" s="351">
        <f>SUM(S45:S47)</f>
        <v>139086436.76086</v>
      </c>
      <c r="T48" s="293"/>
      <c r="U48" s="480"/>
    </row>
    <row r="49" spans="2:21" x14ac:dyDescent="0.2">
      <c r="B49" s="292" t="s">
        <v>176</v>
      </c>
      <c r="C49" s="253"/>
      <c r="D49" s="253"/>
      <c r="E49" s="253"/>
      <c r="F49" s="253"/>
      <c r="G49" s="293"/>
      <c r="H49" s="286">
        <f>H$40*E47</f>
        <v>5260248.32424</v>
      </c>
      <c r="I49" s="286">
        <f>I$40*E47</f>
        <v>21816776.568080001</v>
      </c>
      <c r="J49" s="253"/>
      <c r="K49" s="253"/>
      <c r="L49" s="253"/>
      <c r="M49" s="253"/>
      <c r="N49" s="286">
        <f>N$40*K47</f>
        <v>-1281327.8260300001</v>
      </c>
      <c r="O49" s="286">
        <f>O$40*K47</f>
        <v>36255920.943059996</v>
      </c>
      <c r="P49" s="253"/>
      <c r="Q49" s="253"/>
      <c r="R49" s="253"/>
      <c r="S49" s="253"/>
      <c r="T49" s="286">
        <f>T$40*Q47</f>
        <v>-5768224.6378800003</v>
      </c>
      <c r="U49" s="485">
        <f>U$40*Q47</f>
        <v>46986689.185800001</v>
      </c>
    </row>
    <row r="50" spans="2:21" x14ac:dyDescent="0.2">
      <c r="B50" s="300" t="str">
        <f>"Total "&amp;B43</f>
        <v>Total Schedule 31 - Sales</v>
      </c>
      <c r="C50" s="301"/>
      <c r="D50" s="253"/>
      <c r="E50" s="253"/>
      <c r="F50" s="253"/>
      <c r="G50" s="293"/>
      <c r="H50" s="293"/>
      <c r="I50" s="482">
        <f>G48+H49+I49</f>
        <v>164698885.37007999</v>
      </c>
      <c r="J50" s="253"/>
      <c r="K50" s="253"/>
      <c r="L50" s="253"/>
      <c r="M50" s="253"/>
      <c r="N50" s="293"/>
      <c r="O50" s="482">
        <f>M48+N49+O49</f>
        <v>173984486.58294004</v>
      </c>
      <c r="P50" s="293"/>
      <c r="Q50" s="253"/>
      <c r="R50" s="253"/>
      <c r="S50" s="253"/>
      <c r="T50" s="293"/>
      <c r="U50" s="491">
        <f>S48+T49+U49</f>
        <v>180304901.30878001</v>
      </c>
    </row>
    <row r="51" spans="2:21" x14ac:dyDescent="0.2">
      <c r="B51" s="284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492"/>
    </row>
    <row r="52" spans="2:21" x14ac:dyDescent="0.2">
      <c r="B52" s="289" t="s">
        <v>80</v>
      </c>
      <c r="C52" s="290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486"/>
    </row>
    <row r="53" spans="2:21" x14ac:dyDescent="0.2">
      <c r="B53" s="29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491"/>
    </row>
    <row r="54" spans="2:21" x14ac:dyDescent="0.2">
      <c r="B54" s="266" t="s">
        <v>59</v>
      </c>
      <c r="C54" s="269">
        <f>'Exh JDT-5 (C&amp;I-RD)'!E22</f>
        <v>364.04</v>
      </c>
      <c r="D54" s="269">
        <f>'Exh JDT-5 (C&amp;I-RD)'!$H$22</f>
        <v>364.04</v>
      </c>
      <c r="E54" s="268">
        <v>24</v>
      </c>
      <c r="F54" s="293">
        <f t="shared" ref="F54:F55" si="3">SUM(+E54*C54)</f>
        <v>8736.9600000000009</v>
      </c>
      <c r="G54" s="293">
        <f>SUM(+E54*D54)</f>
        <v>8736.9600000000009</v>
      </c>
      <c r="H54" s="293"/>
      <c r="I54" s="293"/>
      <c r="J54" s="253"/>
      <c r="K54" s="268">
        <v>24</v>
      </c>
      <c r="L54" s="293">
        <f t="shared" ref="L54:L55" si="4">SUM(+K54*C54)</f>
        <v>8736.9600000000009</v>
      </c>
      <c r="M54" s="293">
        <f>SUM(+K54*D54)</f>
        <v>8736.9600000000009</v>
      </c>
      <c r="N54" s="293"/>
      <c r="O54" s="293"/>
      <c r="P54" s="293"/>
      <c r="Q54" s="268">
        <v>24</v>
      </c>
      <c r="R54" s="293">
        <f>SUM(+Q54*C54)</f>
        <v>8736.9600000000009</v>
      </c>
      <c r="S54" s="293">
        <f>SUM(+Q54*D54)</f>
        <v>8736.9600000000009</v>
      </c>
      <c r="T54" s="293"/>
      <c r="U54" s="480"/>
    </row>
    <row r="55" spans="2:21" x14ac:dyDescent="0.2">
      <c r="B55" s="292" t="s">
        <v>58</v>
      </c>
      <c r="C55" s="272">
        <f>'Exh JDT-5 (C&amp;I-RD)'!E23</f>
        <v>0.37956000000000001</v>
      </c>
      <c r="D55" s="272">
        <f>'Exh JDT-5 (C&amp;I-RD)'!$H$23</f>
        <v>0.43728</v>
      </c>
      <c r="E55" s="268">
        <v>34397</v>
      </c>
      <c r="F55" s="293">
        <f t="shared" si="3"/>
        <v>13055.72532</v>
      </c>
      <c r="G55" s="293">
        <f>SUM(+E55*D55)</f>
        <v>15041.12016</v>
      </c>
      <c r="H55" s="293"/>
      <c r="I55" s="293"/>
      <c r="J55" s="253"/>
      <c r="K55" s="268">
        <v>33867</v>
      </c>
      <c r="L55" s="293">
        <f t="shared" si="4"/>
        <v>12854.55852</v>
      </c>
      <c r="M55" s="293">
        <f>SUM(+K55*D55)</f>
        <v>14809.36176</v>
      </c>
      <c r="N55" s="293"/>
      <c r="O55" s="293"/>
      <c r="P55" s="293"/>
      <c r="Q55" s="268">
        <v>33125</v>
      </c>
      <c r="R55" s="293">
        <f t="shared" ref="R55" si="5">SUM(+Q55*C55)</f>
        <v>12572.925000000001</v>
      </c>
      <c r="S55" s="293">
        <f>SUM(+Q55*D55)</f>
        <v>14484.9</v>
      </c>
      <c r="T55" s="293"/>
      <c r="U55" s="480"/>
    </row>
    <row r="56" spans="2:21" x14ac:dyDescent="0.2">
      <c r="B56" s="266" t="s">
        <v>123</v>
      </c>
      <c r="C56" s="267"/>
      <c r="D56" s="253"/>
      <c r="E56" s="253"/>
      <c r="F56" s="293">
        <f>SUM(F54:F55)</f>
        <v>21792.685320000001</v>
      </c>
      <c r="G56" s="293">
        <f>SUM(G54:G55)</f>
        <v>23778.080160000001</v>
      </c>
      <c r="H56" s="293"/>
      <c r="I56" s="293"/>
      <c r="J56" s="253"/>
      <c r="K56" s="253"/>
      <c r="L56" s="351">
        <f>SUM(L54:L55)</f>
        <v>21591.518520000001</v>
      </c>
      <c r="M56" s="351">
        <f>SUM(M54:M55)</f>
        <v>23546.321759999999</v>
      </c>
      <c r="N56" s="293"/>
      <c r="O56" s="293"/>
      <c r="P56" s="293"/>
      <c r="Q56" s="253"/>
      <c r="R56" s="351">
        <f>SUM(R54:R55)</f>
        <v>21309.885000000002</v>
      </c>
      <c r="S56" s="351">
        <f>SUM(S54:S55)</f>
        <v>23221.86</v>
      </c>
      <c r="T56" s="293"/>
      <c r="U56" s="480"/>
    </row>
    <row r="57" spans="2:21" x14ac:dyDescent="0.2">
      <c r="B57" s="292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491"/>
    </row>
    <row r="58" spans="2:21" x14ac:dyDescent="0.2">
      <c r="B58" s="300" t="s">
        <v>175</v>
      </c>
      <c r="C58" s="301"/>
      <c r="D58" s="253"/>
      <c r="E58" s="253"/>
      <c r="F58" s="351">
        <f>F56</f>
        <v>21792.685320000001</v>
      </c>
      <c r="G58" s="351">
        <f>G56</f>
        <v>23778.080160000001</v>
      </c>
      <c r="H58" s="293"/>
      <c r="I58" s="293"/>
      <c r="J58" s="253"/>
      <c r="K58" s="253"/>
      <c r="L58" s="351">
        <f>L56</f>
        <v>21591.518520000001</v>
      </c>
      <c r="M58" s="351">
        <f>M56</f>
        <v>23546.321759999999</v>
      </c>
      <c r="N58" s="230"/>
      <c r="O58" s="230"/>
      <c r="P58" s="253"/>
      <c r="Q58" s="253"/>
      <c r="R58" s="351">
        <f>R56</f>
        <v>21309.885000000002</v>
      </c>
      <c r="S58" s="351">
        <f>S56</f>
        <v>23221.86</v>
      </c>
      <c r="T58" s="230"/>
      <c r="U58" s="480"/>
    </row>
    <row r="59" spans="2:21" x14ac:dyDescent="0.2">
      <c r="B59" s="292" t="s">
        <v>176</v>
      </c>
      <c r="C59" s="253"/>
      <c r="D59" s="253"/>
      <c r="E59" s="253"/>
      <c r="F59" s="253"/>
      <c r="G59" s="293"/>
      <c r="H59" s="286">
        <f>H$40*E55</f>
        <v>744.00711000000001</v>
      </c>
      <c r="I59" s="286">
        <f>I$40*E55</f>
        <v>3085.7548699999998</v>
      </c>
      <c r="J59" s="272"/>
      <c r="K59" s="272"/>
      <c r="L59" s="272"/>
      <c r="M59" s="272"/>
      <c r="N59" s="286">
        <f>N$40*K55</f>
        <v>-176.44707</v>
      </c>
      <c r="O59" s="286">
        <f>O$40*K55</f>
        <v>4992.6731399999999</v>
      </c>
      <c r="P59" s="272"/>
      <c r="Q59" s="272"/>
      <c r="R59" s="272"/>
      <c r="S59" s="272"/>
      <c r="T59" s="286">
        <f>T$40*Q55</f>
        <v>-777.11250000000007</v>
      </c>
      <c r="U59" s="286">
        <f>U$40*Q55</f>
        <v>6330.1875</v>
      </c>
    </row>
    <row r="60" spans="2:21" x14ac:dyDescent="0.2">
      <c r="B60" s="300" t="str">
        <f>"Total "&amp;B52</f>
        <v>Total Schedule 31 - Transportation</v>
      </c>
      <c r="C60" s="301"/>
      <c r="D60" s="253"/>
      <c r="E60" s="253"/>
      <c r="F60" s="253"/>
      <c r="G60" s="293"/>
      <c r="H60" s="293"/>
      <c r="I60" s="302">
        <f>G58+H59+I59</f>
        <v>27607.842140000001</v>
      </c>
      <c r="J60" s="253"/>
      <c r="K60" s="253"/>
      <c r="L60" s="253"/>
      <c r="M60" s="293"/>
      <c r="N60" s="293"/>
      <c r="O60" s="482">
        <f>M58+N59+O59</f>
        <v>28362.54783</v>
      </c>
      <c r="P60" s="253"/>
      <c r="Q60" s="253"/>
      <c r="R60" s="253"/>
      <c r="S60" s="293"/>
      <c r="T60" s="293"/>
      <c r="U60" s="493">
        <f>S58+T59+U59</f>
        <v>28774.935000000001</v>
      </c>
    </row>
    <row r="61" spans="2:21" x14ac:dyDescent="0.2">
      <c r="B61" s="284"/>
      <c r="C61" s="285"/>
      <c r="D61" s="358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492"/>
    </row>
    <row r="62" spans="2:21" x14ac:dyDescent="0.2"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</row>
    <row r="63" spans="2:21" x14ac:dyDescent="0.2">
      <c r="B63" s="467" t="s">
        <v>178</v>
      </c>
      <c r="C63" s="468"/>
      <c r="D63" s="469"/>
      <c r="E63" s="365">
        <f>E77+E93</f>
        <v>92387406</v>
      </c>
      <c r="F63" s="365"/>
      <c r="G63" s="351"/>
      <c r="H63" s="351">
        <f>'Exh JDT-5 (Rate Spread)'!H62</f>
        <v>846717.43769725377</v>
      </c>
      <c r="I63" s="351">
        <f>'Exh JDT-5 (Rate Spread)'!H73</f>
        <v>3511689.2770476155</v>
      </c>
      <c r="J63" s="470"/>
      <c r="K63" s="365">
        <f>K77+K93</f>
        <v>93400775</v>
      </c>
      <c r="L63" s="365"/>
      <c r="M63" s="470"/>
      <c r="N63" s="351">
        <f>'Exh JDT-5 (Rate Spread)'!H66</f>
        <v>-206231.91777259222</v>
      </c>
      <c r="O63" s="351">
        <f>'Exh JDT-5 (Rate Spread)'!H74</f>
        <v>5835857.7291596578</v>
      </c>
      <c r="P63" s="470"/>
      <c r="Q63" s="365">
        <f>Q77+Q93</f>
        <v>93526174</v>
      </c>
      <c r="R63" s="365"/>
      <c r="S63" s="471"/>
      <c r="T63" s="351">
        <f>'Exh JDT-5 (Rate Spread)'!H70</f>
        <v>-928432.28396611649</v>
      </c>
      <c r="U63" s="472">
        <f>'Exh JDT-5 (Rate Spread)'!H75</f>
        <v>7563143.638202006</v>
      </c>
    </row>
    <row r="64" spans="2:21" x14ac:dyDescent="0.2">
      <c r="B64" s="292"/>
      <c r="C64" s="253"/>
      <c r="D64" s="253"/>
      <c r="E64" s="253"/>
      <c r="F64" s="253"/>
      <c r="G64" s="410" t="s">
        <v>174</v>
      </c>
      <c r="H64" s="272">
        <f>ROUND(H63/E63, 5)</f>
        <v>9.1599999999999997E-3</v>
      </c>
      <c r="I64" s="272">
        <f>ROUND(I63/E63, 5)</f>
        <v>3.8010000000000002E-2</v>
      </c>
      <c r="J64" s="269"/>
      <c r="K64" s="253"/>
      <c r="L64" s="253"/>
      <c r="M64" s="269"/>
      <c r="N64" s="272">
        <f>ROUND(N63/K63, 5)</f>
        <v>-2.2100000000000002E-3</v>
      </c>
      <c r="O64" s="272">
        <f>ROUND(O63/K63, 5)</f>
        <v>6.2480000000000001E-2</v>
      </c>
      <c r="P64" s="269"/>
      <c r="Q64" s="253"/>
      <c r="R64" s="253"/>
      <c r="S64" s="269"/>
      <c r="T64" s="272">
        <f>ROUND(T63/Q63, 5)</f>
        <v>-9.9299999999999996E-3</v>
      </c>
      <c r="U64" s="473">
        <f>ROUND(U63/Q63, 5)</f>
        <v>8.0869999999999997E-2</v>
      </c>
    </row>
    <row r="65" spans="2:21" x14ac:dyDescent="0.2">
      <c r="B65" s="284"/>
      <c r="C65" s="285"/>
      <c r="D65" s="285"/>
      <c r="E65" s="474" t="s">
        <v>122</v>
      </c>
      <c r="F65" s="286">
        <f>F79+F96</f>
        <v>21705020.029999997</v>
      </c>
      <c r="G65" s="286">
        <f>G79+G96</f>
        <v>24952335.309349999</v>
      </c>
      <c r="H65" s="475"/>
      <c r="I65" s="475"/>
      <c r="J65" s="408"/>
      <c r="K65" s="474" t="s">
        <v>122</v>
      </c>
      <c r="L65" s="286">
        <f>L79+L96</f>
        <v>21813071.000000004</v>
      </c>
      <c r="M65" s="286">
        <f>M79+M96</f>
        <v>25076859.418709997</v>
      </c>
      <c r="N65" s="475"/>
      <c r="O65" s="475"/>
      <c r="P65" s="408"/>
      <c r="Q65" s="474" t="s">
        <v>122</v>
      </c>
      <c r="R65" s="286">
        <f>R79+R96</f>
        <v>21817309.440000001</v>
      </c>
      <c r="S65" s="286">
        <f>S79+S96</f>
        <v>25081710.494539998</v>
      </c>
      <c r="T65" s="475"/>
      <c r="U65" s="485"/>
    </row>
    <row r="66" spans="2:21" x14ac:dyDescent="0.2">
      <c r="B66" s="489"/>
      <c r="C66" s="490"/>
      <c r="D66" s="490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486"/>
    </row>
    <row r="67" spans="2:21" x14ac:dyDescent="0.2">
      <c r="B67" s="289" t="s">
        <v>82</v>
      </c>
      <c r="C67" s="290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486"/>
    </row>
    <row r="68" spans="2:21" x14ac:dyDescent="0.2">
      <c r="B68" s="292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491"/>
    </row>
    <row r="69" spans="2:21" x14ac:dyDescent="0.2">
      <c r="B69" s="266" t="s">
        <v>59</v>
      </c>
      <c r="C69" s="269">
        <f>'Exh JDT-5 (C&amp;I-RD)'!E41</f>
        <v>113.4</v>
      </c>
      <c r="D69" s="269">
        <f>'Exh JDT-5 (C&amp;I-RD)'!$H$41</f>
        <v>130.33000000000001</v>
      </c>
      <c r="E69" s="268">
        <v>15609</v>
      </c>
      <c r="F69" s="293">
        <f>SUM(+E69*C69)</f>
        <v>1770060.6</v>
      </c>
      <c r="G69" s="293">
        <f>SUM(+E69*D69)</f>
        <v>2034320.9700000002</v>
      </c>
      <c r="H69" s="293"/>
      <c r="I69" s="293"/>
      <c r="J69" s="253"/>
      <c r="K69" s="268">
        <v>15603</v>
      </c>
      <c r="L69" s="293">
        <f>SUM(+K69*C69)</f>
        <v>1769380.2000000002</v>
      </c>
      <c r="M69" s="293">
        <f>SUM(+K69*D69)</f>
        <v>2033538.9900000002</v>
      </c>
      <c r="N69" s="293"/>
      <c r="O69" s="293"/>
      <c r="P69" s="253"/>
      <c r="Q69" s="268">
        <v>15571</v>
      </c>
      <c r="R69" s="293">
        <f>SUM(+Q69*C69)</f>
        <v>1765751.4000000001</v>
      </c>
      <c r="S69" s="293">
        <f>SUM(+Q69*D69)</f>
        <v>2029368.4300000002</v>
      </c>
      <c r="T69" s="293"/>
      <c r="U69" s="480"/>
    </row>
    <row r="70" spans="2:21" x14ac:dyDescent="0.2">
      <c r="B70" s="292" t="s">
        <v>60</v>
      </c>
      <c r="C70" s="269">
        <f>'Exh JDT-5 (C&amp;I-RD)'!E42</f>
        <v>123.82</v>
      </c>
      <c r="D70" s="269">
        <f>'Exh JDT-5 (C&amp;I-RD)'!$H$42</f>
        <v>143.55000000000001</v>
      </c>
      <c r="E70" s="268">
        <f>E69</f>
        <v>15609</v>
      </c>
      <c r="F70" s="293">
        <f t="shared" ref="F70:F71" si="6">SUM(+E70*C70)</f>
        <v>1932706.38</v>
      </c>
      <c r="G70" s="293">
        <f>SUM(+E70*D70)</f>
        <v>2240671.9500000002</v>
      </c>
      <c r="H70" s="293"/>
      <c r="I70" s="293"/>
      <c r="J70" s="253"/>
      <c r="K70" s="268">
        <f>K69</f>
        <v>15603</v>
      </c>
      <c r="L70" s="293">
        <f>SUM(+K70*C70)</f>
        <v>1931963.46</v>
      </c>
      <c r="M70" s="293">
        <f>SUM(+K70*D70)</f>
        <v>2239810.6500000004</v>
      </c>
      <c r="N70" s="293"/>
      <c r="O70" s="293"/>
      <c r="P70" s="253"/>
      <c r="Q70" s="268">
        <f>Q69</f>
        <v>15571</v>
      </c>
      <c r="R70" s="293">
        <f t="shared" ref="R70:R71" si="7">SUM(+Q70*C70)</f>
        <v>1928001.22</v>
      </c>
      <c r="S70" s="293">
        <f>SUM(+Q70*D70)</f>
        <v>2235217.0500000003</v>
      </c>
      <c r="T70" s="293"/>
      <c r="U70" s="480"/>
    </row>
    <row r="71" spans="2:21" x14ac:dyDescent="0.2">
      <c r="B71" s="292" t="s">
        <v>136</v>
      </c>
      <c r="C71" s="269">
        <f>'Exh JDT-5 (C&amp;I-RD)'!E43</f>
        <v>1.25</v>
      </c>
      <c r="D71" s="269">
        <f>'Exh JDT-5 (C&amp;I-RD)'!$H$43</f>
        <v>1.44</v>
      </c>
      <c r="E71" s="268">
        <v>4682844</v>
      </c>
      <c r="F71" s="286">
        <f t="shared" si="6"/>
        <v>5853555</v>
      </c>
      <c r="G71" s="286">
        <f>SUM(+E71*D71)</f>
        <v>6743295.3599999994</v>
      </c>
      <c r="H71" s="293"/>
      <c r="I71" s="293"/>
      <c r="J71" s="253"/>
      <c r="K71" s="268">
        <v>4682844</v>
      </c>
      <c r="L71" s="286">
        <f>SUM(+K71*C71)</f>
        <v>5853555</v>
      </c>
      <c r="M71" s="286">
        <f>SUM(+K71*D71)</f>
        <v>6743295.3599999994</v>
      </c>
      <c r="N71" s="293"/>
      <c r="O71" s="293"/>
      <c r="P71" s="253"/>
      <c r="Q71" s="268">
        <v>4682844</v>
      </c>
      <c r="R71" s="286">
        <f t="shared" si="7"/>
        <v>5853555</v>
      </c>
      <c r="S71" s="286">
        <f>SUM(+Q71*D71)</f>
        <v>6743295.3599999994</v>
      </c>
      <c r="T71" s="293"/>
      <c r="U71" s="480"/>
    </row>
    <row r="72" spans="2:21" x14ac:dyDescent="0.2">
      <c r="B72" s="292"/>
      <c r="C72" s="253"/>
      <c r="D72" s="269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480"/>
    </row>
    <row r="73" spans="2:21" x14ac:dyDescent="0.2">
      <c r="B73" s="292" t="s">
        <v>138</v>
      </c>
      <c r="C73" s="253"/>
      <c r="D73" s="269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480"/>
    </row>
    <row r="74" spans="2:21" x14ac:dyDescent="0.2">
      <c r="B74" s="292" t="s">
        <v>83</v>
      </c>
      <c r="C74" s="272">
        <f>'Exh JDT-5 (C&amp;I-RD)'!E46</f>
        <v>0.13758000000000001</v>
      </c>
      <c r="D74" s="272">
        <f>'Exh JDT-5 (C&amp;I-RD)'!$H$46</f>
        <v>0.1595</v>
      </c>
      <c r="E74" s="268">
        <v>13187913.90979786</v>
      </c>
      <c r="F74" s="293" t="s">
        <v>139</v>
      </c>
      <c r="G74" s="293" t="s">
        <v>139</v>
      </c>
      <c r="H74" s="293"/>
      <c r="I74" s="293"/>
      <c r="J74" s="253"/>
      <c r="K74" s="268">
        <v>13204762.568891775</v>
      </c>
      <c r="L74" s="293" t="s">
        <v>139</v>
      </c>
      <c r="M74" s="293" t="s">
        <v>139</v>
      </c>
      <c r="N74" s="293"/>
      <c r="O74" s="293"/>
      <c r="P74" s="253"/>
      <c r="Q74" s="268">
        <v>13073710.497013895</v>
      </c>
      <c r="R74" s="293" t="s">
        <v>139</v>
      </c>
      <c r="S74" s="293" t="s">
        <v>139</v>
      </c>
      <c r="T74" s="293"/>
      <c r="U74" s="480"/>
    </row>
    <row r="75" spans="2:21" x14ac:dyDescent="0.2">
      <c r="B75" s="292" t="s">
        <v>84</v>
      </c>
      <c r="C75" s="272">
        <f>'Exh JDT-5 (C&amp;I-RD)'!E47</f>
        <v>0.13758000000000001</v>
      </c>
      <c r="D75" s="272">
        <f>'Exh JDT-5 (C&amp;I-RD)'!$H$47</f>
        <v>0.1595</v>
      </c>
      <c r="E75" s="268">
        <v>29570821.950464178</v>
      </c>
      <c r="F75" s="293">
        <f>ROUND(E75*C75,2)</f>
        <v>4068353.68</v>
      </c>
      <c r="G75" s="293">
        <f>ROUND(E75*D75,2)</f>
        <v>4716546.0999999996</v>
      </c>
      <c r="H75" s="293"/>
      <c r="I75" s="293"/>
      <c r="J75" s="253"/>
      <c r="K75" s="268">
        <v>29590375.242762744</v>
      </c>
      <c r="L75" s="293">
        <f>ROUND(K75*C75,2)</f>
        <v>4071043.83</v>
      </c>
      <c r="M75" s="293">
        <f>ROUND(K75*D75,2)</f>
        <v>4719664.8499999996</v>
      </c>
      <c r="N75" s="293"/>
      <c r="O75" s="293"/>
      <c r="P75" s="253"/>
      <c r="Q75" s="268">
        <v>29284848.405770242</v>
      </c>
      <c r="R75" s="293">
        <f>ROUND(Q75*C75,2)</f>
        <v>4029009.44</v>
      </c>
      <c r="S75" s="293">
        <f>ROUND(Q75*D75,2)</f>
        <v>4670933.32</v>
      </c>
      <c r="T75" s="293"/>
      <c r="U75" s="480"/>
    </row>
    <row r="76" spans="2:21" x14ac:dyDescent="0.2">
      <c r="B76" s="292" t="s">
        <v>85</v>
      </c>
      <c r="C76" s="272">
        <f>'Exh JDT-5 (C&amp;I-RD)'!E48</f>
        <v>0.11074000000000001</v>
      </c>
      <c r="D76" s="272">
        <f>'Exh JDT-5 (C&amp;I-RD)'!$H$48</f>
        <v>0.12726999999999999</v>
      </c>
      <c r="E76" s="268">
        <v>24164149.139737964</v>
      </c>
      <c r="F76" s="293">
        <f>ROUND(E76*C76,2)</f>
        <v>2675937.88</v>
      </c>
      <c r="G76" s="293">
        <f>ROUND(E76*D76,2)</f>
        <v>3075371.26</v>
      </c>
      <c r="H76" s="293"/>
      <c r="I76" s="293"/>
      <c r="J76" s="253"/>
      <c r="K76" s="268">
        <v>24095403.188345484</v>
      </c>
      <c r="L76" s="293">
        <f>ROUND(K76*C76,2)</f>
        <v>2668324.9500000002</v>
      </c>
      <c r="M76" s="293">
        <f>ROUND(K76*D76,2)</f>
        <v>3066621.96</v>
      </c>
      <c r="N76" s="293"/>
      <c r="O76" s="293"/>
      <c r="P76" s="253"/>
      <c r="Q76" s="268">
        <v>23791475.097215861</v>
      </c>
      <c r="R76" s="293">
        <f>ROUND(Q76*C76,2)</f>
        <v>2634667.9500000002</v>
      </c>
      <c r="S76" s="293">
        <f>ROUND(Q76*D76,2)</f>
        <v>3027941.04</v>
      </c>
      <c r="T76" s="293"/>
      <c r="U76" s="480"/>
    </row>
    <row r="77" spans="2:21" x14ac:dyDescent="0.2">
      <c r="B77" s="266" t="s">
        <v>140</v>
      </c>
      <c r="C77" s="268"/>
      <c r="D77" s="268"/>
      <c r="E77" s="365">
        <f>SUM(E74:E76)</f>
        <v>66922885</v>
      </c>
      <c r="F77" s="268"/>
      <c r="G77" s="253"/>
      <c r="H77" s="253"/>
      <c r="I77" s="253"/>
      <c r="J77" s="253"/>
      <c r="K77" s="365">
        <f>SUM(K74:K76)</f>
        <v>66890541.000000007</v>
      </c>
      <c r="L77" s="253"/>
      <c r="M77" s="253"/>
      <c r="N77" s="253"/>
      <c r="O77" s="253"/>
      <c r="P77" s="253"/>
      <c r="Q77" s="365">
        <f>SUM(Q74:Q76)</f>
        <v>66150034</v>
      </c>
      <c r="R77" s="268"/>
      <c r="S77" s="253"/>
      <c r="T77" s="253"/>
      <c r="U77" s="480"/>
    </row>
    <row r="78" spans="2:21" x14ac:dyDescent="0.2">
      <c r="B78" s="266" t="s">
        <v>61</v>
      </c>
      <c r="C78" s="272">
        <f>'Exh JDT-5 (C&amp;I-RD)'!E50</f>
        <v>1.005E-2</v>
      </c>
      <c r="D78" s="272">
        <f>'Exh JDT-5 (C&amp;I-RD)'!$H$50</f>
        <v>1.1310000000000001E-2</v>
      </c>
      <c r="E78" s="268">
        <f>E77</f>
        <v>66922885</v>
      </c>
      <c r="F78" s="286">
        <f>ROUND(E78*C78,2)</f>
        <v>672574.99</v>
      </c>
      <c r="G78" s="415">
        <f>E78*D78</f>
        <v>756897.82935000001</v>
      </c>
      <c r="H78" s="296"/>
      <c r="I78" s="296"/>
      <c r="J78" s="253"/>
      <c r="K78" s="268">
        <f>K77</f>
        <v>66890541.000000007</v>
      </c>
      <c r="L78" s="286">
        <f>ROUND(K78*C78,2)</f>
        <v>672249.94</v>
      </c>
      <c r="M78" s="415">
        <f>K78*D78</f>
        <v>756532.01871000009</v>
      </c>
      <c r="N78" s="296"/>
      <c r="O78" s="296"/>
      <c r="P78" s="253"/>
      <c r="Q78" s="268">
        <f>Q77</f>
        <v>66150034</v>
      </c>
      <c r="R78" s="286">
        <f>ROUND(Q78*C78,2)</f>
        <v>664807.84</v>
      </c>
      <c r="S78" s="415">
        <f>Q78*D78</f>
        <v>748156.88454</v>
      </c>
      <c r="T78" s="296"/>
      <c r="U78" s="480"/>
    </row>
    <row r="79" spans="2:21" x14ac:dyDescent="0.2">
      <c r="B79" s="300" t="s">
        <v>175</v>
      </c>
      <c r="C79" s="301"/>
      <c r="D79" s="268"/>
      <c r="E79" s="253"/>
      <c r="F79" s="402">
        <f>SUM(F69:F78)</f>
        <v>16973188.529999997</v>
      </c>
      <c r="G79" s="402">
        <f>SUM(G69:G78)</f>
        <v>19567103.469349999</v>
      </c>
      <c r="H79" s="296"/>
      <c r="I79" s="296"/>
      <c r="J79" s="253"/>
      <c r="K79" s="253"/>
      <c r="L79" s="402">
        <f>SUM(L69:L78)</f>
        <v>16966517.380000003</v>
      </c>
      <c r="M79" s="402">
        <f>SUM(M69:M78)</f>
        <v>19559463.828709997</v>
      </c>
      <c r="N79" s="296"/>
      <c r="O79" s="296"/>
      <c r="P79" s="253"/>
      <c r="Q79" s="253"/>
      <c r="R79" s="402">
        <f>SUM(R69:R78)</f>
        <v>16875792.850000001</v>
      </c>
      <c r="S79" s="402">
        <f>SUM(S69:S78)</f>
        <v>19454912.084539998</v>
      </c>
      <c r="T79" s="296"/>
      <c r="U79" s="480"/>
    </row>
    <row r="80" spans="2:21" x14ac:dyDescent="0.2">
      <c r="B80" s="292" t="s">
        <v>176</v>
      </c>
      <c r="C80" s="253"/>
      <c r="D80" s="253"/>
      <c r="E80" s="253"/>
      <c r="F80" s="253"/>
      <c r="G80" s="293"/>
      <c r="H80" s="286">
        <f>H$64*E78</f>
        <v>613013.62659999996</v>
      </c>
      <c r="I80" s="286">
        <f>I$64*E78</f>
        <v>2543738.85885</v>
      </c>
      <c r="J80" s="253"/>
      <c r="K80" s="253"/>
      <c r="L80" s="253"/>
      <c r="M80" s="293"/>
      <c r="N80" s="286">
        <f>N$64*K78</f>
        <v>-147828.09561000002</v>
      </c>
      <c r="O80" s="286">
        <f>O$64*K78</f>
        <v>4179321.0016800007</v>
      </c>
      <c r="P80" s="253"/>
      <c r="Q80" s="253"/>
      <c r="R80" s="253"/>
      <c r="S80" s="293"/>
      <c r="T80" s="286">
        <f>T$64*Q78</f>
        <v>-656869.83762000001</v>
      </c>
      <c r="U80" s="485">
        <f>U$64*Q78</f>
        <v>5349553.2495799996</v>
      </c>
    </row>
    <row r="81" spans="2:21" x14ac:dyDescent="0.2">
      <c r="B81" s="300" t="str">
        <f>"Total "&amp;B67</f>
        <v>Total Schedule 41 - Sales</v>
      </c>
      <c r="C81" s="301"/>
      <c r="D81" s="253"/>
      <c r="E81" s="253"/>
      <c r="F81" s="253"/>
      <c r="G81" s="293"/>
      <c r="H81" s="293"/>
      <c r="I81" s="482">
        <f>G79+H80+I80</f>
        <v>22723855.954799999</v>
      </c>
      <c r="J81" s="253"/>
      <c r="K81" s="253"/>
      <c r="L81" s="253"/>
      <c r="M81" s="293"/>
      <c r="N81" s="293"/>
      <c r="O81" s="482">
        <f>M79+N80+O80</f>
        <v>23590956.734779999</v>
      </c>
      <c r="P81" s="253"/>
      <c r="Q81" s="253"/>
      <c r="R81" s="253"/>
      <c r="S81" s="293"/>
      <c r="T81" s="293"/>
      <c r="U81" s="493">
        <f>S79+T80+U80</f>
        <v>24147595.496499997</v>
      </c>
    </row>
    <row r="82" spans="2:21" x14ac:dyDescent="0.2">
      <c r="B82" s="284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492"/>
    </row>
    <row r="83" spans="2:21" x14ac:dyDescent="0.2">
      <c r="B83" s="289" t="s">
        <v>86</v>
      </c>
      <c r="C83" s="290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486"/>
    </row>
    <row r="84" spans="2:21" x14ac:dyDescent="0.2">
      <c r="B84" s="292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491"/>
    </row>
    <row r="85" spans="2:21" x14ac:dyDescent="0.2">
      <c r="B85" s="266" t="s">
        <v>59</v>
      </c>
      <c r="C85" s="269">
        <f>'Exh JDT-5 (C&amp;I-RD)'!E58</f>
        <v>422.79</v>
      </c>
      <c r="D85" s="269">
        <f>'Exh JDT-5 (C&amp;I-RD)'!$H$58</f>
        <v>422.79</v>
      </c>
      <c r="E85" s="268">
        <v>1032</v>
      </c>
      <c r="F85" s="293">
        <f>SUM(+E85*C85)</f>
        <v>436319.28</v>
      </c>
      <c r="G85" s="293">
        <f>SUM(+E85*D85)</f>
        <v>436319.28</v>
      </c>
      <c r="H85" s="293"/>
      <c r="I85" s="293"/>
      <c r="J85" s="253"/>
      <c r="K85" s="268">
        <v>1032</v>
      </c>
      <c r="L85" s="293">
        <f>SUM(+K85*C85)</f>
        <v>436319.28</v>
      </c>
      <c r="M85" s="293">
        <f>SUM(+K85*D85)</f>
        <v>436319.28</v>
      </c>
      <c r="N85" s="293"/>
      <c r="O85" s="293"/>
      <c r="P85" s="253"/>
      <c r="Q85" s="268">
        <v>1032</v>
      </c>
      <c r="R85" s="293">
        <f>SUM(+Q85*C85)</f>
        <v>436319.28</v>
      </c>
      <c r="S85" s="293">
        <f>SUM(+Q85*D85)</f>
        <v>436319.28</v>
      </c>
      <c r="T85" s="293"/>
      <c r="U85" s="480"/>
    </row>
    <row r="86" spans="2:21" x14ac:dyDescent="0.2">
      <c r="B86" s="292" t="s">
        <v>60</v>
      </c>
      <c r="C86" s="269">
        <f>'Exh JDT-5 (C&amp;I-RD)'!E59</f>
        <v>123.82</v>
      </c>
      <c r="D86" s="269">
        <f>'Exh JDT-5 (C&amp;I-RD)'!$H$59</f>
        <v>143.55000000000001</v>
      </c>
      <c r="E86" s="268">
        <f>E85</f>
        <v>1032</v>
      </c>
      <c r="F86" s="293">
        <f t="shared" ref="F86:F87" si="8">SUM(+E86*C86)</f>
        <v>127782.23999999999</v>
      </c>
      <c r="G86" s="293">
        <f>SUM(+E86*D86)</f>
        <v>148143.6</v>
      </c>
      <c r="H86" s="293"/>
      <c r="I86" s="293"/>
      <c r="J86" s="253"/>
      <c r="K86" s="268">
        <f>K85</f>
        <v>1032</v>
      </c>
      <c r="L86" s="293">
        <f>SUM(+K86*C86)</f>
        <v>127782.23999999999</v>
      </c>
      <c r="M86" s="293">
        <f>SUM(+K86*D86)</f>
        <v>148143.6</v>
      </c>
      <c r="N86" s="293"/>
      <c r="O86" s="293"/>
      <c r="P86" s="253"/>
      <c r="Q86" s="268">
        <f>Q85</f>
        <v>1032</v>
      </c>
      <c r="R86" s="293">
        <f t="shared" ref="R86:R87" si="9">SUM(+Q86*C86)</f>
        <v>127782.23999999999</v>
      </c>
      <c r="S86" s="293">
        <f>SUM(+Q86*D86)</f>
        <v>148143.6</v>
      </c>
      <c r="T86" s="293"/>
      <c r="U86" s="480"/>
    </row>
    <row r="87" spans="2:21" x14ac:dyDescent="0.2">
      <c r="B87" s="292" t="s">
        <v>136</v>
      </c>
      <c r="C87" s="269">
        <f>'Exh JDT-5 (C&amp;I-RD)'!E60</f>
        <v>1.25</v>
      </c>
      <c r="D87" s="269">
        <f>'Exh JDT-5 (C&amp;I-RD)'!$H$60</f>
        <v>1.44</v>
      </c>
      <c r="E87" s="268">
        <v>1092876</v>
      </c>
      <c r="F87" s="286">
        <f t="shared" si="8"/>
        <v>1366095</v>
      </c>
      <c r="G87" s="286">
        <f>SUM(+E87*D87)</f>
        <v>1573741.44</v>
      </c>
      <c r="H87" s="293"/>
      <c r="I87" s="293"/>
      <c r="J87" s="253"/>
      <c r="K87" s="268">
        <v>1092876</v>
      </c>
      <c r="L87" s="293">
        <f>SUM(+K87*C87)</f>
        <v>1366095</v>
      </c>
      <c r="M87" s="286">
        <f>SUM(+K87*D87)</f>
        <v>1573741.44</v>
      </c>
      <c r="N87" s="293"/>
      <c r="O87" s="293"/>
      <c r="P87" s="253"/>
      <c r="Q87" s="268">
        <v>1092876</v>
      </c>
      <c r="R87" s="293">
        <f t="shared" si="9"/>
        <v>1366095</v>
      </c>
      <c r="S87" s="286">
        <f>SUM(+Q87*D87)</f>
        <v>1573741.44</v>
      </c>
      <c r="T87" s="293"/>
      <c r="U87" s="480"/>
    </row>
    <row r="88" spans="2:21" x14ac:dyDescent="0.2">
      <c r="B88" s="292"/>
      <c r="C88" s="269"/>
      <c r="D88" s="269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480"/>
    </row>
    <row r="89" spans="2:21" x14ac:dyDescent="0.2">
      <c r="B89" s="292" t="s">
        <v>138</v>
      </c>
      <c r="C89" s="269"/>
      <c r="D89" s="269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480"/>
    </row>
    <row r="90" spans="2:21" x14ac:dyDescent="0.2">
      <c r="B90" s="292" t="s">
        <v>83</v>
      </c>
      <c r="C90" s="272">
        <f>'Exh JDT-5 (C&amp;I-RD)'!E63</f>
        <v>0.13758000000000001</v>
      </c>
      <c r="D90" s="272">
        <f>'Exh JDT-5 (C&amp;I-RD)'!$H$63</f>
        <v>0.1595</v>
      </c>
      <c r="E90" s="268">
        <v>1425917.3695433964</v>
      </c>
      <c r="F90" s="293" t="s">
        <v>139</v>
      </c>
      <c r="G90" s="293" t="s">
        <v>139</v>
      </c>
      <c r="H90" s="293"/>
      <c r="I90" s="293"/>
      <c r="J90" s="253"/>
      <c r="K90" s="268">
        <v>1491237.6656937972</v>
      </c>
      <c r="L90" s="293" t="s">
        <v>139</v>
      </c>
      <c r="M90" s="293" t="s">
        <v>139</v>
      </c>
      <c r="N90" s="293"/>
      <c r="O90" s="293"/>
      <c r="P90" s="253"/>
      <c r="Q90" s="268">
        <v>1546007.1007454586</v>
      </c>
      <c r="R90" s="293" t="s">
        <v>139</v>
      </c>
      <c r="S90" s="293" t="s">
        <v>139</v>
      </c>
      <c r="T90" s="293"/>
      <c r="U90" s="480"/>
    </row>
    <row r="91" spans="2:21" x14ac:dyDescent="0.2">
      <c r="B91" s="292" t="s">
        <v>84</v>
      </c>
      <c r="C91" s="272">
        <f>'Exh JDT-5 (C&amp;I-RD)'!E64</f>
        <v>0.13758000000000001</v>
      </c>
      <c r="D91" s="272">
        <f>'Exh JDT-5 (C&amp;I-RD)'!$H$64</f>
        <v>0.1595</v>
      </c>
      <c r="E91" s="268">
        <v>5201192.5123006459</v>
      </c>
      <c r="F91" s="293">
        <f>ROUND(E91*C91,2)</f>
        <v>715580.07</v>
      </c>
      <c r="G91" s="293">
        <f>ROUND(E91*D91,2)</f>
        <v>829590.21</v>
      </c>
      <c r="H91" s="293"/>
      <c r="I91" s="293"/>
      <c r="J91" s="253"/>
      <c r="K91" s="268">
        <v>5430456.225439975</v>
      </c>
      <c r="L91" s="293">
        <f>ROUND(K91*C91,2)</f>
        <v>747122.17</v>
      </c>
      <c r="M91" s="293">
        <f>ROUND(K91*D91,2)</f>
        <v>866157.77</v>
      </c>
      <c r="N91" s="293"/>
      <c r="O91" s="293"/>
      <c r="P91" s="253"/>
      <c r="Q91" s="268">
        <v>5621876.2179411519</v>
      </c>
      <c r="R91" s="293">
        <f>ROUND(Q91*C91,2)</f>
        <v>773457.73</v>
      </c>
      <c r="S91" s="293">
        <f>ROUND(Q91*D91,2)</f>
        <v>896689.26</v>
      </c>
      <c r="T91" s="293"/>
      <c r="U91" s="480"/>
    </row>
    <row r="92" spans="2:21" x14ac:dyDescent="0.2">
      <c r="B92" s="292" t="s">
        <v>85</v>
      </c>
      <c r="C92" s="272">
        <f>'Exh JDT-5 (C&amp;I-RD)'!E65</f>
        <v>0.11074000000000001</v>
      </c>
      <c r="D92" s="272">
        <f>'Exh JDT-5 (C&amp;I-RD)'!$H$65</f>
        <v>0.12726999999999999</v>
      </c>
      <c r="E92" s="268">
        <v>18837411.118155956</v>
      </c>
      <c r="F92" s="293">
        <f>ROUND(E92*C92,2)</f>
        <v>2086054.91</v>
      </c>
      <c r="G92" s="293">
        <f>ROUND(E92*D92,2)</f>
        <v>2397437.31</v>
      </c>
      <c r="H92" s="293"/>
      <c r="I92" s="293"/>
      <c r="J92" s="253"/>
      <c r="K92" s="268">
        <v>19588540.108866226</v>
      </c>
      <c r="L92" s="293">
        <f>ROUND(K92*C92,2)</f>
        <v>2169234.9300000002</v>
      </c>
      <c r="M92" s="293">
        <f>ROUND(K92*D92,2)</f>
        <v>2493033.5</v>
      </c>
      <c r="N92" s="293"/>
      <c r="O92" s="293"/>
      <c r="P92" s="253"/>
      <c r="Q92" s="268">
        <v>20208256.681313388</v>
      </c>
      <c r="R92" s="293">
        <f>ROUND(Q92*C92,2)</f>
        <v>2237862.34</v>
      </c>
      <c r="S92" s="293">
        <f>ROUND(Q92*D92,2)</f>
        <v>2571904.83</v>
      </c>
      <c r="T92" s="293"/>
      <c r="U92" s="480"/>
    </row>
    <row r="93" spans="2:21" x14ac:dyDescent="0.2">
      <c r="B93" s="266" t="s">
        <v>140</v>
      </c>
      <c r="C93" s="268"/>
      <c r="D93" s="268"/>
      <c r="E93" s="365">
        <f>SUM(E90:E92)</f>
        <v>25464521</v>
      </c>
      <c r="F93" s="268"/>
      <c r="G93" s="253"/>
      <c r="H93" s="253"/>
      <c r="I93" s="253"/>
      <c r="J93" s="253"/>
      <c r="K93" s="365">
        <f>SUM(K90:K92)</f>
        <v>26510234</v>
      </c>
      <c r="L93" s="253"/>
      <c r="M93" s="253"/>
      <c r="N93" s="253"/>
      <c r="O93" s="253"/>
      <c r="P93" s="253"/>
      <c r="Q93" s="365">
        <f>SUM(Q90:Q92)</f>
        <v>27376140</v>
      </c>
      <c r="R93" s="253"/>
      <c r="S93" s="253"/>
      <c r="T93" s="253"/>
      <c r="U93" s="480"/>
    </row>
    <row r="94" spans="2:21" x14ac:dyDescent="0.2">
      <c r="B94" s="266" t="s">
        <v>123</v>
      </c>
      <c r="C94" s="267"/>
      <c r="D94" s="268"/>
      <c r="E94" s="253"/>
      <c r="F94" s="402">
        <f>SUM(F85:F93)</f>
        <v>4731831.5</v>
      </c>
      <c r="G94" s="402">
        <f>SUM(G85:G93)</f>
        <v>5385231.8399999999</v>
      </c>
      <c r="H94" s="296"/>
      <c r="I94" s="296"/>
      <c r="J94" s="253"/>
      <c r="K94" s="253"/>
      <c r="L94" s="402">
        <f>SUM(L85:L93)</f>
        <v>4846553.62</v>
      </c>
      <c r="M94" s="402">
        <f>SUM(M85:M93)</f>
        <v>5517395.5899999999</v>
      </c>
      <c r="N94" s="296"/>
      <c r="O94" s="296"/>
      <c r="P94" s="253"/>
      <c r="Q94" s="253"/>
      <c r="R94" s="402">
        <f>SUM(R85:R93)</f>
        <v>4941516.59</v>
      </c>
      <c r="S94" s="402">
        <f>SUM(S85:S93)</f>
        <v>5626798.4100000001</v>
      </c>
      <c r="T94" s="296"/>
      <c r="U94" s="480"/>
    </row>
    <row r="95" spans="2:21" x14ac:dyDescent="0.2">
      <c r="B95" s="266"/>
      <c r="C95" s="267"/>
      <c r="D95" s="268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480"/>
    </row>
    <row r="96" spans="2:21" x14ac:dyDescent="0.2">
      <c r="B96" s="300" t="s">
        <v>175</v>
      </c>
      <c r="C96" s="301"/>
      <c r="D96" s="272"/>
      <c r="E96" s="253"/>
      <c r="F96" s="402">
        <f>F94</f>
        <v>4731831.5</v>
      </c>
      <c r="G96" s="402">
        <f>G94</f>
        <v>5385231.8399999999</v>
      </c>
      <c r="H96" s="296"/>
      <c r="I96" s="296"/>
      <c r="J96" s="253"/>
      <c r="K96" s="253"/>
      <c r="L96" s="402">
        <f>L94</f>
        <v>4846553.62</v>
      </c>
      <c r="M96" s="402">
        <f>M94</f>
        <v>5517395.5899999999</v>
      </c>
      <c r="N96" s="296"/>
      <c r="O96" s="296"/>
      <c r="P96" s="253"/>
      <c r="Q96" s="253"/>
      <c r="R96" s="402">
        <f>R94</f>
        <v>4941516.59</v>
      </c>
      <c r="S96" s="402">
        <f>S94</f>
        <v>5626798.4100000001</v>
      </c>
      <c r="T96" s="296"/>
      <c r="U96" s="480"/>
    </row>
    <row r="97" spans="2:21" x14ac:dyDescent="0.2">
      <c r="B97" s="292" t="s">
        <v>176</v>
      </c>
      <c r="C97" s="253"/>
      <c r="D97" s="253"/>
      <c r="E97" s="253"/>
      <c r="F97" s="253"/>
      <c r="G97" s="293"/>
      <c r="H97" s="286">
        <f>H$64*E93</f>
        <v>233255.01235999999</v>
      </c>
      <c r="I97" s="286">
        <f>I$64*E93</f>
        <v>967906.44321000006</v>
      </c>
      <c r="J97" s="253"/>
      <c r="K97" s="253"/>
      <c r="L97" s="253"/>
      <c r="M97" s="293"/>
      <c r="N97" s="286">
        <f>N$64*K93</f>
        <v>-58587.617140000002</v>
      </c>
      <c r="O97" s="286">
        <f>O$64*K93</f>
        <v>1656359.42032</v>
      </c>
      <c r="P97" s="253"/>
      <c r="Q97" s="253"/>
      <c r="R97" s="253"/>
      <c r="S97" s="293"/>
      <c r="T97" s="286">
        <f>T$64*Q93</f>
        <v>-271845.07020000002</v>
      </c>
      <c r="U97" s="286">
        <f>U$64*Q93</f>
        <v>2213908.4418000001</v>
      </c>
    </row>
    <row r="98" spans="2:21" x14ac:dyDescent="0.2">
      <c r="B98" s="300" t="str">
        <f>"Total "&amp;B83</f>
        <v>Total Schedule 41 - Transportation</v>
      </c>
      <c r="C98" s="301"/>
      <c r="D98" s="253"/>
      <c r="E98" s="253"/>
      <c r="F98" s="253"/>
      <c r="G98" s="293"/>
      <c r="H98" s="293"/>
      <c r="I98" s="482">
        <f>G96+H97+I97</f>
        <v>6586393.2955700001</v>
      </c>
      <c r="J98" s="253"/>
      <c r="K98" s="253"/>
      <c r="L98" s="253"/>
      <c r="M98" s="293"/>
      <c r="N98" s="293"/>
      <c r="O98" s="482">
        <f>M96+N97+O97</f>
        <v>7115167.3931799997</v>
      </c>
      <c r="P98" s="253"/>
      <c r="Q98" s="253"/>
      <c r="R98" s="253"/>
      <c r="S98" s="293"/>
      <c r="T98" s="293"/>
      <c r="U98" s="493">
        <f>S96+T97+U97</f>
        <v>7568861.7816000003</v>
      </c>
    </row>
    <row r="99" spans="2:21" x14ac:dyDescent="0.2">
      <c r="B99" s="284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492"/>
    </row>
    <row r="100" spans="2:21" x14ac:dyDescent="0.2">
      <c r="B100" s="494"/>
      <c r="C100" s="494"/>
      <c r="D100" s="230"/>
      <c r="E100" s="230"/>
      <c r="F100" s="230"/>
      <c r="G100" s="441"/>
      <c r="H100" s="441"/>
      <c r="I100" s="441"/>
      <c r="J100" s="269"/>
      <c r="K100" s="230"/>
      <c r="L100" s="230"/>
      <c r="M100" s="441"/>
      <c r="N100" s="441"/>
      <c r="O100" s="441"/>
      <c r="P100" s="269"/>
      <c r="Q100" s="230"/>
      <c r="R100" s="230"/>
      <c r="S100" s="441"/>
      <c r="T100" s="441"/>
      <c r="U100" s="441"/>
    </row>
    <row r="101" spans="2:21" x14ac:dyDescent="0.2">
      <c r="B101" s="467" t="s">
        <v>179</v>
      </c>
      <c r="C101" s="468"/>
      <c r="D101" s="469"/>
      <c r="E101" s="365">
        <f>E109+E131</f>
        <v>73912158</v>
      </c>
      <c r="F101" s="365"/>
      <c r="G101" s="351"/>
      <c r="H101" s="351">
        <f>'Exh JDT-5 (Rate Spread)'!I62</f>
        <v>422541.14498160122</v>
      </c>
      <c r="I101" s="351">
        <f>'Exh JDT-5 (Rate Spread)'!I73</f>
        <v>1752453.8197521563</v>
      </c>
      <c r="J101" s="470"/>
      <c r="K101" s="365">
        <f>K109+K131</f>
        <v>73034304</v>
      </c>
      <c r="L101" s="365"/>
      <c r="M101" s="470"/>
      <c r="N101" s="351">
        <f>'Exh JDT-5 (Rate Spread)'!I66</f>
        <v>-102916.82536310327</v>
      </c>
      <c r="O101" s="351">
        <f>'Exh JDT-5 (Rate Spread)'!I74</f>
        <v>2912293.8740167231</v>
      </c>
      <c r="P101" s="470"/>
      <c r="Q101" s="365">
        <f>Q109+Q131</f>
        <v>71793070</v>
      </c>
      <c r="R101" s="365"/>
      <c r="S101" s="471"/>
      <c r="T101" s="351">
        <f>'Exh JDT-5 (Rate Spread)'!I70</f>
        <v>-463319.66585196782</v>
      </c>
      <c r="U101" s="472">
        <f>'Exh JDT-5 (Rate Spread)'!I75</f>
        <v>3774268.9949050443</v>
      </c>
    </row>
    <row r="102" spans="2:21" x14ac:dyDescent="0.2">
      <c r="B102" s="292"/>
      <c r="C102" s="253"/>
      <c r="D102" s="253"/>
      <c r="E102" s="253"/>
      <c r="F102" s="253"/>
      <c r="G102" s="410" t="s">
        <v>174</v>
      </c>
      <c r="H102" s="272">
        <f>ROUND(H101/E101, 5)</f>
        <v>5.7200000000000003E-3</v>
      </c>
      <c r="I102" s="272">
        <f>ROUND(I101/E101, 5)</f>
        <v>2.3709999999999998E-2</v>
      </c>
      <c r="J102" s="269"/>
      <c r="K102" s="253"/>
      <c r="L102" s="253"/>
      <c r="M102" s="269"/>
      <c r="N102" s="272">
        <f>ROUND(N101/K101, 5)</f>
        <v>-1.41E-3</v>
      </c>
      <c r="O102" s="272">
        <f>ROUND(O101/K101, 5)</f>
        <v>3.9879999999999999E-2</v>
      </c>
      <c r="P102" s="269"/>
      <c r="Q102" s="253"/>
      <c r="R102" s="253"/>
      <c r="S102" s="269"/>
      <c r="T102" s="272">
        <f>ROUND(T101/Q101, 5)</f>
        <v>-6.45E-3</v>
      </c>
      <c r="U102" s="473">
        <f>ROUND(U101/Q101, 5)</f>
        <v>5.2569999999999999E-2</v>
      </c>
    </row>
    <row r="103" spans="2:21" x14ac:dyDescent="0.2">
      <c r="B103" s="284"/>
      <c r="C103" s="285"/>
      <c r="D103" s="285"/>
      <c r="E103" s="474" t="s">
        <v>122</v>
      </c>
      <c r="F103" s="286">
        <f>F116+F133</f>
        <v>7448585.0592142921</v>
      </c>
      <c r="G103" s="286">
        <f>G116+G133</f>
        <v>8762350.4559933152</v>
      </c>
      <c r="H103" s="475"/>
      <c r="I103" s="475"/>
      <c r="J103" s="408"/>
      <c r="K103" s="474" t="s">
        <v>122</v>
      </c>
      <c r="L103" s="286">
        <f>L116+L133</f>
        <v>7380545.0838783914</v>
      </c>
      <c r="M103" s="286">
        <f>M116+M133</f>
        <v>8680538.1296917796</v>
      </c>
      <c r="N103" s="475"/>
      <c r="O103" s="475"/>
      <c r="P103" s="408"/>
      <c r="Q103" s="474" t="s">
        <v>122</v>
      </c>
      <c r="R103" s="286">
        <f>R116+R133</f>
        <v>7284887.8111084532</v>
      </c>
      <c r="S103" s="286">
        <f>S116+S133</f>
        <v>8565527.3192039095</v>
      </c>
      <c r="T103" s="475"/>
      <c r="U103" s="485"/>
    </row>
    <row r="104" spans="2:21" x14ac:dyDescent="0.2">
      <c r="B104" s="489"/>
      <c r="C104" s="490"/>
      <c r="D104" s="490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486"/>
    </row>
    <row r="105" spans="2:21" x14ac:dyDescent="0.2">
      <c r="B105" s="289" t="s">
        <v>88</v>
      </c>
      <c r="C105" s="290"/>
      <c r="D105" s="495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486"/>
    </row>
    <row r="106" spans="2:21" x14ac:dyDescent="0.2">
      <c r="B106" s="292"/>
      <c r="C106" s="253"/>
      <c r="D106" s="272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491"/>
    </row>
    <row r="107" spans="2:21" x14ac:dyDescent="0.2">
      <c r="B107" s="266" t="s">
        <v>59</v>
      </c>
      <c r="C107" s="269">
        <f>'Exh JDT-5 (INTRPL-RD)'!E12</f>
        <v>595.08000000000004</v>
      </c>
      <c r="D107" s="269">
        <f>'Exh JDT-5 (INTRPL-RD)'!$H$12</f>
        <v>701.68</v>
      </c>
      <c r="E107" s="268">
        <v>396</v>
      </c>
      <c r="F107" s="293">
        <f>SUM(+E107*C107)</f>
        <v>235651.68000000002</v>
      </c>
      <c r="G107" s="293">
        <f>SUM(+E107*D107)</f>
        <v>277865.27999999997</v>
      </c>
      <c r="H107" s="293"/>
      <c r="I107" s="293"/>
      <c r="J107" s="253"/>
      <c r="K107" s="268">
        <v>396</v>
      </c>
      <c r="L107" s="293">
        <f>SUM(+K107*C107)</f>
        <v>235651.68000000002</v>
      </c>
      <c r="M107" s="293">
        <f>SUM(+K107*D107)</f>
        <v>277865.27999999997</v>
      </c>
      <c r="N107" s="293"/>
      <c r="O107" s="293"/>
      <c r="P107" s="253"/>
      <c r="Q107" s="293">
        <v>396</v>
      </c>
      <c r="R107" s="293">
        <f>SUM(+Q107*C107)</f>
        <v>235651.68000000002</v>
      </c>
      <c r="S107" s="293">
        <f>SUM(+Q107*D107)</f>
        <v>277865.27999999997</v>
      </c>
      <c r="T107" s="293"/>
      <c r="U107" s="480"/>
    </row>
    <row r="108" spans="2:21" x14ac:dyDescent="0.2">
      <c r="B108" s="292" t="s">
        <v>136</v>
      </c>
      <c r="C108" s="269">
        <f>'Exh JDT-5 (INTRPL-RD)'!E13</f>
        <v>1.3</v>
      </c>
      <c r="D108" s="269">
        <f>'Exh JDT-5 (INTRPL-RD)'!$H$13</f>
        <v>1.53</v>
      </c>
      <c r="E108" s="268">
        <v>94536</v>
      </c>
      <c r="F108" s="293">
        <f t="shared" ref="F108:F109" si="10">SUM(+E108*C108)</f>
        <v>122896.8</v>
      </c>
      <c r="G108" s="293">
        <f>SUM(+E108*D108)</f>
        <v>144640.08000000002</v>
      </c>
      <c r="H108" s="293"/>
      <c r="I108" s="293"/>
      <c r="J108" s="253"/>
      <c r="K108" s="268">
        <v>94536</v>
      </c>
      <c r="L108" s="293">
        <f t="shared" ref="L108:L109" si="11">SUM(+K108*C108)</f>
        <v>122896.8</v>
      </c>
      <c r="M108" s="293">
        <f>SUM(+K108*D108)</f>
        <v>144640.08000000002</v>
      </c>
      <c r="N108" s="293"/>
      <c r="O108" s="293"/>
      <c r="P108" s="253"/>
      <c r="Q108" s="293">
        <v>94536</v>
      </c>
      <c r="R108" s="293">
        <f t="shared" ref="R108:R109" si="12">SUM(+Q108*C108)</f>
        <v>122896.8</v>
      </c>
      <c r="S108" s="293">
        <f>SUM(+Q108*D108)</f>
        <v>144640.08000000002</v>
      </c>
      <c r="T108" s="293"/>
      <c r="U108" s="480"/>
    </row>
    <row r="109" spans="2:21" x14ac:dyDescent="0.2">
      <c r="B109" s="292" t="s">
        <v>61</v>
      </c>
      <c r="C109" s="272">
        <f>'Exh JDT-5 (INTRPL-RD)'!E14</f>
        <v>7.0499999999999998E-3</v>
      </c>
      <c r="D109" s="272">
        <f>'Exh JDT-5 (INTRPL-RD)'!$H$14</f>
        <v>8.3099999999999997E-3</v>
      </c>
      <c r="E109" s="268">
        <f>E116</f>
        <v>11124640</v>
      </c>
      <c r="F109" s="293">
        <f t="shared" si="10"/>
        <v>78428.712</v>
      </c>
      <c r="G109" s="293">
        <f>SUM(+E109*D109)</f>
        <v>92445.758399999992</v>
      </c>
      <c r="H109" s="293"/>
      <c r="I109" s="293"/>
      <c r="J109" s="253"/>
      <c r="K109" s="268">
        <f>K116</f>
        <v>10745378</v>
      </c>
      <c r="L109" s="293">
        <f t="shared" si="11"/>
        <v>75754.914900000003</v>
      </c>
      <c r="M109" s="293">
        <f>SUM(+K109*D109)</f>
        <v>89294.091180000003</v>
      </c>
      <c r="N109" s="293"/>
      <c r="O109" s="293"/>
      <c r="P109" s="253"/>
      <c r="Q109" s="293">
        <f>Q116</f>
        <v>10248047</v>
      </c>
      <c r="R109" s="293">
        <f t="shared" si="12"/>
        <v>72248.731350000002</v>
      </c>
      <c r="S109" s="293">
        <f>SUM(+Q109*D109)</f>
        <v>85161.270569999993</v>
      </c>
      <c r="T109" s="293"/>
      <c r="U109" s="480"/>
    </row>
    <row r="110" spans="2:21" x14ac:dyDescent="0.2">
      <c r="B110" s="292" t="s">
        <v>147</v>
      </c>
      <c r="C110" s="272"/>
      <c r="D110" s="272"/>
      <c r="E110" s="268"/>
      <c r="F110" s="268">
        <f>'Exh JDT-5 (INTRPL-RD)'!F15</f>
        <v>9677.49</v>
      </c>
      <c r="G110" s="293">
        <v>9677.49</v>
      </c>
      <c r="H110" s="293"/>
      <c r="I110" s="293"/>
      <c r="J110" s="253"/>
      <c r="K110" s="268"/>
      <c r="L110" s="268">
        <f>F110</f>
        <v>9677.49</v>
      </c>
      <c r="M110" s="293">
        <v>9677.49</v>
      </c>
      <c r="N110" s="293"/>
      <c r="O110" s="293"/>
      <c r="P110" s="253"/>
      <c r="Q110" s="293"/>
      <c r="R110" s="293">
        <f>F110</f>
        <v>9677.49</v>
      </c>
      <c r="S110" s="293">
        <v>9677.49</v>
      </c>
      <c r="T110" s="293"/>
      <c r="U110" s="480"/>
    </row>
    <row r="111" spans="2:21" x14ac:dyDescent="0.2">
      <c r="B111" s="292"/>
      <c r="C111" s="272"/>
      <c r="D111" s="272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491"/>
    </row>
    <row r="112" spans="2:21" x14ac:dyDescent="0.2">
      <c r="B112" s="292" t="s">
        <v>138</v>
      </c>
      <c r="C112" s="272"/>
      <c r="D112" s="272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491"/>
    </row>
    <row r="113" spans="2:21" x14ac:dyDescent="0.2">
      <c r="B113" s="292" t="s">
        <v>89</v>
      </c>
      <c r="C113" s="272">
        <f>'Exh JDT-5 (INTRPL-RD)'!E18</f>
        <v>0.1084</v>
      </c>
      <c r="D113" s="272">
        <f>'Exh JDT-5 (INTRPL-RD)'!$H$18</f>
        <v>0.13239000000000001</v>
      </c>
      <c r="E113" s="268">
        <v>4674926.706264955</v>
      </c>
      <c r="F113" s="268">
        <f>SUM(+E113*C113)</f>
        <v>506762.0549591211</v>
      </c>
      <c r="G113" s="293">
        <f>SUM(+E113*D113)</f>
        <v>618913.54664241744</v>
      </c>
      <c r="H113" s="293"/>
      <c r="I113" s="293"/>
      <c r="J113" s="253"/>
      <c r="K113" s="268">
        <v>4513873.5650214646</v>
      </c>
      <c r="L113" s="293">
        <f t="shared" ref="L113:L115" si="13">SUM(+K113*C113)</f>
        <v>489303.89444832673</v>
      </c>
      <c r="M113" s="293">
        <f>SUM(+K113*D113)</f>
        <v>597591.72127319174</v>
      </c>
      <c r="N113" s="293"/>
      <c r="O113" s="293"/>
      <c r="P113" s="253"/>
      <c r="Q113" s="293">
        <v>4302737.925959575</v>
      </c>
      <c r="R113" s="293">
        <f t="shared" ref="R113:R114" si="14">SUM(+Q113*C113)</f>
        <v>466416.79117401794</v>
      </c>
      <c r="S113" s="293">
        <f>SUM(+Q113*D113)</f>
        <v>569639.47401778819</v>
      </c>
      <c r="T113" s="293"/>
      <c r="U113" s="480"/>
    </row>
    <row r="114" spans="2:21" x14ac:dyDescent="0.2">
      <c r="B114" s="292" t="s">
        <v>90</v>
      </c>
      <c r="C114" s="272">
        <f>'Exh JDT-5 (INTRPL-RD)'!E19</f>
        <v>5.3650000000000003E-2</v>
      </c>
      <c r="D114" s="272">
        <f>'Exh JDT-5 (INTRPL-RD)'!$H$19</f>
        <v>6.3259999999999997E-2</v>
      </c>
      <c r="E114" s="268">
        <v>2569738.4472592678</v>
      </c>
      <c r="F114" s="268">
        <f t="shared" ref="F114:F115" si="15">SUM(+E114*C114)</f>
        <v>137866.46769545972</v>
      </c>
      <c r="G114" s="293">
        <f>SUM(+E114*D114)</f>
        <v>162561.65417362127</v>
      </c>
      <c r="H114" s="293"/>
      <c r="I114" s="293"/>
      <c r="J114" s="253"/>
      <c r="K114" s="268">
        <v>2478939.5524124894</v>
      </c>
      <c r="L114" s="293">
        <f t="shared" si="13"/>
        <v>132995.10698693007</v>
      </c>
      <c r="M114" s="293">
        <f>SUM(+K114*D114)</f>
        <v>156817.71608561408</v>
      </c>
      <c r="N114" s="293"/>
      <c r="O114" s="293"/>
      <c r="P114" s="253"/>
      <c r="Q114" s="293">
        <v>2359979.2802025415</v>
      </c>
      <c r="R114" s="293">
        <f t="shared" si="14"/>
        <v>126612.88838286635</v>
      </c>
      <c r="S114" s="293">
        <f>SUM(+Q114*D114)</f>
        <v>149292.28926561278</v>
      </c>
      <c r="T114" s="293"/>
      <c r="U114" s="480"/>
    </row>
    <row r="115" spans="2:21" x14ac:dyDescent="0.2">
      <c r="B115" s="292" t="s">
        <v>91</v>
      </c>
      <c r="C115" s="272">
        <f>'Exh JDT-5 (INTRPL-RD)'!E20</f>
        <v>5.1319999999999998E-2</v>
      </c>
      <c r="D115" s="272">
        <f>'Exh JDT-5 (INTRPL-RD)'!$H$20</f>
        <v>6.0510000000000001E-2</v>
      </c>
      <c r="E115" s="268">
        <v>3879974.8464757777</v>
      </c>
      <c r="F115" s="268">
        <f t="shared" si="15"/>
        <v>199120.3091211369</v>
      </c>
      <c r="G115" s="293">
        <f>SUM(+E115*D115)</f>
        <v>234777.27796024931</v>
      </c>
      <c r="H115" s="293"/>
      <c r="I115" s="293"/>
      <c r="J115" s="253"/>
      <c r="K115" s="268">
        <v>3752564.882566046</v>
      </c>
      <c r="L115" s="293">
        <f t="shared" si="13"/>
        <v>192581.62977328946</v>
      </c>
      <c r="M115" s="293">
        <f>SUM(+K115*D115)</f>
        <v>227067.70104407144</v>
      </c>
      <c r="N115" s="293"/>
      <c r="O115" s="293"/>
      <c r="P115" s="253"/>
      <c r="Q115" s="293">
        <v>3585329.793837884</v>
      </c>
      <c r="R115" s="286">
        <f>SUM(+Q115*C115)</f>
        <v>183999.12501976019</v>
      </c>
      <c r="S115" s="286">
        <f>SUM(+Q115*D115)</f>
        <v>216948.30582513037</v>
      </c>
      <c r="T115" s="293"/>
      <c r="U115" s="480"/>
    </row>
    <row r="116" spans="2:21" x14ac:dyDescent="0.2">
      <c r="B116" s="300" t="s">
        <v>175</v>
      </c>
      <c r="C116" s="301"/>
      <c r="D116" s="269"/>
      <c r="E116" s="365">
        <f>SUM(E113:E115)</f>
        <v>11124640</v>
      </c>
      <c r="F116" s="402">
        <f>SUM(F107:F115)</f>
        <v>1290403.5137757179</v>
      </c>
      <c r="G116" s="402">
        <f>SUM(G107:G115)</f>
        <v>1540881.0871762878</v>
      </c>
      <c r="H116" s="296"/>
      <c r="I116" s="296"/>
      <c r="J116" s="253"/>
      <c r="K116" s="365">
        <f>SUM(K113:K115)</f>
        <v>10745378</v>
      </c>
      <c r="L116" s="402">
        <f>SUM(L107:L115)</f>
        <v>1258861.5161085464</v>
      </c>
      <c r="M116" s="402">
        <f>SUM(M107:M115)</f>
        <v>1502954.0795828775</v>
      </c>
      <c r="N116" s="296"/>
      <c r="O116" s="296"/>
      <c r="P116" s="253"/>
      <c r="Q116" s="402">
        <f>SUM(Q113:Q115)</f>
        <v>10248047</v>
      </c>
      <c r="R116" s="296">
        <f>SUM(R107:R115)</f>
        <v>1217503.5059266447</v>
      </c>
      <c r="S116" s="296">
        <f>SUM(S107:S115)</f>
        <v>1453224.1896785314</v>
      </c>
      <c r="T116" s="296"/>
      <c r="U116" s="480"/>
    </row>
    <row r="117" spans="2:21" x14ac:dyDescent="0.2">
      <c r="B117" s="292" t="s">
        <v>176</v>
      </c>
      <c r="C117" s="253"/>
      <c r="D117" s="269"/>
      <c r="E117" s="268"/>
      <c r="F117" s="268"/>
      <c r="G117" s="296"/>
      <c r="H117" s="286">
        <f>H$102*E116</f>
        <v>63632.940800000004</v>
      </c>
      <c r="I117" s="286">
        <f>I$102*E116</f>
        <v>263765.2144</v>
      </c>
      <c r="J117" s="253"/>
      <c r="K117" s="268"/>
      <c r="L117" s="268"/>
      <c r="M117" s="296"/>
      <c r="N117" s="286">
        <f>N$102*K116</f>
        <v>-15150.982980000001</v>
      </c>
      <c r="O117" s="286">
        <f>O$102*K116</f>
        <v>428525.67463999998</v>
      </c>
      <c r="P117" s="253"/>
      <c r="Q117" s="296"/>
      <c r="R117" s="296"/>
      <c r="S117" s="296"/>
      <c r="T117" s="286">
        <f>T$102*Q116</f>
        <v>-66099.903149999998</v>
      </c>
      <c r="U117" s="485">
        <f>U$102*Q116</f>
        <v>538739.83079000004</v>
      </c>
    </row>
    <row r="118" spans="2:21" x14ac:dyDescent="0.2">
      <c r="B118" s="300" t="str">
        <f>"Total "&amp;B105</f>
        <v>Total Schedule 85 - Sales</v>
      </c>
      <c r="C118" s="301"/>
      <c r="D118" s="269"/>
      <c r="E118" s="268"/>
      <c r="F118" s="268"/>
      <c r="G118" s="296"/>
      <c r="H118" s="293"/>
      <c r="I118" s="482">
        <f>G116+H117+I117</f>
        <v>1868279.2423762877</v>
      </c>
      <c r="J118" s="253"/>
      <c r="K118" s="268"/>
      <c r="L118" s="268"/>
      <c r="M118" s="296"/>
      <c r="N118" s="293"/>
      <c r="O118" s="482">
        <f>M116+N117+O117</f>
        <v>1916328.7712428775</v>
      </c>
      <c r="P118" s="253"/>
      <c r="Q118" s="296"/>
      <c r="R118" s="296"/>
      <c r="S118" s="296"/>
      <c r="T118" s="293"/>
      <c r="U118" s="483">
        <f>S116+T117+U117</f>
        <v>1925864.1173185315</v>
      </c>
    </row>
    <row r="119" spans="2:21" x14ac:dyDescent="0.2">
      <c r="B119" s="284"/>
      <c r="C119" s="285"/>
      <c r="D119" s="417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492"/>
    </row>
    <row r="120" spans="2:21" x14ac:dyDescent="0.2">
      <c r="B120" s="253"/>
      <c r="C120" s="253"/>
      <c r="D120" s="272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</row>
    <row r="121" spans="2:21" x14ac:dyDescent="0.2">
      <c r="B121" s="289" t="s">
        <v>92</v>
      </c>
      <c r="C121" s="290"/>
      <c r="D121" s="495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486"/>
    </row>
    <row r="122" spans="2:21" x14ac:dyDescent="0.2">
      <c r="B122" s="292"/>
      <c r="C122" s="253"/>
      <c r="D122" s="272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491"/>
    </row>
    <row r="123" spans="2:21" x14ac:dyDescent="0.2">
      <c r="B123" s="266" t="s">
        <v>59</v>
      </c>
      <c r="C123" s="269">
        <f>'Exh JDT-5 (INTRPL-RD)'!E28</f>
        <v>903.09</v>
      </c>
      <c r="D123" s="269">
        <f>'Exh JDT-5 (INTRPL-RD)'!$H$28</f>
        <v>903.09</v>
      </c>
      <c r="E123" s="268">
        <v>876</v>
      </c>
      <c r="F123" s="293">
        <f>SUM(+E123*C123)</f>
        <v>791106.84000000008</v>
      </c>
      <c r="G123" s="293">
        <f>SUM(+E123*D123)</f>
        <v>791106.84000000008</v>
      </c>
      <c r="H123" s="293"/>
      <c r="I123" s="293"/>
      <c r="J123" s="253"/>
      <c r="K123" s="268">
        <v>876</v>
      </c>
      <c r="L123" s="293">
        <f>SUM(+K123*C123)</f>
        <v>791106.84000000008</v>
      </c>
      <c r="M123" s="293">
        <f>SUM(+K123*D123)</f>
        <v>791106.84000000008</v>
      </c>
      <c r="N123" s="293"/>
      <c r="O123" s="293"/>
      <c r="P123" s="253"/>
      <c r="Q123" s="268">
        <v>876</v>
      </c>
      <c r="R123" s="293">
        <f>SUM(+Q123*C123)</f>
        <v>791106.84000000008</v>
      </c>
      <c r="S123" s="293">
        <f>SUM(+Q123*D123)</f>
        <v>791106.84000000008</v>
      </c>
      <c r="T123" s="293"/>
      <c r="U123" s="480"/>
    </row>
    <row r="124" spans="2:21" x14ac:dyDescent="0.2">
      <c r="B124" s="292" t="s">
        <v>136</v>
      </c>
      <c r="C124" s="269">
        <f>'Exh JDT-5 (INTRPL-RD)'!E29</f>
        <v>1.3</v>
      </c>
      <c r="D124" s="269">
        <f>'Exh JDT-5 (INTRPL-RD)'!$H$29</f>
        <v>1.53</v>
      </c>
      <c r="E124" s="268">
        <v>650832</v>
      </c>
      <c r="F124" s="293">
        <f>SUM(+E124*C124)</f>
        <v>846081.6</v>
      </c>
      <c r="G124" s="293">
        <f>SUM(+E124*D124)</f>
        <v>995772.96</v>
      </c>
      <c r="H124" s="293"/>
      <c r="I124" s="293"/>
      <c r="J124" s="253"/>
      <c r="K124" s="268">
        <v>650832</v>
      </c>
      <c r="L124" s="293">
        <f>SUM(+K124*C124)</f>
        <v>846081.6</v>
      </c>
      <c r="M124" s="293">
        <f>SUM(+K124*D124)</f>
        <v>995772.96</v>
      </c>
      <c r="N124" s="293"/>
      <c r="O124" s="293"/>
      <c r="P124" s="253"/>
      <c r="Q124" s="268">
        <v>650832</v>
      </c>
      <c r="R124" s="293">
        <f>SUM(+Q124*C124)</f>
        <v>846081.6</v>
      </c>
      <c r="S124" s="293">
        <f>SUM(+Q124*D124)</f>
        <v>995772.96</v>
      </c>
      <c r="T124" s="293"/>
      <c r="U124" s="480"/>
    </row>
    <row r="125" spans="2:21" x14ac:dyDescent="0.2">
      <c r="B125" s="292" t="s">
        <v>147</v>
      </c>
      <c r="C125" s="253"/>
      <c r="D125" s="269"/>
      <c r="E125" s="268"/>
      <c r="F125" s="293">
        <f>G125</f>
        <v>-10601.630000000003</v>
      </c>
      <c r="G125" s="293">
        <v>-10601.630000000003</v>
      </c>
      <c r="H125" s="293"/>
      <c r="I125" s="293"/>
      <c r="J125" s="253"/>
      <c r="K125" s="268"/>
      <c r="L125" s="293">
        <f>M125</f>
        <v>-10601.630000000003</v>
      </c>
      <c r="M125" s="293">
        <v>-10601.630000000003</v>
      </c>
      <c r="N125" s="293"/>
      <c r="O125" s="293"/>
      <c r="P125" s="253"/>
      <c r="Q125" s="268"/>
      <c r="R125" s="293">
        <f>S125</f>
        <v>-10601.630000000003</v>
      </c>
      <c r="S125" s="293">
        <v>-10601.630000000003</v>
      </c>
      <c r="T125" s="293"/>
      <c r="U125" s="480"/>
    </row>
    <row r="126" spans="2:21" x14ac:dyDescent="0.2">
      <c r="B126" s="292"/>
      <c r="C126" s="253"/>
      <c r="D126" s="269"/>
      <c r="E126" s="268"/>
      <c r="F126" s="268"/>
      <c r="G126" s="293"/>
      <c r="H126" s="293"/>
      <c r="I126" s="293"/>
      <c r="J126" s="253"/>
      <c r="K126" s="268"/>
      <c r="L126" s="268"/>
      <c r="M126" s="293"/>
      <c r="N126" s="293"/>
      <c r="O126" s="293"/>
      <c r="P126" s="253"/>
      <c r="Q126" s="268"/>
      <c r="R126" s="268"/>
      <c r="S126" s="293"/>
      <c r="T126" s="293"/>
      <c r="U126" s="480"/>
    </row>
    <row r="127" spans="2:21" x14ac:dyDescent="0.2">
      <c r="B127" s="292" t="s">
        <v>138</v>
      </c>
      <c r="C127" s="253"/>
      <c r="D127" s="269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491"/>
    </row>
    <row r="128" spans="2:21" x14ac:dyDescent="0.2">
      <c r="B128" s="292" t="s">
        <v>89</v>
      </c>
      <c r="C128" s="272">
        <f>'Exh JDT-5 (INTRPL-RD)'!E33</f>
        <v>0.1084</v>
      </c>
      <c r="D128" s="272">
        <f>'Exh JDT-5 (INTRPL-RD)'!$H$33</f>
        <v>0.13239000000000001</v>
      </c>
      <c r="E128" s="268">
        <v>22292868.215119526</v>
      </c>
      <c r="F128" s="293">
        <f t="shared" ref="F128:F130" si="16">SUM(+E128*C128)</f>
        <v>2416546.9145189566</v>
      </c>
      <c r="G128" s="293">
        <f>SUM(+E128*D128)</f>
        <v>2951352.8229996744</v>
      </c>
      <c r="H128" s="293"/>
      <c r="I128" s="293"/>
      <c r="J128" s="253"/>
      <c r="K128" s="268">
        <v>22106956.690598253</v>
      </c>
      <c r="L128" s="293">
        <f>SUM(+K128*C128)</f>
        <v>2396394.1052608504</v>
      </c>
      <c r="M128" s="293">
        <f>SUM(+K128*D128)</f>
        <v>2926739.9962683031</v>
      </c>
      <c r="N128" s="293"/>
      <c r="O128" s="293"/>
      <c r="P128" s="253"/>
      <c r="Q128" s="268">
        <v>21832277.906003479</v>
      </c>
      <c r="R128" s="293">
        <f>SUM(+Q128*C128)</f>
        <v>2366618.9250107771</v>
      </c>
      <c r="S128" s="293">
        <f>SUM(+Q128*D128)</f>
        <v>2890375.2719758009</v>
      </c>
      <c r="T128" s="293"/>
      <c r="U128" s="480"/>
    </row>
    <row r="129" spans="2:21" x14ac:dyDescent="0.2">
      <c r="B129" s="292" t="s">
        <v>90</v>
      </c>
      <c r="C129" s="272">
        <f>'Exh JDT-5 (INTRPL-RD)'!E34</f>
        <v>5.3650000000000003E-2</v>
      </c>
      <c r="D129" s="272">
        <f>'Exh JDT-5 (INTRPL-RD)'!$H$34</f>
        <v>6.3259999999999997E-2</v>
      </c>
      <c r="E129" s="268">
        <v>15820769.939721871</v>
      </c>
      <c r="F129" s="293">
        <f t="shared" si="16"/>
        <v>848784.30726607842</v>
      </c>
      <c r="G129" s="293">
        <f>SUM(+E129*D129)</f>
        <v>1000821.9063868055</v>
      </c>
      <c r="H129" s="293"/>
      <c r="I129" s="293"/>
      <c r="J129" s="253"/>
      <c r="K129" s="268">
        <v>15692698.519526683</v>
      </c>
      <c r="L129" s="293">
        <f t="shared" ref="L129:L130" si="17">SUM(+K129*C129)</f>
        <v>841913.2755726066</v>
      </c>
      <c r="M129" s="293">
        <f>SUM(+K129*D129)</f>
        <v>992720.10834525793</v>
      </c>
      <c r="N129" s="293"/>
      <c r="O129" s="293"/>
      <c r="P129" s="253"/>
      <c r="Q129" s="268">
        <v>15502357.058853954</v>
      </c>
      <c r="R129" s="293">
        <f t="shared" ref="R129:R130" si="18">SUM(+Q129*C129)</f>
        <v>831701.45620751474</v>
      </c>
      <c r="S129" s="293">
        <f>SUM(+Q129*D129)</f>
        <v>980679.10754310107</v>
      </c>
      <c r="T129" s="293"/>
      <c r="U129" s="480"/>
    </row>
    <row r="130" spans="2:21" x14ac:dyDescent="0.2">
      <c r="B130" s="292" t="s">
        <v>100</v>
      </c>
      <c r="C130" s="272">
        <f>'Exh JDT-5 (INTRPL-RD)'!E35</f>
        <v>5.1319999999999998E-2</v>
      </c>
      <c r="D130" s="272">
        <f>'Exh JDT-5 (INTRPL-RD)'!$H$35</f>
        <v>6.0510000000000001E-2</v>
      </c>
      <c r="E130" s="268">
        <v>24673879.845158603</v>
      </c>
      <c r="F130" s="293">
        <f t="shared" si="16"/>
        <v>1266263.5136535394</v>
      </c>
      <c r="G130" s="293">
        <f>SUM(+E130*D130)</f>
        <v>1493016.4694305472</v>
      </c>
      <c r="H130" s="293"/>
      <c r="I130" s="293"/>
      <c r="J130" s="253"/>
      <c r="K130" s="268">
        <v>24489270.789875064</v>
      </c>
      <c r="L130" s="293">
        <f t="shared" si="17"/>
        <v>1256789.3769363882</v>
      </c>
      <c r="M130" s="293">
        <f>SUM(+K130*D130)</f>
        <v>1481845.7754953401</v>
      </c>
      <c r="N130" s="293"/>
      <c r="O130" s="293"/>
      <c r="P130" s="253"/>
      <c r="Q130" s="268">
        <v>24210388.035142563</v>
      </c>
      <c r="R130" s="286">
        <f t="shared" si="18"/>
        <v>1242477.1139635162</v>
      </c>
      <c r="S130" s="286">
        <f>SUM(+Q130*D130)</f>
        <v>1464970.5800064765</v>
      </c>
      <c r="T130" s="293"/>
      <c r="U130" s="480"/>
    </row>
    <row r="131" spans="2:21" x14ac:dyDescent="0.2">
      <c r="B131" s="266" t="s">
        <v>123</v>
      </c>
      <c r="C131" s="267"/>
      <c r="D131" s="269"/>
      <c r="E131" s="365">
        <f>SUM(E128:E130)</f>
        <v>62787518</v>
      </c>
      <c r="F131" s="402">
        <f>SUM(F123:F130)</f>
        <v>6158181.5454385746</v>
      </c>
      <c r="G131" s="402">
        <f>SUM(G123:G130)</f>
        <v>7221469.3688170277</v>
      </c>
      <c r="H131" s="296"/>
      <c r="I131" s="296"/>
      <c r="J131" s="253"/>
      <c r="K131" s="365">
        <f>SUM(K128:K130)</f>
        <v>62288926</v>
      </c>
      <c r="L131" s="402">
        <f>SUM(L123:L130)</f>
        <v>6121683.567769845</v>
      </c>
      <c r="M131" s="402">
        <f>SUM(M123:M130)</f>
        <v>7177584.0501089012</v>
      </c>
      <c r="N131" s="296"/>
      <c r="O131" s="296"/>
      <c r="P131" s="253"/>
      <c r="Q131" s="365">
        <f>SUM(Q128:Q130)</f>
        <v>61545022.999999993</v>
      </c>
      <c r="R131" s="296">
        <f>SUM(R123:R130)</f>
        <v>6067384.3051818088</v>
      </c>
      <c r="S131" s="296">
        <f>SUM(S123:S130)</f>
        <v>7112303.1295253783</v>
      </c>
      <c r="T131" s="296"/>
      <c r="U131" s="480"/>
    </row>
    <row r="132" spans="2:21" x14ac:dyDescent="0.2">
      <c r="B132" s="266"/>
      <c r="C132" s="267"/>
      <c r="D132" s="269"/>
      <c r="E132" s="268"/>
      <c r="F132" s="268"/>
      <c r="G132" s="296"/>
      <c r="H132" s="296"/>
      <c r="I132" s="296"/>
      <c r="J132" s="253"/>
      <c r="K132" s="268"/>
      <c r="L132" s="268"/>
      <c r="M132" s="296"/>
      <c r="N132" s="296"/>
      <c r="O132" s="296"/>
      <c r="P132" s="253"/>
      <c r="Q132" s="268"/>
      <c r="R132" s="287"/>
      <c r="S132" s="415"/>
      <c r="T132" s="296"/>
      <c r="U132" s="496"/>
    </row>
    <row r="133" spans="2:21" x14ac:dyDescent="0.2">
      <c r="B133" s="497" t="s">
        <v>180</v>
      </c>
      <c r="C133" s="413"/>
      <c r="D133" s="269"/>
      <c r="E133" s="268"/>
      <c r="F133" s="402">
        <f>F131</f>
        <v>6158181.5454385746</v>
      </c>
      <c r="G133" s="402">
        <f>G131</f>
        <v>7221469.3688170277</v>
      </c>
      <c r="H133" s="296"/>
      <c r="I133" s="296"/>
      <c r="J133" s="253"/>
      <c r="K133" s="268"/>
      <c r="L133" s="402">
        <f>L131</f>
        <v>6121683.567769845</v>
      </c>
      <c r="M133" s="402">
        <f>M131</f>
        <v>7177584.0501089012</v>
      </c>
      <c r="N133" s="296"/>
      <c r="O133" s="296"/>
      <c r="P133" s="253"/>
      <c r="Q133" s="268"/>
      <c r="R133" s="296">
        <f>R131</f>
        <v>6067384.3051818088</v>
      </c>
      <c r="S133" s="296">
        <f>S131</f>
        <v>7112303.1295253783</v>
      </c>
      <c r="T133" s="296"/>
      <c r="U133" s="496"/>
    </row>
    <row r="134" spans="2:21" x14ac:dyDescent="0.2">
      <c r="B134" s="292" t="s">
        <v>176</v>
      </c>
      <c r="C134" s="253"/>
      <c r="D134" s="269"/>
      <c r="E134" s="268"/>
      <c r="F134" s="268"/>
      <c r="G134" s="296"/>
      <c r="H134" s="286">
        <f>H$102*E131</f>
        <v>359144.60295999999</v>
      </c>
      <c r="I134" s="286">
        <f>I$102*E131</f>
        <v>1488692.0517799999</v>
      </c>
      <c r="J134" s="253"/>
      <c r="K134" s="268"/>
      <c r="L134" s="268"/>
      <c r="M134" s="296"/>
      <c r="N134" s="286">
        <f>N$102*K131</f>
        <v>-87827.38566</v>
      </c>
      <c r="O134" s="286">
        <f>O$102*K131</f>
        <v>2484082.36888</v>
      </c>
      <c r="P134" s="253"/>
      <c r="Q134" s="268"/>
      <c r="R134" s="268"/>
      <c r="S134" s="268"/>
      <c r="T134" s="286">
        <f>T$102*Q131</f>
        <v>-396965.39834999997</v>
      </c>
      <c r="U134" s="286">
        <f>U$102*Q131</f>
        <v>3235421.8591099996</v>
      </c>
    </row>
    <row r="135" spans="2:21" x14ac:dyDescent="0.2">
      <c r="B135" s="300" t="str">
        <f>"Total "&amp;B121</f>
        <v>Total Schedule 85 - Transportation</v>
      </c>
      <c r="C135" s="301"/>
      <c r="D135" s="269"/>
      <c r="E135" s="268"/>
      <c r="F135" s="268"/>
      <c r="G135" s="296"/>
      <c r="H135" s="293"/>
      <c r="I135" s="482">
        <f>G133+H134+I134</f>
        <v>9069306.0235570278</v>
      </c>
      <c r="J135" s="253"/>
      <c r="K135" s="268"/>
      <c r="L135" s="268"/>
      <c r="M135" s="296"/>
      <c r="N135" s="293"/>
      <c r="O135" s="482">
        <f>M133+N134+O134</f>
        <v>9573839.033328902</v>
      </c>
      <c r="P135" s="253"/>
      <c r="Q135" s="268"/>
      <c r="R135" s="268"/>
      <c r="S135" s="268"/>
      <c r="T135" s="482"/>
      <c r="U135" s="498">
        <f>S133+T134+U134</f>
        <v>9950759.5902853776</v>
      </c>
    </row>
    <row r="136" spans="2:21" x14ac:dyDescent="0.2">
      <c r="B136" s="284"/>
      <c r="C136" s="285"/>
      <c r="D136" s="417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492"/>
    </row>
    <row r="137" spans="2:21" x14ac:dyDescent="0.2">
      <c r="B137" s="253"/>
      <c r="C137" s="253"/>
      <c r="D137" s="272"/>
      <c r="E137" s="230"/>
      <c r="F137" s="230"/>
      <c r="G137" s="230"/>
      <c r="H137" s="293"/>
      <c r="I137" s="293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</row>
    <row r="138" spans="2:21" x14ac:dyDescent="0.2">
      <c r="B138" s="467" t="s">
        <v>181</v>
      </c>
      <c r="C138" s="468"/>
      <c r="D138" s="469"/>
      <c r="E138" s="365">
        <f>E146+E166</f>
        <v>6233899</v>
      </c>
      <c r="F138" s="365"/>
      <c r="G138" s="351"/>
      <c r="H138" s="351">
        <f>'Exh JDT-5 (Rate Spread)'!J62</f>
        <v>42371.232692892176</v>
      </c>
      <c r="I138" s="351">
        <f>'Exh JDT-5 (Rate Spread)'!J73</f>
        <v>175731.11982621142</v>
      </c>
      <c r="J138" s="470"/>
      <c r="K138" s="365">
        <f>K146+K166</f>
        <v>6068110</v>
      </c>
      <c r="L138" s="365"/>
      <c r="M138" s="470"/>
      <c r="N138" s="351">
        <f>'Exh JDT-5 (Rate Spread)'!J66</f>
        <v>-10320.208593328054</v>
      </c>
      <c r="O138" s="351">
        <f>'Exh JDT-5 (Rate Spread)'!J74</f>
        <v>292036.6048883124</v>
      </c>
      <c r="P138" s="470"/>
      <c r="Q138" s="365">
        <f>Q146+Q166</f>
        <v>5827771</v>
      </c>
      <c r="R138" s="365"/>
      <c r="S138" s="471"/>
      <c r="T138" s="351">
        <f>'Exh JDT-5 (Rate Spread)'!J70</f>
        <v>-46460.387600505965</v>
      </c>
      <c r="U138" s="472">
        <f>'Exh JDT-5 (Rate Spread)'!J75</f>
        <v>378473.03565112781</v>
      </c>
    </row>
    <row r="139" spans="2:21" x14ac:dyDescent="0.2">
      <c r="B139" s="292"/>
      <c r="C139" s="253"/>
      <c r="D139" s="253"/>
      <c r="E139" s="253"/>
      <c r="F139" s="253"/>
      <c r="G139" s="410" t="s">
        <v>174</v>
      </c>
      <c r="H139" s="272">
        <f>ROUND(H138/E138, 5)</f>
        <v>6.7999999999999996E-3</v>
      </c>
      <c r="I139" s="272">
        <f>ROUND(I138/E138, 5)</f>
        <v>2.819E-2</v>
      </c>
      <c r="J139" s="269"/>
      <c r="K139" s="253"/>
      <c r="L139" s="253"/>
      <c r="M139" s="269"/>
      <c r="N139" s="272">
        <f>ROUND(N138/K138, 5)</f>
        <v>-1.6999999999999999E-3</v>
      </c>
      <c r="O139" s="272">
        <f>ROUND(O138/K138, 5)</f>
        <v>4.8129999999999999E-2</v>
      </c>
      <c r="P139" s="269"/>
      <c r="Q139" s="253"/>
      <c r="R139" s="253"/>
      <c r="S139" s="269"/>
      <c r="T139" s="272">
        <f>ROUND(T138/Q138, 5)</f>
        <v>-7.9699999999999997E-3</v>
      </c>
      <c r="U139" s="473">
        <f>ROUND(U138/Q138, 5)</f>
        <v>6.4939999999999998E-2</v>
      </c>
    </row>
    <row r="140" spans="2:21" x14ac:dyDescent="0.2">
      <c r="B140" s="284"/>
      <c r="C140" s="285"/>
      <c r="D140" s="285"/>
      <c r="E140" s="474" t="s">
        <v>122</v>
      </c>
      <c r="F140" s="286">
        <f>F152+F168</f>
        <v>1247670.0419045878</v>
      </c>
      <c r="G140" s="286">
        <f>G152+G168</f>
        <v>1247670.0419045878</v>
      </c>
      <c r="H140" s="475"/>
      <c r="I140" s="475"/>
      <c r="J140" s="408"/>
      <c r="K140" s="474" t="s">
        <v>122</v>
      </c>
      <c r="L140" s="286">
        <f>L152+L168</f>
        <v>1211985.7785573273</v>
      </c>
      <c r="M140" s="286">
        <f>M152+M168</f>
        <v>1211985.7785573273</v>
      </c>
      <c r="N140" s="475"/>
      <c r="O140" s="475"/>
      <c r="P140" s="408"/>
      <c r="Q140" s="474" t="s">
        <v>122</v>
      </c>
      <c r="R140" s="286">
        <f>R152+R168</f>
        <v>1164986.0114928137</v>
      </c>
      <c r="S140" s="286">
        <f>S152+S168</f>
        <v>1164986.0114928137</v>
      </c>
      <c r="T140" s="475"/>
      <c r="U140" s="485"/>
    </row>
    <row r="141" spans="2:21" x14ac:dyDescent="0.2">
      <c r="B141" s="489"/>
      <c r="C141" s="490"/>
      <c r="D141" s="490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</row>
    <row r="142" spans="2:21" x14ac:dyDescent="0.2">
      <c r="B142" s="289" t="s">
        <v>94</v>
      </c>
      <c r="C142" s="290"/>
      <c r="D142" s="495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486"/>
    </row>
    <row r="143" spans="2:21" x14ac:dyDescent="0.2">
      <c r="B143" s="292"/>
      <c r="C143" s="253"/>
      <c r="D143" s="272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491"/>
    </row>
    <row r="144" spans="2:21" x14ac:dyDescent="0.2">
      <c r="B144" s="266" t="s">
        <v>59</v>
      </c>
      <c r="C144" s="269">
        <f>'Exh JDT-5 (INTRPL-RD)'!E59</f>
        <v>148.82</v>
      </c>
      <c r="D144" s="269">
        <f>'Exh JDT-5 (INTRPL-RD)'!$H$59</f>
        <v>148.82</v>
      </c>
      <c r="E144" s="268">
        <v>1194</v>
      </c>
      <c r="F144" s="293">
        <f t="shared" ref="F144:F146" si="19">SUM(+E144*C144)</f>
        <v>177691.08</v>
      </c>
      <c r="G144" s="293">
        <f>SUM(+E144*D144)</f>
        <v>177691.08</v>
      </c>
      <c r="H144" s="293"/>
      <c r="I144" s="293"/>
      <c r="J144" s="253"/>
      <c r="K144" s="268">
        <v>1128</v>
      </c>
      <c r="L144" s="293">
        <f t="shared" ref="L144:L146" si="20">SUM(+K144*C144)</f>
        <v>167868.96</v>
      </c>
      <c r="M144" s="293">
        <f>SUM(+K144*D144)</f>
        <v>167868.96</v>
      </c>
      <c r="N144" s="293"/>
      <c r="O144" s="293"/>
      <c r="P144" s="253"/>
      <c r="Q144" s="268">
        <v>1062</v>
      </c>
      <c r="R144" s="293">
        <f t="shared" ref="R144:R146" si="21">SUM(+Q144*C144)</f>
        <v>158046.84</v>
      </c>
      <c r="S144" s="293">
        <f>SUM(+Q144*D144)</f>
        <v>158046.84</v>
      </c>
      <c r="T144" s="293"/>
      <c r="U144" s="480"/>
    </row>
    <row r="145" spans="2:21" x14ac:dyDescent="0.2">
      <c r="B145" s="292" t="s">
        <v>136</v>
      </c>
      <c r="C145" s="272">
        <f>'Exh JDT-5 (INTRPL-RD)'!E60</f>
        <v>1.35</v>
      </c>
      <c r="D145" s="272">
        <f>'Exh JDT-5 (INTRPL-RD)'!$H$60</f>
        <v>1.35</v>
      </c>
      <c r="E145" s="268">
        <v>38184</v>
      </c>
      <c r="F145" s="293">
        <f t="shared" si="19"/>
        <v>51548.4</v>
      </c>
      <c r="G145" s="293">
        <f>SUM(+E145*D145)</f>
        <v>51548.4</v>
      </c>
      <c r="H145" s="293"/>
      <c r="I145" s="293"/>
      <c r="J145" s="253"/>
      <c r="K145" s="268">
        <v>38184</v>
      </c>
      <c r="L145" s="293">
        <f t="shared" si="20"/>
        <v>51548.4</v>
      </c>
      <c r="M145" s="293">
        <f>SUM(+K145*D145)</f>
        <v>51548.4</v>
      </c>
      <c r="N145" s="293"/>
      <c r="O145" s="293"/>
      <c r="P145" s="253"/>
      <c r="Q145" s="268">
        <v>38184</v>
      </c>
      <c r="R145" s="293">
        <f t="shared" si="21"/>
        <v>51548.4</v>
      </c>
      <c r="S145" s="293">
        <f>SUM(+Q145*D145)</f>
        <v>51548.4</v>
      </c>
      <c r="T145" s="293"/>
      <c r="U145" s="480"/>
    </row>
    <row r="146" spans="2:21" x14ac:dyDescent="0.2">
      <c r="B146" s="292" t="s">
        <v>61</v>
      </c>
      <c r="C146" s="272">
        <f>'Exh JDT-5 (INTRPL-RD)'!E61</f>
        <v>1.222E-2</v>
      </c>
      <c r="D146" s="272">
        <f>'Exh JDT-5 (INTRPL-RD)'!$H$61</f>
        <v>1.222E-2</v>
      </c>
      <c r="E146" s="268">
        <f>E152</f>
        <v>5691490</v>
      </c>
      <c r="F146" s="293">
        <f t="shared" si="19"/>
        <v>69550.007800000007</v>
      </c>
      <c r="G146" s="293">
        <f>SUM(+E146*D146)</f>
        <v>69550.007800000007</v>
      </c>
      <c r="H146" s="293"/>
      <c r="I146" s="293"/>
      <c r="J146" s="253"/>
      <c r="K146" s="268">
        <f>K152</f>
        <v>5489408</v>
      </c>
      <c r="L146" s="293">
        <f t="shared" si="20"/>
        <v>67080.565759999998</v>
      </c>
      <c r="M146" s="293">
        <f>SUM(+K146*D146)</f>
        <v>67080.565759999998</v>
      </c>
      <c r="N146" s="293"/>
      <c r="O146" s="293"/>
      <c r="P146" s="253"/>
      <c r="Q146" s="268">
        <f>Q152</f>
        <v>5215277</v>
      </c>
      <c r="R146" s="293">
        <f t="shared" si="21"/>
        <v>63730.684939999999</v>
      </c>
      <c r="S146" s="293">
        <f>SUM(+Q146*D146)</f>
        <v>63730.684939999999</v>
      </c>
      <c r="T146" s="293"/>
      <c r="U146" s="480"/>
    </row>
    <row r="147" spans="2:21" x14ac:dyDescent="0.2">
      <c r="B147" s="292" t="s">
        <v>147</v>
      </c>
      <c r="C147" s="253"/>
      <c r="D147" s="272"/>
      <c r="E147" s="268"/>
      <c r="F147" s="268">
        <f>G147</f>
        <v>7612.77</v>
      </c>
      <c r="G147" s="293">
        <v>7612.77</v>
      </c>
      <c r="H147" s="293"/>
      <c r="I147" s="293"/>
      <c r="J147" s="253"/>
      <c r="K147" s="268"/>
      <c r="L147" s="268">
        <f>M147</f>
        <v>7612.77</v>
      </c>
      <c r="M147" s="293">
        <v>7612.77</v>
      </c>
      <c r="N147" s="293"/>
      <c r="O147" s="293"/>
      <c r="P147" s="253"/>
      <c r="Q147" s="268"/>
      <c r="R147" s="268">
        <f>S147</f>
        <v>7612.77</v>
      </c>
      <c r="S147" s="293">
        <v>7612.77</v>
      </c>
      <c r="T147" s="293"/>
      <c r="U147" s="480"/>
    </row>
    <row r="148" spans="2:21" x14ac:dyDescent="0.2">
      <c r="B148" s="292"/>
      <c r="C148" s="253"/>
      <c r="D148" s="272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491"/>
    </row>
    <row r="149" spans="2:21" x14ac:dyDescent="0.2">
      <c r="B149" s="292" t="s">
        <v>138</v>
      </c>
      <c r="C149" s="253"/>
      <c r="D149" s="272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491"/>
    </row>
    <row r="150" spans="2:21" x14ac:dyDescent="0.2">
      <c r="B150" s="292" t="s">
        <v>95</v>
      </c>
      <c r="C150" s="272">
        <f>'Exh JDT-5 (INTRPL-RD)'!E65</f>
        <v>0.18382000000000001</v>
      </c>
      <c r="D150" s="272">
        <f>'Exh JDT-5 (INTRPL-RD)'!$H$65</f>
        <v>0.18382000000000001</v>
      </c>
      <c r="E150" s="268">
        <v>1046420.020336004</v>
      </c>
      <c r="F150" s="293">
        <f t="shared" ref="F150:F151" si="22">SUM(+E150*C150)</f>
        <v>192352.92813816425</v>
      </c>
      <c r="G150" s="293">
        <f>SUM(+E150*D150)</f>
        <v>192352.92813816425</v>
      </c>
      <c r="H150" s="293"/>
      <c r="I150" s="293"/>
      <c r="J150" s="253"/>
      <c r="K150" s="268">
        <v>1009396.7998300681</v>
      </c>
      <c r="L150" s="293">
        <f t="shared" ref="L150:L151" si="23">SUM(+K150*C150)</f>
        <v>185547.31974476314</v>
      </c>
      <c r="M150" s="293">
        <f>SUM(+K150*D150)</f>
        <v>185547.31974476314</v>
      </c>
      <c r="N150" s="293"/>
      <c r="O150" s="293"/>
      <c r="P150" s="253"/>
      <c r="Q150" s="268">
        <v>959157.40368677001</v>
      </c>
      <c r="R150" s="293">
        <f t="shared" ref="R150:R151" si="24">SUM(+Q150*C150)</f>
        <v>176312.31394570207</v>
      </c>
      <c r="S150" s="293">
        <f>SUM(+Q150*D150)</f>
        <v>176312.31394570207</v>
      </c>
      <c r="T150" s="293"/>
      <c r="U150" s="491"/>
    </row>
    <row r="151" spans="2:21" x14ac:dyDescent="0.2">
      <c r="B151" s="292" t="s">
        <v>96</v>
      </c>
      <c r="C151" s="272">
        <f>'Exh JDT-5 (INTRPL-RD)'!E66</f>
        <v>0.13031000000000001</v>
      </c>
      <c r="D151" s="272">
        <f>'Exh JDT-5 (INTRPL-RD)'!$H$66</f>
        <v>0.13031000000000001</v>
      </c>
      <c r="E151" s="268">
        <v>4645069.979663996</v>
      </c>
      <c r="F151" s="293">
        <f t="shared" si="22"/>
        <v>605299.06905001542</v>
      </c>
      <c r="G151" s="293">
        <f>SUM(+E151*D151)</f>
        <v>605299.06905001542</v>
      </c>
      <c r="H151" s="293"/>
      <c r="I151" s="293"/>
      <c r="J151" s="253"/>
      <c r="K151" s="268">
        <v>4480011.2001699321</v>
      </c>
      <c r="L151" s="293">
        <f t="shared" si="23"/>
        <v>583790.25949414389</v>
      </c>
      <c r="M151" s="293">
        <f>SUM(+K151*D151)</f>
        <v>583790.25949414389</v>
      </c>
      <c r="N151" s="293"/>
      <c r="O151" s="293"/>
      <c r="P151" s="253"/>
      <c r="Q151" s="268">
        <v>4256119.5963132298</v>
      </c>
      <c r="R151" s="286">
        <f t="shared" si="24"/>
        <v>554614.94459557696</v>
      </c>
      <c r="S151" s="286">
        <f>SUM(+Q151*D151)</f>
        <v>554614.94459557696</v>
      </c>
      <c r="T151" s="293"/>
      <c r="U151" s="491"/>
    </row>
    <row r="152" spans="2:21" x14ac:dyDescent="0.2">
      <c r="B152" s="497" t="s">
        <v>180</v>
      </c>
      <c r="C152" s="413"/>
      <c r="D152" s="272"/>
      <c r="E152" s="365">
        <f>SUM(E150:E151)</f>
        <v>5691490</v>
      </c>
      <c r="F152" s="402">
        <f>SUM(F144:F151)</f>
        <v>1104054.2549881795</v>
      </c>
      <c r="G152" s="402">
        <f>SUM(G144:G151)</f>
        <v>1104054.2549881795</v>
      </c>
      <c r="H152" s="296"/>
      <c r="I152" s="296"/>
      <c r="J152" s="253"/>
      <c r="K152" s="365">
        <f>SUM(K150:K151)</f>
        <v>5489408</v>
      </c>
      <c r="L152" s="402">
        <f>SUM(L144:L151)</f>
        <v>1063448.274998907</v>
      </c>
      <c r="M152" s="402">
        <f>SUM(M144:M151)</f>
        <v>1063448.274998907</v>
      </c>
      <c r="N152" s="296"/>
      <c r="O152" s="296"/>
      <c r="P152" s="253"/>
      <c r="Q152" s="365">
        <f>SUM(Q150:Q151)</f>
        <v>5215277</v>
      </c>
      <c r="R152" s="296">
        <f>SUM(R144:R151)</f>
        <v>1011865.9534812791</v>
      </c>
      <c r="S152" s="296">
        <f>SUM(S144:S151)</f>
        <v>1011865.9534812791</v>
      </c>
      <c r="T152" s="296"/>
      <c r="U152" s="491"/>
    </row>
    <row r="153" spans="2:21" x14ac:dyDescent="0.2">
      <c r="B153" s="292" t="s">
        <v>176</v>
      </c>
      <c r="C153" s="253"/>
      <c r="D153" s="269"/>
      <c r="E153" s="268"/>
      <c r="F153" s="268"/>
      <c r="G153" s="296"/>
      <c r="H153" s="286">
        <f>H$139*E152</f>
        <v>38702.131999999998</v>
      </c>
      <c r="I153" s="286">
        <f>I$139*E152</f>
        <v>160443.10310000001</v>
      </c>
      <c r="J153" s="253"/>
      <c r="K153" s="268"/>
      <c r="L153" s="268"/>
      <c r="M153" s="296"/>
      <c r="N153" s="286">
        <f>N$139*K152</f>
        <v>-9331.9935999999998</v>
      </c>
      <c r="O153" s="286">
        <f>O$139*K152</f>
        <v>264205.20704000001</v>
      </c>
      <c r="P153" s="253"/>
      <c r="Q153" s="268"/>
      <c r="R153" s="268"/>
      <c r="S153" s="268"/>
      <c r="T153" s="286">
        <f>T$139*Q152</f>
        <v>-41565.757689999999</v>
      </c>
      <c r="U153" s="485">
        <f>U$139*Q152</f>
        <v>338680.08837999997</v>
      </c>
    </row>
    <row r="154" spans="2:21" x14ac:dyDescent="0.2">
      <c r="B154" s="300" t="str">
        <f>"Total "&amp;B142</f>
        <v>Total Schedule 86 - Sales</v>
      </c>
      <c r="C154" s="301"/>
      <c r="D154" s="269"/>
      <c r="E154" s="268"/>
      <c r="F154" s="268"/>
      <c r="G154" s="296"/>
      <c r="H154" s="293"/>
      <c r="I154" s="482">
        <f>G152+H153+I153</f>
        <v>1303199.4900881795</v>
      </c>
      <c r="J154" s="253"/>
      <c r="K154" s="268"/>
      <c r="L154" s="268"/>
      <c r="M154" s="296"/>
      <c r="N154" s="293"/>
      <c r="O154" s="482">
        <f>M152+N153+O153</f>
        <v>1318321.4884389071</v>
      </c>
      <c r="P154" s="253"/>
      <c r="Q154" s="268"/>
      <c r="R154" s="268"/>
      <c r="S154" s="268"/>
      <c r="T154" s="482"/>
      <c r="U154" s="498">
        <f>S152+T153+U153</f>
        <v>1308980.2841712791</v>
      </c>
    </row>
    <row r="155" spans="2:21" x14ac:dyDescent="0.2">
      <c r="B155" s="284"/>
      <c r="C155" s="285"/>
      <c r="D155" s="422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492"/>
    </row>
    <row r="156" spans="2:21" x14ac:dyDescent="0.2">
      <c r="B156" s="253"/>
      <c r="C156" s="253"/>
      <c r="D156" s="42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</row>
    <row r="157" spans="2:21" x14ac:dyDescent="0.2">
      <c r="B157" s="289" t="s">
        <v>97</v>
      </c>
      <c r="C157" s="290"/>
      <c r="D157" s="495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486"/>
    </row>
    <row r="158" spans="2:21" x14ac:dyDescent="0.2">
      <c r="B158" s="292"/>
      <c r="C158" s="253"/>
      <c r="D158" s="272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491"/>
    </row>
    <row r="159" spans="2:21" x14ac:dyDescent="0.2">
      <c r="B159" s="266" t="s">
        <v>59</v>
      </c>
      <c r="C159" s="269">
        <f>'Exh JDT-5 (INTRPL-RD)'!E74</f>
        <v>457.76</v>
      </c>
      <c r="D159" s="269">
        <f>'Exh JDT-5 (INTRPL-RD)'!$H$74</f>
        <v>457.76</v>
      </c>
      <c r="E159" s="268">
        <v>96</v>
      </c>
      <c r="F159" s="293">
        <f t="shared" ref="F159:F160" si="25">SUM(+E159*C159)</f>
        <v>43944.959999999999</v>
      </c>
      <c r="G159" s="293">
        <f>SUM(+E159*D159)</f>
        <v>43944.959999999999</v>
      </c>
      <c r="H159" s="293"/>
      <c r="I159" s="293"/>
      <c r="J159" s="253"/>
      <c r="K159" s="268">
        <v>96</v>
      </c>
      <c r="L159" s="293">
        <f t="shared" ref="L159:L160" si="26">SUM(+K159*C159)</f>
        <v>43944.959999999999</v>
      </c>
      <c r="M159" s="293">
        <f>SUM(+K159*D159)</f>
        <v>43944.959999999999</v>
      </c>
      <c r="N159" s="293"/>
      <c r="O159" s="293"/>
      <c r="P159" s="253"/>
      <c r="Q159" s="268">
        <v>96</v>
      </c>
      <c r="R159" s="293">
        <f t="shared" ref="R159:R160" si="27">SUM(+Q159*C159)</f>
        <v>43944.959999999999</v>
      </c>
      <c r="S159" s="293">
        <f>SUM(+Q159*D159)</f>
        <v>43944.959999999999</v>
      </c>
      <c r="T159" s="293"/>
      <c r="U159" s="480"/>
    </row>
    <row r="160" spans="2:21" x14ac:dyDescent="0.2">
      <c r="B160" s="292" t="s">
        <v>136</v>
      </c>
      <c r="C160" s="269">
        <f>'Exh JDT-5 (INTRPL-RD)'!E75</f>
        <v>1.35</v>
      </c>
      <c r="D160" s="269">
        <f>'Exh JDT-5 (INTRPL-RD)'!$H$75</f>
        <v>1.35</v>
      </c>
      <c r="E160" s="268">
        <v>19344</v>
      </c>
      <c r="F160" s="293">
        <f t="shared" si="25"/>
        <v>26114.400000000001</v>
      </c>
      <c r="G160" s="293">
        <f>SUM(+E160*D160)</f>
        <v>26114.400000000001</v>
      </c>
      <c r="H160" s="293"/>
      <c r="I160" s="293"/>
      <c r="J160" s="253"/>
      <c r="K160" s="268">
        <v>19344</v>
      </c>
      <c r="L160" s="293">
        <f t="shared" si="26"/>
        <v>26114.400000000001</v>
      </c>
      <c r="M160" s="293">
        <f>SUM(+K160*D160)</f>
        <v>26114.400000000001</v>
      </c>
      <c r="N160" s="293"/>
      <c r="O160" s="293"/>
      <c r="P160" s="253"/>
      <c r="Q160" s="268">
        <v>19344</v>
      </c>
      <c r="R160" s="293">
        <f t="shared" si="27"/>
        <v>26114.400000000001</v>
      </c>
      <c r="S160" s="293">
        <f>SUM(+Q160*D160)</f>
        <v>26114.400000000001</v>
      </c>
      <c r="T160" s="293"/>
      <c r="U160" s="480"/>
    </row>
    <row r="161" spans="2:21" x14ac:dyDescent="0.2">
      <c r="B161" s="292" t="s">
        <v>147</v>
      </c>
      <c r="C161" s="272"/>
      <c r="D161" s="272"/>
      <c r="E161" s="268"/>
      <c r="F161" s="268"/>
      <c r="G161" s="293">
        <v>0</v>
      </c>
      <c r="H161" s="293"/>
      <c r="I161" s="293"/>
      <c r="J161" s="253"/>
      <c r="K161" s="268"/>
      <c r="L161" s="268"/>
      <c r="M161" s="293">
        <v>0</v>
      </c>
      <c r="N161" s="293"/>
      <c r="O161" s="293"/>
      <c r="P161" s="253"/>
      <c r="Q161" s="268"/>
      <c r="R161" s="268"/>
      <c r="S161" s="293">
        <v>0</v>
      </c>
      <c r="T161" s="293"/>
      <c r="U161" s="480"/>
    </row>
    <row r="162" spans="2:21" x14ac:dyDescent="0.2">
      <c r="B162" s="292"/>
      <c r="C162" s="272"/>
      <c r="D162" s="272"/>
      <c r="E162" s="268"/>
      <c r="F162" s="268"/>
      <c r="G162" s="293"/>
      <c r="H162" s="293"/>
      <c r="I162" s="293"/>
      <c r="J162" s="253"/>
      <c r="K162" s="268"/>
      <c r="L162" s="268"/>
      <c r="M162" s="293"/>
      <c r="N162" s="293"/>
      <c r="O162" s="293"/>
      <c r="P162" s="253"/>
      <c r="Q162" s="268"/>
      <c r="R162" s="268"/>
      <c r="S162" s="293"/>
      <c r="T162" s="293"/>
      <c r="U162" s="480"/>
    </row>
    <row r="163" spans="2:21" x14ac:dyDescent="0.2">
      <c r="B163" s="292" t="s">
        <v>138</v>
      </c>
      <c r="C163" s="272"/>
      <c r="D163" s="272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491"/>
    </row>
    <row r="164" spans="2:21" x14ac:dyDescent="0.2">
      <c r="B164" s="292" t="s">
        <v>95</v>
      </c>
      <c r="C164" s="272">
        <f>'Exh JDT-5 (INTRPL-RD)'!E79</f>
        <v>0.18382000000000001</v>
      </c>
      <c r="D164" s="272">
        <f>'Exh JDT-5 (INTRPL-RD)'!$H$79</f>
        <v>0.18382000000000001</v>
      </c>
      <c r="E164" s="268">
        <v>53730.333141622155</v>
      </c>
      <c r="F164" s="293">
        <f t="shared" ref="F164:F165" si="28">SUM(+E164*C164)</f>
        <v>9876.7098380929856</v>
      </c>
      <c r="G164" s="293">
        <f>SUM(+E164*D164)</f>
        <v>9876.7098380929856</v>
      </c>
      <c r="H164" s="293"/>
      <c r="I164" s="293"/>
      <c r="J164" s="253"/>
      <c r="K164" s="268">
        <v>57325.470723610815</v>
      </c>
      <c r="L164" s="293">
        <f t="shared" ref="L164:L165" si="29">SUM(+K164*C164)</f>
        <v>10537.56802841414</v>
      </c>
      <c r="M164" s="293">
        <f>SUM(+K164*D164)</f>
        <v>10537.56802841414</v>
      </c>
      <c r="N164" s="293"/>
      <c r="O164" s="293"/>
      <c r="P164" s="253"/>
      <c r="Q164" s="268">
        <v>60672.862484296384</v>
      </c>
      <c r="R164" s="293">
        <f t="shared" ref="R164:R165" si="30">SUM(+Q164*C164)</f>
        <v>11152.885581863362</v>
      </c>
      <c r="S164" s="293">
        <f>SUM(+Q164*D164)</f>
        <v>11152.885581863362</v>
      </c>
      <c r="T164" s="293"/>
      <c r="U164" s="491"/>
    </row>
    <row r="165" spans="2:21" x14ac:dyDescent="0.2">
      <c r="B165" s="292" t="s">
        <v>96</v>
      </c>
      <c r="C165" s="272">
        <f>'Exh JDT-5 (INTRPL-RD)'!E80</f>
        <v>0.13031000000000001</v>
      </c>
      <c r="D165" s="272">
        <f>'Exh JDT-5 (INTRPL-RD)'!$H$80</f>
        <v>0.13031000000000001</v>
      </c>
      <c r="E165" s="268">
        <v>488678.66685837781</v>
      </c>
      <c r="F165" s="293">
        <f t="shared" si="28"/>
        <v>63679.717078315218</v>
      </c>
      <c r="G165" s="293">
        <f>SUM(+E165*D165)</f>
        <v>63679.717078315218</v>
      </c>
      <c r="H165" s="293"/>
      <c r="I165" s="293"/>
      <c r="J165" s="253"/>
      <c r="K165" s="268">
        <v>521376.5292763891</v>
      </c>
      <c r="L165" s="293">
        <f t="shared" si="29"/>
        <v>67940.575530006274</v>
      </c>
      <c r="M165" s="293">
        <f>SUM(+K165*D165)</f>
        <v>67940.575530006274</v>
      </c>
      <c r="N165" s="293"/>
      <c r="O165" s="293"/>
      <c r="P165" s="253"/>
      <c r="Q165" s="268">
        <v>551821.13751570357</v>
      </c>
      <c r="R165" s="286">
        <f t="shared" si="30"/>
        <v>71907.812429671336</v>
      </c>
      <c r="S165" s="286">
        <f>SUM(+Q165*D165)</f>
        <v>71907.812429671336</v>
      </c>
      <c r="T165" s="293"/>
      <c r="U165" s="491"/>
    </row>
    <row r="166" spans="2:21" x14ac:dyDescent="0.2">
      <c r="B166" s="266" t="s">
        <v>123</v>
      </c>
      <c r="C166" s="267"/>
      <c r="D166" s="272"/>
      <c r="E166" s="365">
        <f>SUM(E164:E165)</f>
        <v>542409</v>
      </c>
      <c r="F166" s="402">
        <f>SUM(F159:F165)</f>
        <v>143615.78691640819</v>
      </c>
      <c r="G166" s="402">
        <f>SUM(G159:G165)</f>
        <v>143615.78691640819</v>
      </c>
      <c r="H166" s="296"/>
      <c r="I166" s="296"/>
      <c r="J166" s="253"/>
      <c r="K166" s="365">
        <f>SUM(K164:K165)</f>
        <v>578701.99999999988</v>
      </c>
      <c r="L166" s="402">
        <f>SUM(L159:L165)</f>
        <v>148537.5035584204</v>
      </c>
      <c r="M166" s="402">
        <f>SUM(M159:M165)</f>
        <v>148537.5035584204</v>
      </c>
      <c r="N166" s="296"/>
      <c r="O166" s="296"/>
      <c r="P166" s="253"/>
      <c r="Q166" s="365">
        <f>SUM(Q164:Q165)</f>
        <v>612494</v>
      </c>
      <c r="R166" s="296">
        <f>SUM(R159:R165)</f>
        <v>153120.05801153468</v>
      </c>
      <c r="S166" s="296">
        <f>SUM(S159:S165)</f>
        <v>153120.05801153468</v>
      </c>
      <c r="T166" s="296"/>
      <c r="U166" s="491"/>
    </row>
    <row r="167" spans="2:21" x14ac:dyDescent="0.2">
      <c r="B167" s="266"/>
      <c r="C167" s="267"/>
      <c r="D167" s="272"/>
      <c r="E167" s="268"/>
      <c r="F167" s="268"/>
      <c r="G167" s="296"/>
      <c r="H167" s="296"/>
      <c r="I167" s="296"/>
      <c r="J167" s="253"/>
      <c r="K167" s="268"/>
      <c r="L167" s="268"/>
      <c r="M167" s="296"/>
      <c r="N167" s="296"/>
      <c r="O167" s="296"/>
      <c r="P167" s="253"/>
      <c r="Q167" s="268"/>
      <c r="R167" s="268"/>
      <c r="S167" s="296"/>
      <c r="T167" s="296"/>
      <c r="U167" s="491"/>
    </row>
    <row r="168" spans="2:21" x14ac:dyDescent="0.2">
      <c r="B168" s="497" t="s">
        <v>180</v>
      </c>
      <c r="C168" s="413"/>
      <c r="D168" s="269"/>
      <c r="E168" s="269"/>
      <c r="F168" s="402">
        <f>F166</f>
        <v>143615.78691640819</v>
      </c>
      <c r="G168" s="402">
        <f>G166</f>
        <v>143615.78691640819</v>
      </c>
      <c r="H168" s="296"/>
      <c r="I168" s="296"/>
      <c r="J168" s="253"/>
      <c r="K168" s="268"/>
      <c r="L168" s="402">
        <f>L166</f>
        <v>148537.5035584204</v>
      </c>
      <c r="M168" s="402">
        <f>M166</f>
        <v>148537.5035584204</v>
      </c>
      <c r="N168" s="296"/>
      <c r="O168" s="296"/>
      <c r="P168" s="253"/>
      <c r="Q168" s="268"/>
      <c r="R168" s="402">
        <f>R166</f>
        <v>153120.05801153468</v>
      </c>
      <c r="S168" s="402">
        <f>S166</f>
        <v>153120.05801153468</v>
      </c>
      <c r="T168" s="296"/>
      <c r="U168" s="491"/>
    </row>
    <row r="169" spans="2:21" x14ac:dyDescent="0.2">
      <c r="B169" s="292" t="s">
        <v>176</v>
      </c>
      <c r="C169" s="253"/>
      <c r="D169" s="269"/>
      <c r="E169" s="268"/>
      <c r="F169" s="268"/>
      <c r="G169" s="296"/>
      <c r="H169" s="286">
        <f>H$139*E166</f>
        <v>3688.3811999999998</v>
      </c>
      <c r="I169" s="286">
        <f>I$139*E166</f>
        <v>15290.50971</v>
      </c>
      <c r="J169" s="253"/>
      <c r="K169" s="268"/>
      <c r="L169" s="268"/>
      <c r="M169" s="296"/>
      <c r="N169" s="286">
        <f>N$139*K166</f>
        <v>-983.79339999999979</v>
      </c>
      <c r="O169" s="286">
        <f>O$139*K166</f>
        <v>27852.927259999993</v>
      </c>
      <c r="P169" s="253"/>
      <c r="Q169" s="268"/>
      <c r="R169" s="268"/>
      <c r="S169" s="268"/>
      <c r="T169" s="286">
        <f>T$139*Q166</f>
        <v>-4881.5771800000002</v>
      </c>
      <c r="U169" s="286">
        <f>U$139*Q166</f>
        <v>39775.360359999999</v>
      </c>
    </row>
    <row r="170" spans="2:21" x14ac:dyDescent="0.2">
      <c r="B170" s="300" t="str">
        <f>"Total "&amp;B157</f>
        <v>Total Schedule 86 - Transportation</v>
      </c>
      <c r="C170" s="301"/>
      <c r="D170" s="269"/>
      <c r="E170" s="268"/>
      <c r="F170" s="268"/>
      <c r="G170" s="296"/>
      <c r="H170" s="293"/>
      <c r="I170" s="482">
        <f>G168+H169+I169</f>
        <v>162594.67782640821</v>
      </c>
      <c r="J170" s="253"/>
      <c r="K170" s="268"/>
      <c r="L170" s="268"/>
      <c r="M170" s="296"/>
      <c r="N170" s="293"/>
      <c r="O170" s="482">
        <f>M168+N169+O169</f>
        <v>175406.6374184204</v>
      </c>
      <c r="P170" s="253"/>
      <c r="Q170" s="268"/>
      <c r="R170" s="268"/>
      <c r="S170" s="268"/>
      <c r="T170" s="482"/>
      <c r="U170" s="498">
        <f>S168+T169+U169</f>
        <v>188013.84119153468</v>
      </c>
    </row>
    <row r="171" spans="2:21" x14ac:dyDescent="0.2">
      <c r="B171" s="284"/>
      <c r="C171" s="285"/>
      <c r="D171" s="417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492"/>
    </row>
    <row r="172" spans="2:21" x14ac:dyDescent="0.2">
      <c r="B172" s="253"/>
      <c r="C172" s="253"/>
      <c r="D172" s="272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</row>
    <row r="173" spans="2:21" x14ac:dyDescent="0.2">
      <c r="B173" s="467" t="s">
        <v>182</v>
      </c>
      <c r="C173" s="468"/>
      <c r="D173" s="469"/>
      <c r="E173" s="365">
        <f>E191+E209</f>
        <v>131354834.00000003</v>
      </c>
      <c r="F173" s="365"/>
      <c r="G173" s="351"/>
      <c r="H173" s="351">
        <f>'Exh JDT-5 (Rate Spread)'!K62</f>
        <v>426307.08146396856</v>
      </c>
      <c r="I173" s="351">
        <f>'Exh JDT-5 (Rate Spread)'!K73</f>
        <v>1768072.7242111671</v>
      </c>
      <c r="J173" s="470"/>
      <c r="K173" s="365">
        <f>K191+K209</f>
        <v>143255052</v>
      </c>
      <c r="L173" s="365"/>
      <c r="M173" s="470"/>
      <c r="N173" s="351">
        <f>'Exh JDT-5 (Rate Spread)'!K66</f>
        <v>-103834.08095320969</v>
      </c>
      <c r="O173" s="351">
        <f>'Exh JDT-5 (Rate Spread)'!K74</f>
        <v>2938249.9587147282</v>
      </c>
      <c r="P173" s="470"/>
      <c r="Q173" s="365">
        <f>Q191+Q209</f>
        <v>150281390</v>
      </c>
      <c r="R173" s="365"/>
      <c r="S173" s="471"/>
      <c r="T173" s="351">
        <f>'Exh JDT-5 (Rate Spread)'!K70</f>
        <v>-467449.0446198181</v>
      </c>
      <c r="U173" s="472">
        <f>'Exh JDT-5 (Rate Spread)'!K75</f>
        <v>3807907.5114637092</v>
      </c>
    </row>
    <row r="174" spans="2:21" x14ac:dyDescent="0.2">
      <c r="B174" s="292"/>
      <c r="C174" s="253"/>
      <c r="D174" s="253"/>
      <c r="E174" s="253"/>
      <c r="F174" s="253"/>
      <c r="G174" s="410" t="s">
        <v>174</v>
      </c>
      <c r="H174" s="272">
        <f>ROUND(H173/E173, 5)</f>
        <v>3.2499999999999999E-3</v>
      </c>
      <c r="I174" s="272">
        <f>ROUND(I173/E173, 5)</f>
        <v>1.346E-2</v>
      </c>
      <c r="J174" s="269"/>
      <c r="K174" s="253"/>
      <c r="L174" s="253"/>
      <c r="M174" s="269"/>
      <c r="N174" s="272">
        <f>ROUND(N173/K173, 5)</f>
        <v>-7.2000000000000005E-4</v>
      </c>
      <c r="O174" s="272">
        <f>ROUND(O173/K173, 5)</f>
        <v>2.051E-2</v>
      </c>
      <c r="P174" s="269"/>
      <c r="Q174" s="253"/>
      <c r="R174" s="253"/>
      <c r="S174" s="269"/>
      <c r="T174" s="272">
        <f>ROUND(T173/Q173, 5)</f>
        <v>-3.1099999999999999E-3</v>
      </c>
      <c r="U174" s="473">
        <f>ROUND(U173/Q173, 5)</f>
        <v>2.5340000000000001E-2</v>
      </c>
    </row>
    <row r="175" spans="2:21" x14ac:dyDescent="0.2">
      <c r="B175" s="284"/>
      <c r="C175" s="285"/>
      <c r="D175" s="285"/>
      <c r="E175" s="474" t="s">
        <v>122</v>
      </c>
      <c r="F175" s="286">
        <f>F191+F211</f>
        <v>5666046.9110441636</v>
      </c>
      <c r="G175" s="286">
        <f>G191+G211</f>
        <v>6679976.1100000003</v>
      </c>
      <c r="H175" s="475"/>
      <c r="I175" s="475"/>
      <c r="J175" s="408"/>
      <c r="K175" s="474" t="s">
        <v>122</v>
      </c>
      <c r="L175" s="286">
        <f>L191+L211</f>
        <v>5922580.2984524658</v>
      </c>
      <c r="M175" s="286">
        <f>M191+M211</f>
        <v>6982319.6099999994</v>
      </c>
      <c r="N175" s="475"/>
      <c r="O175" s="475"/>
      <c r="P175" s="408"/>
      <c r="Q175" s="474" t="s">
        <v>122</v>
      </c>
      <c r="R175" s="286">
        <f>R191+R211</f>
        <v>6051826.7538140416</v>
      </c>
      <c r="S175" s="286">
        <f>S191+S211</f>
        <v>7134499.7000000002</v>
      </c>
      <c r="T175" s="475"/>
      <c r="U175" s="485"/>
    </row>
    <row r="176" spans="2:21" x14ac:dyDescent="0.2">
      <c r="B176" s="489"/>
      <c r="C176" s="490"/>
      <c r="D176" s="490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486"/>
    </row>
    <row r="177" spans="2:21" x14ac:dyDescent="0.2">
      <c r="B177" s="289" t="s">
        <v>99</v>
      </c>
      <c r="C177" s="290"/>
      <c r="D177" s="495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57"/>
      <c r="U177" s="486"/>
    </row>
    <row r="178" spans="2:21" x14ac:dyDescent="0.2">
      <c r="B178" s="292"/>
      <c r="C178" s="253"/>
      <c r="D178" s="272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  <c r="S178" s="253"/>
      <c r="T178" s="253"/>
      <c r="U178" s="491"/>
    </row>
    <row r="179" spans="2:21" x14ac:dyDescent="0.2">
      <c r="B179" s="266" t="s">
        <v>59</v>
      </c>
      <c r="C179" s="269">
        <f>'Exh JDT-5 (INTRPL-RD)'!E104</f>
        <v>606.5</v>
      </c>
      <c r="D179" s="269">
        <f>'Exh JDT-5 (INTRPL-RD)'!$H$104</f>
        <v>715.15</v>
      </c>
      <c r="E179" s="268">
        <v>60</v>
      </c>
      <c r="F179" s="293">
        <f t="shared" ref="F179:F180" si="31">SUM(+E179*C179)</f>
        <v>36390</v>
      </c>
      <c r="G179" s="293">
        <f>ROUND(E179*D179,2)</f>
        <v>42909</v>
      </c>
      <c r="H179" s="293"/>
      <c r="I179" s="293"/>
      <c r="J179" s="253"/>
      <c r="K179" s="268">
        <v>60</v>
      </c>
      <c r="L179" s="293">
        <f t="shared" ref="L179:L181" si="32">SUM(+K179*C179)</f>
        <v>36390</v>
      </c>
      <c r="M179" s="293">
        <f>ROUND(K179*D179,2)</f>
        <v>42909</v>
      </c>
      <c r="N179" s="293"/>
      <c r="O179" s="293"/>
      <c r="P179" s="253"/>
      <c r="Q179" s="268">
        <v>60</v>
      </c>
      <c r="R179" s="293">
        <f t="shared" ref="R179:R181" si="33">SUM(+Q179*C179)</f>
        <v>36390</v>
      </c>
      <c r="S179" s="293">
        <f>ROUND(Q179*D179,2)</f>
        <v>42909</v>
      </c>
      <c r="T179" s="293"/>
      <c r="U179" s="480"/>
    </row>
    <row r="180" spans="2:21" x14ac:dyDescent="0.2">
      <c r="B180" s="292" t="s">
        <v>136</v>
      </c>
      <c r="C180" s="269">
        <f>'Exh JDT-5 (INTRPL-RD)'!E105</f>
        <v>1.45</v>
      </c>
      <c r="D180" s="269">
        <f>'Exh JDT-5 (INTRPL-RD)'!$H$105</f>
        <v>1.71</v>
      </c>
      <c r="E180" s="268">
        <v>0</v>
      </c>
      <c r="F180" s="293">
        <f t="shared" si="31"/>
        <v>0</v>
      </c>
      <c r="G180" s="293">
        <f>ROUND(E180*D180,2)</f>
        <v>0</v>
      </c>
      <c r="H180" s="293"/>
      <c r="I180" s="293"/>
      <c r="J180" s="253"/>
      <c r="K180" s="268">
        <v>0</v>
      </c>
      <c r="L180" s="293">
        <f t="shared" si="32"/>
        <v>0</v>
      </c>
      <c r="M180" s="293">
        <f>ROUND(K180*D180,2)</f>
        <v>0</v>
      </c>
      <c r="N180" s="293"/>
      <c r="O180" s="293"/>
      <c r="P180" s="253"/>
      <c r="Q180" s="268">
        <v>0</v>
      </c>
      <c r="R180" s="293">
        <f t="shared" si="33"/>
        <v>0</v>
      </c>
      <c r="S180" s="293">
        <f>ROUND(Q180*D180,2)</f>
        <v>0</v>
      </c>
      <c r="T180" s="293"/>
      <c r="U180" s="480"/>
    </row>
    <row r="181" spans="2:21" x14ac:dyDescent="0.2">
      <c r="B181" s="292" t="s">
        <v>61</v>
      </c>
      <c r="C181" s="272">
        <f>'Exh JDT-5 (INTRPL-RD)'!E106</f>
        <v>8.43E-3</v>
      </c>
      <c r="D181" s="272">
        <f>'Exh JDT-5 (INTRPL-RD)'!$H$106</f>
        <v>9.9399999999999992E-3</v>
      </c>
      <c r="E181" s="268">
        <f>E191</f>
        <v>16129372.999999996</v>
      </c>
      <c r="F181" s="293">
        <f>SUM(+E181*C181)</f>
        <v>135970.61438999997</v>
      </c>
      <c r="G181" s="293">
        <f>ROUND(E181*D181,2)</f>
        <v>160325.97</v>
      </c>
      <c r="H181" s="293"/>
      <c r="I181" s="293"/>
      <c r="J181" s="253"/>
      <c r="K181" s="268">
        <f>K191</f>
        <v>15535741</v>
      </c>
      <c r="L181" s="293">
        <f t="shared" si="32"/>
        <v>130966.29663</v>
      </c>
      <c r="M181" s="293">
        <f>ROUND(K181*D181,2)</f>
        <v>154425.26999999999</v>
      </c>
      <c r="N181" s="293"/>
      <c r="O181" s="293"/>
      <c r="P181" s="253"/>
      <c r="Q181" s="268">
        <f>Q191</f>
        <v>14771071</v>
      </c>
      <c r="R181" s="293">
        <f t="shared" si="33"/>
        <v>124520.12853</v>
      </c>
      <c r="S181" s="293">
        <f>ROUND(Q181*D181,2)</f>
        <v>146824.45000000001</v>
      </c>
      <c r="T181" s="293"/>
      <c r="U181" s="480"/>
    </row>
    <row r="182" spans="2:21" x14ac:dyDescent="0.2">
      <c r="B182" s="292" t="s">
        <v>147</v>
      </c>
      <c r="C182" s="253"/>
      <c r="D182" s="269"/>
      <c r="E182" s="253"/>
      <c r="F182" s="293">
        <f>G182</f>
        <v>51086.770000000004</v>
      </c>
      <c r="G182" s="293">
        <v>51086.770000000004</v>
      </c>
      <c r="H182" s="293"/>
      <c r="I182" s="293"/>
      <c r="J182" s="253"/>
      <c r="K182" s="253"/>
      <c r="L182" s="293">
        <f>M182</f>
        <v>51086.770000000004</v>
      </c>
      <c r="M182" s="293">
        <v>51086.770000000004</v>
      </c>
      <c r="N182" s="293"/>
      <c r="O182" s="293"/>
      <c r="P182" s="253"/>
      <c r="Q182" s="253"/>
      <c r="R182" s="293">
        <f>S182</f>
        <v>51086.770000000004</v>
      </c>
      <c r="S182" s="293">
        <v>51086.770000000004</v>
      </c>
      <c r="T182" s="293"/>
      <c r="U182" s="480"/>
    </row>
    <row r="183" spans="2:21" x14ac:dyDescent="0.2">
      <c r="B183" s="292"/>
      <c r="C183" s="253"/>
      <c r="D183" s="269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491"/>
    </row>
    <row r="184" spans="2:21" x14ac:dyDescent="0.2">
      <c r="B184" s="292" t="s">
        <v>138</v>
      </c>
      <c r="C184" s="253"/>
      <c r="D184" s="269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491"/>
    </row>
    <row r="185" spans="2:21" x14ac:dyDescent="0.2">
      <c r="B185" s="292" t="s">
        <v>89</v>
      </c>
      <c r="C185" s="272">
        <f>'Exh JDT-5 (INTRPL-RD)'!E110</f>
        <v>0.17533000000000001</v>
      </c>
      <c r="D185" s="272">
        <f>'Exh JDT-5 (INTRPL-RD)'!$H$110</f>
        <v>0.20954999999999999</v>
      </c>
      <c r="E185" s="268">
        <v>1117842.956792257</v>
      </c>
      <c r="F185" s="293">
        <f t="shared" ref="F185:F190" si="34">SUM(+E185*C185)</f>
        <v>195991.40561438643</v>
      </c>
      <c r="G185" s="293">
        <f t="shared" ref="G185:G190" si="35">ROUND(E185*D185,2)</f>
        <v>234243.99</v>
      </c>
      <c r="H185" s="293"/>
      <c r="I185" s="293"/>
      <c r="J185" s="253"/>
      <c r="K185" s="268">
        <v>1076701.4102407265</v>
      </c>
      <c r="L185" s="293">
        <f t="shared" ref="L185:L190" si="36">SUM(+K185*C185)</f>
        <v>188778.05825750661</v>
      </c>
      <c r="M185" s="293">
        <f t="shared" ref="M185:M190" si="37">ROUND(K185*D185,2)</f>
        <v>225622.78</v>
      </c>
      <c r="N185" s="293"/>
      <c r="O185" s="293"/>
      <c r="P185" s="253"/>
      <c r="Q185" s="268">
        <v>1023706.1094456903</v>
      </c>
      <c r="R185" s="293">
        <f t="shared" ref="R185:R190" si="38">SUM(+Q185*C185)</f>
        <v>179486.39216911289</v>
      </c>
      <c r="S185" s="293">
        <f t="shared" ref="S185:S190" si="39">ROUND(Q185*D185,2)</f>
        <v>214517.62</v>
      </c>
      <c r="T185" s="293"/>
      <c r="U185" s="480"/>
    </row>
    <row r="186" spans="2:21" x14ac:dyDescent="0.2">
      <c r="B186" s="292" t="s">
        <v>90</v>
      </c>
      <c r="C186" s="272">
        <f>'Exh JDT-5 (INTRPL-RD)'!E111</f>
        <v>0.10595</v>
      </c>
      <c r="D186" s="272">
        <f>'Exh JDT-5 (INTRPL-RD)'!$H$111</f>
        <v>0.12493</v>
      </c>
      <c r="E186" s="268">
        <v>1033441.1464904442</v>
      </c>
      <c r="F186" s="293">
        <f t="shared" si="34"/>
        <v>109493.08947066257</v>
      </c>
      <c r="G186" s="293">
        <f t="shared" si="35"/>
        <v>129107.8</v>
      </c>
      <c r="H186" s="293"/>
      <c r="I186" s="293"/>
      <c r="J186" s="253"/>
      <c r="K186" s="268">
        <v>995405.95847207471</v>
      </c>
      <c r="L186" s="293">
        <f t="shared" si="36"/>
        <v>105463.26130011631</v>
      </c>
      <c r="M186" s="293">
        <f t="shared" si="37"/>
        <v>124356.07</v>
      </c>
      <c r="N186" s="293"/>
      <c r="O186" s="293"/>
      <c r="P186" s="253"/>
      <c r="Q186" s="268">
        <v>946412.0241457466</v>
      </c>
      <c r="R186" s="293">
        <f t="shared" si="38"/>
        <v>100272.35395824186</v>
      </c>
      <c r="S186" s="293">
        <f t="shared" si="39"/>
        <v>118235.25</v>
      </c>
      <c r="T186" s="293"/>
      <c r="U186" s="480"/>
    </row>
    <row r="187" spans="2:21" x14ac:dyDescent="0.2">
      <c r="B187" s="292" t="s">
        <v>100</v>
      </c>
      <c r="C187" s="272">
        <f>'Exh JDT-5 (INTRPL-RD)'!E112</f>
        <v>6.7419999999999994E-2</v>
      </c>
      <c r="D187" s="272">
        <f>'Exh JDT-5 (INTRPL-RD)'!$H$112</f>
        <v>7.9500000000000001E-2</v>
      </c>
      <c r="E187" s="268">
        <v>1712690.9564290643</v>
      </c>
      <c r="F187" s="293">
        <f t="shared" si="34"/>
        <v>115469.6242824475</v>
      </c>
      <c r="G187" s="293">
        <f t="shared" si="35"/>
        <v>136158.93</v>
      </c>
      <c r="H187" s="293"/>
      <c r="I187" s="293"/>
      <c r="J187" s="253"/>
      <c r="K187" s="268">
        <v>1649656.38231097</v>
      </c>
      <c r="L187" s="293">
        <f t="shared" si="36"/>
        <v>111219.83329540558</v>
      </c>
      <c r="M187" s="293">
        <f t="shared" si="37"/>
        <v>131147.68</v>
      </c>
      <c r="N187" s="293"/>
      <c r="O187" s="293"/>
      <c r="P187" s="253"/>
      <c r="Q187" s="268">
        <v>1568460.2072549015</v>
      </c>
      <c r="R187" s="293">
        <f t="shared" si="38"/>
        <v>105745.58717312544</v>
      </c>
      <c r="S187" s="293">
        <f t="shared" si="39"/>
        <v>124692.59</v>
      </c>
      <c r="T187" s="293"/>
      <c r="U187" s="480"/>
    </row>
    <row r="188" spans="2:21" x14ac:dyDescent="0.2">
      <c r="B188" s="292" t="s">
        <v>101</v>
      </c>
      <c r="C188" s="272">
        <f>'Exh JDT-5 (INTRPL-RD)'!E113</f>
        <v>4.3229999999999998E-2</v>
      </c>
      <c r="D188" s="272">
        <f>'Exh JDT-5 (INTRPL-RD)'!$H$113</f>
        <v>5.0970000000000001E-2</v>
      </c>
      <c r="E188" s="268">
        <v>2251114.0791522493</v>
      </c>
      <c r="F188" s="293">
        <f t="shared" si="34"/>
        <v>97315.661641751736</v>
      </c>
      <c r="G188" s="293">
        <f t="shared" si="35"/>
        <v>114739.28</v>
      </c>
      <c r="H188" s="293"/>
      <c r="I188" s="293"/>
      <c r="J188" s="253"/>
      <c r="K188" s="268">
        <v>2168263.1615725448</v>
      </c>
      <c r="L188" s="293">
        <f t="shared" si="36"/>
        <v>93734.016474781107</v>
      </c>
      <c r="M188" s="293">
        <f t="shared" si="37"/>
        <v>110516.37</v>
      </c>
      <c r="N188" s="293"/>
      <c r="O188" s="293"/>
      <c r="P188" s="253"/>
      <c r="Q188" s="268">
        <v>2061541.1332019845</v>
      </c>
      <c r="R188" s="293">
        <f t="shared" si="38"/>
        <v>89120.423188321787</v>
      </c>
      <c r="S188" s="293">
        <f t="shared" si="39"/>
        <v>105076.75</v>
      </c>
      <c r="T188" s="293"/>
      <c r="U188" s="480"/>
    </row>
    <row r="189" spans="2:21" x14ac:dyDescent="0.2">
      <c r="B189" s="292" t="s">
        <v>102</v>
      </c>
      <c r="C189" s="272">
        <f>'Exh JDT-5 (INTRPL-RD)'!E114</f>
        <v>3.1109999999999999E-2</v>
      </c>
      <c r="D189" s="272">
        <f>'Exh JDT-5 (INTRPL-RD)'!$H$114</f>
        <v>3.6679999999999997E-2</v>
      </c>
      <c r="E189" s="268">
        <v>2803152.5529363942</v>
      </c>
      <c r="F189" s="293">
        <f t="shared" si="34"/>
        <v>87206.075921851225</v>
      </c>
      <c r="G189" s="293">
        <f t="shared" si="35"/>
        <v>102819.64</v>
      </c>
      <c r="H189" s="293"/>
      <c r="I189" s="293"/>
      <c r="J189" s="253"/>
      <c r="K189" s="268">
        <v>2699984.1869803993</v>
      </c>
      <c r="L189" s="293">
        <f t="shared" si="36"/>
        <v>83996.508056960214</v>
      </c>
      <c r="M189" s="293">
        <f t="shared" si="37"/>
        <v>99035.42</v>
      </c>
      <c r="N189" s="293"/>
      <c r="O189" s="293"/>
      <c r="P189" s="253"/>
      <c r="Q189" s="268">
        <v>2567090.8214011006</v>
      </c>
      <c r="R189" s="293">
        <f t="shared" si="38"/>
        <v>79862.195453788241</v>
      </c>
      <c r="S189" s="293">
        <f t="shared" si="39"/>
        <v>94160.89</v>
      </c>
      <c r="T189" s="293"/>
      <c r="U189" s="480"/>
    </row>
    <row r="190" spans="2:21" x14ac:dyDescent="0.2">
      <c r="B190" s="292" t="s">
        <v>103</v>
      </c>
      <c r="C190" s="272">
        <f>'Exh JDT-5 (INTRPL-RD)'!E115</f>
        <v>2.3990000000000001E-2</v>
      </c>
      <c r="D190" s="272">
        <f>'Exh JDT-5 (INTRPL-RD)'!$H$115</f>
        <v>2.8289999999999999E-2</v>
      </c>
      <c r="E190" s="287">
        <v>7211131.3081995891</v>
      </c>
      <c r="F190" s="293">
        <f t="shared" si="34"/>
        <v>172995.04008370815</v>
      </c>
      <c r="G190" s="293">
        <f t="shared" si="35"/>
        <v>204002.9</v>
      </c>
      <c r="H190" s="293"/>
      <c r="I190" s="293"/>
      <c r="J190" s="253"/>
      <c r="K190" s="287">
        <v>6945729.9004232846</v>
      </c>
      <c r="L190" s="293">
        <f t="shared" si="36"/>
        <v>166628.06031115461</v>
      </c>
      <c r="M190" s="293">
        <f t="shared" si="37"/>
        <v>196494.7</v>
      </c>
      <c r="N190" s="293"/>
      <c r="O190" s="293"/>
      <c r="P190" s="253"/>
      <c r="Q190" s="287">
        <v>6603860.7045505755</v>
      </c>
      <c r="R190" s="286">
        <f t="shared" si="38"/>
        <v>158426.61830216832</v>
      </c>
      <c r="S190" s="286">
        <f t="shared" si="39"/>
        <v>186823.22</v>
      </c>
      <c r="T190" s="293"/>
      <c r="U190" s="480"/>
    </row>
    <row r="191" spans="2:21" x14ac:dyDescent="0.2">
      <c r="B191" s="497" t="s">
        <v>180</v>
      </c>
      <c r="C191" s="413"/>
      <c r="D191" s="272"/>
      <c r="E191" s="268">
        <f>SUM(E185:E190)</f>
        <v>16129372.999999996</v>
      </c>
      <c r="F191" s="402">
        <f>SUM(F179:F190)</f>
        <v>1001918.2814048076</v>
      </c>
      <c r="G191" s="402">
        <f>SUM(G179:G190)</f>
        <v>1175394.28</v>
      </c>
      <c r="H191" s="296"/>
      <c r="I191" s="296"/>
      <c r="J191" s="253"/>
      <c r="K191" s="268">
        <f>SUM(K185:K190)</f>
        <v>15535741</v>
      </c>
      <c r="L191" s="402">
        <f>SUM(L179:L190)</f>
        <v>968262.80432592437</v>
      </c>
      <c r="M191" s="402">
        <f>SUM(M179:M190)</f>
        <v>1135594.0599999998</v>
      </c>
      <c r="N191" s="296"/>
      <c r="O191" s="296"/>
      <c r="P191" s="253"/>
      <c r="Q191" s="268">
        <f>SUM(Q185:Q190)</f>
        <v>14771071</v>
      </c>
      <c r="R191" s="402">
        <f>SUM(R179:R190)</f>
        <v>924910.46877475863</v>
      </c>
      <c r="S191" s="402">
        <f>SUM(S179:S190)</f>
        <v>1084326.54</v>
      </c>
      <c r="T191" s="296"/>
      <c r="U191" s="480"/>
    </row>
    <row r="192" spans="2:21" x14ac:dyDescent="0.2">
      <c r="B192" s="292" t="s">
        <v>176</v>
      </c>
      <c r="C192" s="253"/>
      <c r="D192" s="269"/>
      <c r="E192" s="268"/>
      <c r="F192" s="268"/>
      <c r="G192" s="296"/>
      <c r="H192" s="286">
        <f>H$174*E191</f>
        <v>52420.462249999982</v>
      </c>
      <c r="I192" s="286">
        <f>I$174*E191</f>
        <v>217101.36057999995</v>
      </c>
      <c r="J192" s="253"/>
      <c r="K192" s="268"/>
      <c r="L192" s="268"/>
      <c r="M192" s="296"/>
      <c r="N192" s="286">
        <f>N$174*K191</f>
        <v>-11185.733520000002</v>
      </c>
      <c r="O192" s="286">
        <f>O$174*K191</f>
        <v>318638.04791000002</v>
      </c>
      <c r="P192" s="253"/>
      <c r="Q192" s="268"/>
      <c r="R192" s="268"/>
      <c r="S192" s="268"/>
      <c r="T192" s="286">
        <f>T$174*Q191</f>
        <v>-45938.030809999997</v>
      </c>
      <c r="U192" s="485">
        <f>U$174*Q191</f>
        <v>374298.93914000003</v>
      </c>
    </row>
    <row r="193" spans="2:21" x14ac:dyDescent="0.2">
      <c r="B193" s="300" t="str">
        <f>"Total "&amp;B177</f>
        <v>Total Schedule 87 - Sales</v>
      </c>
      <c r="C193" s="301"/>
      <c r="D193" s="269"/>
      <c r="E193" s="268"/>
      <c r="F193" s="268"/>
      <c r="G193" s="296"/>
      <c r="H193" s="293"/>
      <c r="I193" s="482">
        <f>G191+H192+I192</f>
        <v>1444916.10283</v>
      </c>
      <c r="J193" s="253"/>
      <c r="K193" s="268"/>
      <c r="L193" s="268"/>
      <c r="M193" s="296"/>
      <c r="N193" s="293"/>
      <c r="O193" s="482">
        <f>M191+N192+O192</f>
        <v>1443046.3743899998</v>
      </c>
      <c r="P193" s="253"/>
      <c r="Q193" s="268"/>
      <c r="R193" s="268"/>
      <c r="S193" s="268"/>
      <c r="T193" s="482"/>
      <c r="U193" s="498">
        <f>S191+T192+U192</f>
        <v>1412687.44833</v>
      </c>
    </row>
    <row r="194" spans="2:21" x14ac:dyDescent="0.2">
      <c r="B194" s="284"/>
      <c r="C194" s="285"/>
      <c r="D194" s="417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492"/>
    </row>
    <row r="195" spans="2:21" x14ac:dyDescent="0.2">
      <c r="B195" s="284"/>
      <c r="C195" s="285"/>
      <c r="D195" s="417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492"/>
    </row>
    <row r="196" spans="2:21" x14ac:dyDescent="0.2">
      <c r="B196" s="289" t="s">
        <v>104</v>
      </c>
      <c r="C196" s="290"/>
      <c r="D196" s="495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57"/>
      <c r="Q196" s="257"/>
      <c r="R196" s="257"/>
      <c r="S196" s="257"/>
      <c r="T196" s="257"/>
      <c r="U196" s="486"/>
    </row>
    <row r="197" spans="2:21" x14ac:dyDescent="0.2">
      <c r="B197" s="292"/>
      <c r="C197" s="253"/>
      <c r="D197" s="272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491"/>
    </row>
    <row r="198" spans="2:21" x14ac:dyDescent="0.2">
      <c r="B198" s="266" t="s">
        <v>59</v>
      </c>
      <c r="C198" s="267">
        <f>'Exh JDT-5 (INTRPL-RD)'!E123</f>
        <v>918.31</v>
      </c>
      <c r="D198" s="269">
        <f>'Exh JDT-5 (INTRPL-RD)'!$H$123</f>
        <v>1082.81</v>
      </c>
      <c r="E198" s="268">
        <v>132</v>
      </c>
      <c r="F198" s="293">
        <f t="shared" ref="F198:F199" si="40">SUM(+E198*C198)</f>
        <v>121216.92</v>
      </c>
      <c r="G198" s="293">
        <f>ROUND(E198*D198,2)</f>
        <v>142930.92000000001</v>
      </c>
      <c r="H198" s="293"/>
      <c r="I198" s="293"/>
      <c r="J198" s="253"/>
      <c r="K198" s="268">
        <v>132</v>
      </c>
      <c r="L198" s="293">
        <f t="shared" ref="L198:L199" si="41">SUM(+K198*C198)</f>
        <v>121216.92</v>
      </c>
      <c r="M198" s="293">
        <f>ROUND(K198*D198,2)</f>
        <v>142930.92000000001</v>
      </c>
      <c r="N198" s="293"/>
      <c r="O198" s="293"/>
      <c r="P198" s="253"/>
      <c r="Q198" s="268">
        <v>132</v>
      </c>
      <c r="R198" s="293">
        <f t="shared" ref="R198:R199" si="42">SUM(+Q198*C198)</f>
        <v>121216.92</v>
      </c>
      <c r="S198" s="293">
        <f>ROUND(Q198*D198,2)</f>
        <v>142930.92000000001</v>
      </c>
      <c r="T198" s="293"/>
      <c r="U198" s="480"/>
    </row>
    <row r="199" spans="2:21" x14ac:dyDescent="0.2">
      <c r="B199" s="292" t="s">
        <v>136</v>
      </c>
      <c r="C199" s="267">
        <f>'Exh JDT-5 (INTRPL-RD)'!E124</f>
        <v>1.45</v>
      </c>
      <c r="D199" s="269">
        <f>'Exh JDT-5 (INTRPL-RD)'!$H$124</f>
        <v>1.71</v>
      </c>
      <c r="E199" s="268">
        <v>287208</v>
      </c>
      <c r="F199" s="293">
        <f t="shared" si="40"/>
        <v>416451.6</v>
      </c>
      <c r="G199" s="293">
        <f>ROUND(E199*D199,2)</f>
        <v>491125.68</v>
      </c>
      <c r="H199" s="293"/>
      <c r="I199" s="293"/>
      <c r="J199" s="253"/>
      <c r="K199" s="268">
        <v>287208</v>
      </c>
      <c r="L199" s="293">
        <f t="shared" si="41"/>
        <v>416451.6</v>
      </c>
      <c r="M199" s="293">
        <f>ROUND(K199*D199,2)</f>
        <v>491125.68</v>
      </c>
      <c r="N199" s="293"/>
      <c r="O199" s="293"/>
      <c r="P199" s="253"/>
      <c r="Q199" s="268">
        <v>287208</v>
      </c>
      <c r="R199" s="293">
        <f t="shared" si="42"/>
        <v>416451.6</v>
      </c>
      <c r="S199" s="293">
        <f>ROUND(Q199*D199,2)</f>
        <v>491125.68</v>
      </c>
      <c r="T199" s="293"/>
      <c r="U199" s="480"/>
    </row>
    <row r="200" spans="2:21" x14ac:dyDescent="0.2">
      <c r="B200" s="292" t="s">
        <v>147</v>
      </c>
      <c r="C200" s="253"/>
      <c r="D200" s="269"/>
      <c r="E200" s="268"/>
      <c r="F200" s="268">
        <f>G200</f>
        <v>19447.379999999997</v>
      </c>
      <c r="G200" s="293">
        <v>19447.379999999997</v>
      </c>
      <c r="H200" s="293"/>
      <c r="I200" s="293"/>
      <c r="J200" s="253"/>
      <c r="K200" s="268"/>
      <c r="L200" s="268">
        <f>M200</f>
        <v>19447.379999999997</v>
      </c>
      <c r="M200" s="293">
        <v>19447.379999999997</v>
      </c>
      <c r="N200" s="293"/>
      <c r="O200" s="293"/>
      <c r="P200" s="253"/>
      <c r="Q200" s="268"/>
      <c r="R200" s="268">
        <f>S200</f>
        <v>19447.379999999997</v>
      </c>
      <c r="S200" s="293">
        <v>19447.379999999997</v>
      </c>
      <c r="T200" s="293"/>
      <c r="U200" s="480"/>
    </row>
    <row r="201" spans="2:21" x14ac:dyDescent="0.2">
      <c r="B201" s="292"/>
      <c r="C201" s="253"/>
      <c r="D201" s="272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  <c r="P201" s="253"/>
      <c r="Q201" s="253"/>
      <c r="R201" s="253"/>
      <c r="S201" s="253"/>
      <c r="T201" s="253"/>
      <c r="U201" s="491"/>
    </row>
    <row r="202" spans="2:21" x14ac:dyDescent="0.2">
      <c r="B202" s="292" t="s">
        <v>138</v>
      </c>
      <c r="C202" s="253"/>
      <c r="D202" s="269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491"/>
    </row>
    <row r="203" spans="2:21" x14ac:dyDescent="0.2">
      <c r="B203" s="292" t="s">
        <v>89</v>
      </c>
      <c r="C203" s="267">
        <f>'Exh JDT-5 (INTRPL-RD)'!E128</f>
        <v>0.17533000000000001</v>
      </c>
      <c r="D203" s="272">
        <f>'Exh JDT-5 (INTRPL-RD)'!$H$128</f>
        <v>0.20954999999999999</v>
      </c>
      <c r="E203" s="268">
        <v>2946705.695992955</v>
      </c>
      <c r="F203" s="293">
        <f t="shared" ref="F203:F208" si="43">SUM(+E203*C203)</f>
        <v>516645.90967844485</v>
      </c>
      <c r="G203" s="293">
        <f t="shared" ref="G203:G208" si="44">ROUND(E203*D203,2)</f>
        <v>617482.18000000005</v>
      </c>
      <c r="H203" s="293"/>
      <c r="I203" s="293"/>
      <c r="J203" s="253"/>
      <c r="K203" s="268">
        <v>2924880.5159800244</v>
      </c>
      <c r="L203" s="293">
        <f t="shared" ref="L203:L208" si="45">SUM(+K203*C203)</f>
        <v>512819.30086677772</v>
      </c>
      <c r="M203" s="293">
        <f t="shared" ref="M203:M208" si="46">ROUND(K203*D203,2)</f>
        <v>612908.71</v>
      </c>
      <c r="N203" s="293"/>
      <c r="O203" s="293"/>
      <c r="P203" s="253"/>
      <c r="Q203" s="268">
        <v>2892288.6309605665</v>
      </c>
      <c r="R203" s="293">
        <f t="shared" ref="R203:R208" si="47">SUM(+Q203*C203)</f>
        <v>507104.96566631616</v>
      </c>
      <c r="S203" s="293">
        <f t="shared" ref="S203:S208" si="48">ROUND(Q203*D203,2)</f>
        <v>606079.07999999996</v>
      </c>
      <c r="T203" s="293"/>
      <c r="U203" s="480"/>
    </row>
    <row r="204" spans="2:21" x14ac:dyDescent="0.2">
      <c r="B204" s="292" t="s">
        <v>90</v>
      </c>
      <c r="C204" s="267">
        <f>'Exh JDT-5 (INTRPL-RD)'!E129</f>
        <v>0.10595</v>
      </c>
      <c r="D204" s="272">
        <f>'Exh JDT-5 (INTRPL-RD)'!$H$129</f>
        <v>0.12493</v>
      </c>
      <c r="E204" s="268">
        <v>2947929.8522697231</v>
      </c>
      <c r="F204" s="293">
        <f t="shared" si="43"/>
        <v>312333.16784797719</v>
      </c>
      <c r="G204" s="293">
        <f t="shared" si="44"/>
        <v>368284.88</v>
      </c>
      <c r="H204" s="293"/>
      <c r="I204" s="293"/>
      <c r="J204" s="253"/>
      <c r="K204" s="268">
        <v>2926085.7507791347</v>
      </c>
      <c r="L204" s="293">
        <f t="shared" si="45"/>
        <v>310018.78529504931</v>
      </c>
      <c r="M204" s="293">
        <f t="shared" si="46"/>
        <v>365555.89</v>
      </c>
      <c r="N204" s="293"/>
      <c r="O204" s="293"/>
      <c r="P204" s="253"/>
      <c r="Q204" s="268">
        <v>2893467.2538262019</v>
      </c>
      <c r="R204" s="293">
        <f t="shared" si="47"/>
        <v>306562.85554288607</v>
      </c>
      <c r="S204" s="293">
        <f t="shared" si="48"/>
        <v>361480.86</v>
      </c>
      <c r="T204" s="293"/>
      <c r="U204" s="480"/>
    </row>
    <row r="205" spans="2:21" x14ac:dyDescent="0.2">
      <c r="B205" s="292" t="s">
        <v>100</v>
      </c>
      <c r="C205" s="267">
        <f>'Exh JDT-5 (INTRPL-RD)'!E130</f>
        <v>6.7419999999999994E-2</v>
      </c>
      <c r="D205" s="272">
        <f>'Exh JDT-5 (INTRPL-RD)'!$H$130</f>
        <v>7.9500000000000001E-2</v>
      </c>
      <c r="E205" s="268">
        <v>5895859.7045394462</v>
      </c>
      <c r="F205" s="293">
        <f t="shared" si="43"/>
        <v>397498.86128004943</v>
      </c>
      <c r="G205" s="293">
        <f t="shared" si="44"/>
        <v>468720.85</v>
      </c>
      <c r="H205" s="293"/>
      <c r="I205" s="293"/>
      <c r="J205" s="253"/>
      <c r="K205" s="268">
        <v>5852171.5015582694</v>
      </c>
      <c r="L205" s="293">
        <f t="shared" si="45"/>
        <v>394553.4026350585</v>
      </c>
      <c r="M205" s="293">
        <f t="shared" si="46"/>
        <v>465247.63</v>
      </c>
      <c r="N205" s="293"/>
      <c r="O205" s="293"/>
      <c r="P205" s="253"/>
      <c r="Q205" s="268">
        <v>5786934.5076524038</v>
      </c>
      <c r="R205" s="293">
        <f t="shared" si="47"/>
        <v>390155.12450592505</v>
      </c>
      <c r="S205" s="293">
        <f t="shared" si="48"/>
        <v>460061.29</v>
      </c>
      <c r="T205" s="293"/>
      <c r="U205" s="480"/>
    </row>
    <row r="206" spans="2:21" x14ac:dyDescent="0.2">
      <c r="B206" s="292" t="s">
        <v>101</v>
      </c>
      <c r="C206" s="267">
        <f>'Exh JDT-5 (INTRPL-RD)'!E131</f>
        <v>4.3229999999999998E-2</v>
      </c>
      <c r="D206" s="272">
        <f>'Exh JDT-5 (INTRPL-RD)'!$H$131</f>
        <v>5.0970000000000001E-2</v>
      </c>
      <c r="E206" s="268">
        <v>11253761.421893537</v>
      </c>
      <c r="F206" s="293">
        <f t="shared" si="43"/>
        <v>486500.1062684576</v>
      </c>
      <c r="G206" s="293">
        <f t="shared" si="44"/>
        <v>573604.22</v>
      </c>
      <c r="H206" s="293"/>
      <c r="I206" s="293"/>
      <c r="J206" s="253"/>
      <c r="K206" s="268">
        <v>11174478.918107849</v>
      </c>
      <c r="L206" s="293">
        <f t="shared" si="45"/>
        <v>483072.72362980229</v>
      </c>
      <c r="M206" s="293">
        <f t="shared" si="46"/>
        <v>569563.18999999994</v>
      </c>
      <c r="N206" s="293"/>
      <c r="O206" s="293"/>
      <c r="P206" s="253"/>
      <c r="Q206" s="268">
        <v>11055410.497266728</v>
      </c>
      <c r="R206" s="293">
        <f t="shared" si="47"/>
        <v>477925.39579684066</v>
      </c>
      <c r="S206" s="293">
        <f t="shared" si="48"/>
        <v>563494.27</v>
      </c>
      <c r="T206" s="293"/>
      <c r="U206" s="480"/>
    </row>
    <row r="207" spans="2:21" x14ac:dyDescent="0.2">
      <c r="B207" s="292" t="s">
        <v>102</v>
      </c>
      <c r="C207" s="267">
        <f>'Exh JDT-5 (INTRPL-RD)'!E132</f>
        <v>3.1109999999999999E-2</v>
      </c>
      <c r="D207" s="272">
        <f>'Exh JDT-5 (INTRPL-RD)'!$H$132</f>
        <v>3.6679999999999997E-2</v>
      </c>
      <c r="E207" s="268">
        <v>25647133.820277505</v>
      </c>
      <c r="F207" s="293">
        <f t="shared" si="43"/>
        <v>797882.33314883313</v>
      </c>
      <c r="G207" s="293">
        <f t="shared" si="44"/>
        <v>940736.87</v>
      </c>
      <c r="H207" s="293"/>
      <c r="I207" s="293"/>
      <c r="J207" s="253"/>
      <c r="K207" s="268">
        <v>25503530.213089339</v>
      </c>
      <c r="L207" s="293">
        <f t="shared" si="45"/>
        <v>793414.82492920931</v>
      </c>
      <c r="M207" s="293">
        <f t="shared" si="46"/>
        <v>935469.49</v>
      </c>
      <c r="N207" s="293"/>
      <c r="O207" s="293"/>
      <c r="P207" s="253"/>
      <c r="Q207" s="268">
        <v>25281970.654685356</v>
      </c>
      <c r="R207" s="293">
        <f t="shared" si="47"/>
        <v>786522.10706726136</v>
      </c>
      <c r="S207" s="293">
        <f t="shared" si="48"/>
        <v>927342.68</v>
      </c>
      <c r="T207" s="293"/>
      <c r="U207" s="480"/>
    </row>
    <row r="208" spans="2:21" x14ac:dyDescent="0.2">
      <c r="B208" s="292" t="s">
        <v>103</v>
      </c>
      <c r="C208" s="267">
        <f>'Exh JDT-5 (INTRPL-RD)'!E133</f>
        <v>2.3990000000000001E-2</v>
      </c>
      <c r="D208" s="272">
        <f>'Exh JDT-5 (INTRPL-RD)'!$H$133</f>
        <v>2.8289999999999999E-2</v>
      </c>
      <c r="E208" s="268">
        <v>66534070.505026855</v>
      </c>
      <c r="F208" s="293">
        <f t="shared" si="43"/>
        <v>1596152.3514155943</v>
      </c>
      <c r="G208" s="293">
        <f t="shared" si="44"/>
        <v>1882248.85</v>
      </c>
      <c r="H208" s="293"/>
      <c r="I208" s="293"/>
      <c r="J208" s="253"/>
      <c r="K208" s="268">
        <v>79338164.100485384</v>
      </c>
      <c r="L208" s="293">
        <f t="shared" si="45"/>
        <v>1903322.5567706444</v>
      </c>
      <c r="M208" s="293">
        <f t="shared" si="46"/>
        <v>2244476.66</v>
      </c>
      <c r="N208" s="293"/>
      <c r="O208" s="293"/>
      <c r="P208" s="253"/>
      <c r="Q208" s="268">
        <v>87600247.45560874</v>
      </c>
      <c r="R208" s="286">
        <f t="shared" si="47"/>
        <v>2101529.9364600535</v>
      </c>
      <c r="S208" s="286">
        <f t="shared" si="48"/>
        <v>2478211</v>
      </c>
      <c r="T208" s="293"/>
      <c r="U208" s="480"/>
    </row>
    <row r="209" spans="2:21" x14ac:dyDescent="0.2">
      <c r="B209" s="266" t="s">
        <v>123</v>
      </c>
      <c r="C209" s="267"/>
      <c r="D209" s="272"/>
      <c r="E209" s="365">
        <f>SUM(E203:E208)</f>
        <v>115225461.00000003</v>
      </c>
      <c r="F209" s="365">
        <f>SUM(F198:F208)</f>
        <v>4664128.6296393564</v>
      </c>
      <c r="G209" s="402">
        <f>SUM(G198:G208)</f>
        <v>5504581.8300000001</v>
      </c>
      <c r="H209" s="296"/>
      <c r="I209" s="296"/>
      <c r="J209" s="253"/>
      <c r="K209" s="365">
        <f>SUM(K203:K208)</f>
        <v>127719311</v>
      </c>
      <c r="L209" s="402">
        <f>SUM(L198:L208)</f>
        <v>4954317.4941265415</v>
      </c>
      <c r="M209" s="402">
        <f>SUM(M198:M208)</f>
        <v>5846725.5499999998</v>
      </c>
      <c r="N209" s="296"/>
      <c r="O209" s="296"/>
      <c r="P209" s="253"/>
      <c r="Q209" s="365">
        <f>SUM(Q203:Q208)</f>
        <v>135510319</v>
      </c>
      <c r="R209" s="296">
        <f>SUM(R198:R208)</f>
        <v>5126916.2850392833</v>
      </c>
      <c r="S209" s="296">
        <f>SUM(S198:S208)</f>
        <v>6050173.1600000001</v>
      </c>
      <c r="T209" s="296"/>
      <c r="U209" s="480"/>
    </row>
    <row r="210" spans="2:21" x14ac:dyDescent="0.2">
      <c r="B210" s="266"/>
      <c r="C210" s="267"/>
      <c r="D210" s="272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480"/>
    </row>
    <row r="211" spans="2:21" x14ac:dyDescent="0.2">
      <c r="B211" s="497" t="s">
        <v>180</v>
      </c>
      <c r="C211" s="413"/>
      <c r="D211" s="269"/>
      <c r="E211" s="253"/>
      <c r="F211" s="402">
        <f>F209</f>
        <v>4664128.6296393564</v>
      </c>
      <c r="G211" s="402">
        <f>G209</f>
        <v>5504581.8300000001</v>
      </c>
      <c r="H211" s="296"/>
      <c r="I211" s="296"/>
      <c r="J211" s="253"/>
      <c r="K211" s="253"/>
      <c r="L211" s="402">
        <f>L209</f>
        <v>4954317.4941265415</v>
      </c>
      <c r="M211" s="402">
        <f>M209</f>
        <v>5846725.5499999998</v>
      </c>
      <c r="N211" s="296"/>
      <c r="O211" s="296"/>
      <c r="P211" s="253"/>
      <c r="Q211" s="296"/>
      <c r="R211" s="402">
        <f>R209</f>
        <v>5126916.2850392833</v>
      </c>
      <c r="S211" s="402">
        <f>S209</f>
        <v>6050173.1600000001</v>
      </c>
      <c r="T211" s="296"/>
      <c r="U211" s="480"/>
    </row>
    <row r="212" spans="2:21" x14ac:dyDescent="0.2">
      <c r="B212" s="292" t="s">
        <v>176</v>
      </c>
      <c r="C212" s="253"/>
      <c r="D212" s="269"/>
      <c r="E212" s="268"/>
      <c r="F212" s="268"/>
      <c r="G212" s="296"/>
      <c r="H212" s="286">
        <f>H$174*E209</f>
        <v>374482.74825000006</v>
      </c>
      <c r="I212" s="286">
        <f>I$174*E209</f>
        <v>1550934.7050600003</v>
      </c>
      <c r="J212" s="253"/>
      <c r="K212" s="268"/>
      <c r="L212" s="268"/>
      <c r="M212" s="296"/>
      <c r="N212" s="286">
        <f>N$174*K209</f>
        <v>-91957.903920000012</v>
      </c>
      <c r="O212" s="286">
        <f>O$174*K209</f>
        <v>2619523.06861</v>
      </c>
      <c r="P212" s="253"/>
      <c r="Q212" s="268"/>
      <c r="R212" s="268"/>
      <c r="S212" s="268"/>
      <c r="T212" s="286">
        <f>T$174*Q209</f>
        <v>-421437.09208999999</v>
      </c>
      <c r="U212" s="485">
        <f>U$174*Q209</f>
        <v>3433831.4834600003</v>
      </c>
    </row>
    <row r="213" spans="2:21" x14ac:dyDescent="0.2">
      <c r="B213" s="300" t="str">
        <f>"Total "&amp;B196</f>
        <v>Total Schedule 87 - Transportation</v>
      </c>
      <c r="C213" s="301"/>
      <c r="D213" s="269"/>
      <c r="E213" s="268"/>
      <c r="F213" s="268"/>
      <c r="G213" s="296"/>
      <c r="H213" s="293"/>
      <c r="I213" s="482">
        <f>G211+H212+I212</f>
        <v>7429999.2833100008</v>
      </c>
      <c r="J213" s="253"/>
      <c r="K213" s="268"/>
      <c r="L213" s="268"/>
      <c r="M213" s="296"/>
      <c r="N213" s="293"/>
      <c r="O213" s="482">
        <f>M211+N212+O212</f>
        <v>8374290.7146899998</v>
      </c>
      <c r="P213" s="253"/>
      <c r="Q213" s="268"/>
      <c r="R213" s="268"/>
      <c r="S213" s="268"/>
      <c r="T213" s="482"/>
      <c r="U213" s="498">
        <f>S211+T212+U212</f>
        <v>9062567.5513700005</v>
      </c>
    </row>
    <row r="214" spans="2:21" x14ac:dyDescent="0.2">
      <c r="B214" s="300"/>
      <c r="C214" s="301"/>
      <c r="D214" s="269"/>
      <c r="E214" s="268"/>
      <c r="F214" s="268"/>
      <c r="G214" s="296"/>
      <c r="H214" s="293"/>
      <c r="I214" s="302"/>
      <c r="J214" s="253"/>
      <c r="K214" s="268"/>
      <c r="L214" s="268"/>
      <c r="M214" s="296"/>
      <c r="N214" s="293"/>
      <c r="O214" s="302"/>
      <c r="P214" s="253"/>
      <c r="Q214" s="268"/>
      <c r="R214" s="268"/>
      <c r="S214" s="268"/>
      <c r="T214" s="302"/>
      <c r="U214" s="498"/>
    </row>
    <row r="215" spans="2:21" x14ac:dyDescent="0.2">
      <c r="B215" s="499" t="s">
        <v>11</v>
      </c>
      <c r="C215" s="500"/>
      <c r="D215" s="398"/>
      <c r="E215" s="347">
        <v>31066759.999999996</v>
      </c>
      <c r="F215" s="411">
        <v>1621277.2645532298</v>
      </c>
      <c r="G215" s="419">
        <v>1765764.2245532293</v>
      </c>
      <c r="H215" s="411">
        <v>0</v>
      </c>
      <c r="I215" s="411">
        <v>0</v>
      </c>
      <c r="J215" s="257"/>
      <c r="K215" s="347">
        <v>30967899.999999996</v>
      </c>
      <c r="L215" s="411">
        <v>1618682.5923708156</v>
      </c>
      <c r="M215" s="419">
        <v>1763169.5523708153</v>
      </c>
      <c r="N215" s="411">
        <v>0</v>
      </c>
      <c r="O215" s="411">
        <v>0</v>
      </c>
      <c r="P215" s="257"/>
      <c r="Q215" s="347">
        <v>30699732.999999996</v>
      </c>
      <c r="R215" s="411">
        <v>1611644.3013012079</v>
      </c>
      <c r="S215" s="419">
        <v>1756131.2613012078</v>
      </c>
      <c r="T215" s="411">
        <v>0</v>
      </c>
      <c r="U215" s="411">
        <v>0</v>
      </c>
    </row>
    <row r="216" spans="2:21" x14ac:dyDescent="0.2">
      <c r="B216" s="284"/>
      <c r="C216" s="285"/>
      <c r="D216" s="417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492"/>
    </row>
    <row r="219" spans="2:21" s="167" customFormat="1" x14ac:dyDescent="0.2">
      <c r="B219" s="170" t="s">
        <v>173</v>
      </c>
      <c r="C219" s="173"/>
      <c r="E219" s="174">
        <f t="shared" ref="E219:E225" si="49">SUMIF($B$10:$B$216,$B219,E$10:E$216)</f>
        <v>636378193</v>
      </c>
      <c r="G219" s="175"/>
      <c r="H219" s="176">
        <f t="shared" ref="H219:I225" si="50">SUMIF($B$10:$B$216,$B219,H$10:H$216)</f>
        <v>12569040.362128628</v>
      </c>
      <c r="I219" s="176">
        <f t="shared" si="50"/>
        <v>52129036.556168869</v>
      </c>
      <c r="J219" s="171"/>
      <c r="K219" s="174">
        <f t="shared" ref="K219:K225" si="51">SUMIF($B$10:$B$216,$B219,K$10:K$216)</f>
        <v>639473381</v>
      </c>
      <c r="M219" s="175"/>
      <c r="N219" s="176">
        <f t="shared" ref="N219:O225" si="52">SUMIF($B$10:$B$216,$B219,N$10:N$216)</f>
        <v>-3061395.9073436842</v>
      </c>
      <c r="O219" s="176">
        <f t="shared" si="52"/>
        <v>86629999.66663608</v>
      </c>
      <c r="P219" s="171"/>
      <c r="Q219" s="174">
        <f t="shared" ref="Q219:Q225" si="53">SUMIF($B$10:$B$216,$B219,Q$10:Q$216)</f>
        <v>638276545</v>
      </c>
      <c r="S219" s="175"/>
      <c r="T219" s="176">
        <f t="shared" ref="T219:U225" si="54">SUMIF($B$10:$B$216,$B219,T$10:T$216)</f>
        <v>-13782050.931193708</v>
      </c>
      <c r="U219" s="176">
        <f t="shared" si="54"/>
        <v>112270579.79538961</v>
      </c>
    </row>
    <row r="220" spans="2:21" s="167" customFormat="1" x14ac:dyDescent="0.2">
      <c r="B220" s="170" t="s">
        <v>177</v>
      </c>
      <c r="C220" s="173"/>
      <c r="E220" s="174">
        <f t="shared" si="49"/>
        <v>243226645</v>
      </c>
      <c r="G220" s="175"/>
      <c r="H220" s="176">
        <f t="shared" si="50"/>
        <v>5260999.1640201649</v>
      </c>
      <c r="I220" s="176">
        <f t="shared" si="50"/>
        <v>21819551.043014977</v>
      </c>
      <c r="J220" s="171"/>
      <c r="K220" s="174">
        <f t="shared" si="51"/>
        <v>245970110</v>
      </c>
      <c r="M220" s="175"/>
      <c r="N220" s="176">
        <f t="shared" si="52"/>
        <v>-1281402.6246425586</v>
      </c>
      <c r="O220" s="176">
        <f t="shared" si="52"/>
        <v>36260553.12850108</v>
      </c>
      <c r="P220" s="171"/>
      <c r="Q220" s="174">
        <f t="shared" si="53"/>
        <v>245908003</v>
      </c>
      <c r="S220" s="175"/>
      <c r="T220" s="176">
        <f t="shared" si="54"/>
        <v>-5768726.6759014493</v>
      </c>
      <c r="U220" s="176">
        <f t="shared" si="54"/>
        <v>46992881.670369111</v>
      </c>
    </row>
    <row r="221" spans="2:21" s="167" customFormat="1" x14ac:dyDescent="0.2">
      <c r="B221" s="170" t="s">
        <v>178</v>
      </c>
      <c r="C221" s="173"/>
      <c r="E221" s="174">
        <f t="shared" si="49"/>
        <v>92387406</v>
      </c>
      <c r="G221" s="175"/>
      <c r="H221" s="176">
        <f t="shared" si="50"/>
        <v>846717.43769725377</v>
      </c>
      <c r="I221" s="176">
        <f t="shared" si="50"/>
        <v>3511689.2770476155</v>
      </c>
      <c r="J221" s="171"/>
      <c r="K221" s="174">
        <f t="shared" si="51"/>
        <v>93400775</v>
      </c>
      <c r="M221" s="175"/>
      <c r="N221" s="176">
        <f t="shared" si="52"/>
        <v>-206231.91777259222</v>
      </c>
      <c r="O221" s="176">
        <f t="shared" si="52"/>
        <v>5835857.7291596578</v>
      </c>
      <c r="P221" s="171"/>
      <c r="Q221" s="174">
        <f t="shared" si="53"/>
        <v>93526174</v>
      </c>
      <c r="S221" s="175"/>
      <c r="T221" s="176">
        <f t="shared" si="54"/>
        <v>-928432.28396611649</v>
      </c>
      <c r="U221" s="176">
        <f t="shared" si="54"/>
        <v>7563143.638202006</v>
      </c>
    </row>
    <row r="222" spans="2:21" s="167" customFormat="1" x14ac:dyDescent="0.2">
      <c r="B222" s="170" t="s">
        <v>179</v>
      </c>
      <c r="C222" s="173"/>
      <c r="E222" s="174">
        <f t="shared" si="49"/>
        <v>73912158</v>
      </c>
      <c r="G222" s="175"/>
      <c r="H222" s="176">
        <f t="shared" si="50"/>
        <v>422541.14498160122</v>
      </c>
      <c r="I222" s="176">
        <f t="shared" si="50"/>
        <v>1752453.8197521563</v>
      </c>
      <c r="J222" s="171"/>
      <c r="K222" s="174">
        <f t="shared" si="51"/>
        <v>73034304</v>
      </c>
      <c r="M222" s="175"/>
      <c r="N222" s="176">
        <f t="shared" si="52"/>
        <v>-102916.82536310327</v>
      </c>
      <c r="O222" s="176">
        <f t="shared" si="52"/>
        <v>2912293.8740167231</v>
      </c>
      <c r="P222" s="171"/>
      <c r="Q222" s="174">
        <f t="shared" si="53"/>
        <v>71793070</v>
      </c>
      <c r="S222" s="175"/>
      <c r="T222" s="176">
        <f t="shared" si="54"/>
        <v>-463319.66585196782</v>
      </c>
      <c r="U222" s="176">
        <f t="shared" si="54"/>
        <v>3774268.9949050443</v>
      </c>
    </row>
    <row r="223" spans="2:21" s="167" customFormat="1" x14ac:dyDescent="0.2">
      <c r="B223" s="170" t="s">
        <v>181</v>
      </c>
      <c r="C223" s="173"/>
      <c r="E223" s="174">
        <f t="shared" si="49"/>
        <v>6233899</v>
      </c>
      <c r="G223" s="175"/>
      <c r="H223" s="176">
        <f t="shared" si="50"/>
        <v>42371.232692892176</v>
      </c>
      <c r="I223" s="176">
        <f t="shared" si="50"/>
        <v>175731.11982621142</v>
      </c>
      <c r="J223" s="171"/>
      <c r="K223" s="174">
        <f t="shared" si="51"/>
        <v>6068110</v>
      </c>
      <c r="M223" s="175"/>
      <c r="N223" s="176">
        <f t="shared" si="52"/>
        <v>-10320.208593328054</v>
      </c>
      <c r="O223" s="176">
        <f t="shared" si="52"/>
        <v>292036.6048883124</v>
      </c>
      <c r="P223" s="171"/>
      <c r="Q223" s="174">
        <f t="shared" si="53"/>
        <v>5827771</v>
      </c>
      <c r="S223" s="175"/>
      <c r="T223" s="176">
        <f t="shared" si="54"/>
        <v>-46460.387600505965</v>
      </c>
      <c r="U223" s="176">
        <f t="shared" si="54"/>
        <v>378473.03565112781</v>
      </c>
    </row>
    <row r="224" spans="2:21" s="167" customFormat="1" x14ac:dyDescent="0.2">
      <c r="B224" s="170" t="s">
        <v>182</v>
      </c>
      <c r="C224" s="173"/>
      <c r="E224" s="174">
        <f t="shared" si="49"/>
        <v>131354834.00000003</v>
      </c>
      <c r="G224" s="175"/>
      <c r="H224" s="176">
        <f t="shared" si="50"/>
        <v>426307.08146396856</v>
      </c>
      <c r="I224" s="176">
        <f t="shared" si="50"/>
        <v>1768072.7242111671</v>
      </c>
      <c r="J224" s="171"/>
      <c r="K224" s="174">
        <f t="shared" si="51"/>
        <v>143255052</v>
      </c>
      <c r="L224" s="170"/>
      <c r="M224" s="171"/>
      <c r="N224" s="176">
        <f t="shared" si="52"/>
        <v>-103834.08095320969</v>
      </c>
      <c r="O224" s="176">
        <f t="shared" si="52"/>
        <v>2938249.9587147282</v>
      </c>
      <c r="P224" s="171"/>
      <c r="Q224" s="174">
        <f t="shared" si="53"/>
        <v>150281390</v>
      </c>
      <c r="R224" s="170"/>
      <c r="S224" s="171"/>
      <c r="T224" s="176">
        <f t="shared" si="54"/>
        <v>-467449.0446198181</v>
      </c>
      <c r="U224" s="176">
        <f t="shared" si="54"/>
        <v>3807907.5114637092</v>
      </c>
    </row>
    <row r="225" spans="2:21" s="167" customFormat="1" x14ac:dyDescent="0.2">
      <c r="B225" s="170" t="s">
        <v>11</v>
      </c>
      <c r="C225" s="173"/>
      <c r="E225" s="174">
        <f t="shared" si="49"/>
        <v>31066759.999999996</v>
      </c>
      <c r="G225" s="175"/>
      <c r="H225" s="176">
        <f t="shared" si="50"/>
        <v>0</v>
      </c>
      <c r="I225" s="176">
        <f t="shared" si="50"/>
        <v>0</v>
      </c>
      <c r="J225" s="171"/>
      <c r="K225" s="174">
        <f t="shared" si="51"/>
        <v>30967899.999999996</v>
      </c>
      <c r="M225" s="175"/>
      <c r="N225" s="176">
        <f t="shared" si="52"/>
        <v>0</v>
      </c>
      <c r="O225" s="176">
        <f t="shared" si="52"/>
        <v>0</v>
      </c>
      <c r="P225" s="171"/>
      <c r="Q225" s="174">
        <f t="shared" si="53"/>
        <v>30699732.999999996</v>
      </c>
      <c r="S225" s="175"/>
      <c r="T225" s="176">
        <f t="shared" si="54"/>
        <v>0</v>
      </c>
      <c r="U225" s="176">
        <f t="shared" si="54"/>
        <v>0</v>
      </c>
    </row>
    <row r="226" spans="2:21" s="167" customFormat="1" x14ac:dyDescent="0.2">
      <c r="B226" s="173"/>
      <c r="C226" s="173"/>
      <c r="E226" s="177">
        <f>SUM(E219:E225)</f>
        <v>1214559895</v>
      </c>
      <c r="G226" s="175"/>
      <c r="H226" s="178">
        <f>SUM(H219:H225)</f>
        <v>19567976.422984511</v>
      </c>
      <c r="I226" s="178">
        <f>SUM(I219:I225)</f>
        <v>81156534.540021002</v>
      </c>
      <c r="J226" s="171"/>
      <c r="K226" s="177">
        <f>SUM(K219:K225)</f>
        <v>1232169632</v>
      </c>
      <c r="M226" s="175"/>
      <c r="N226" s="178">
        <f>SUM(N219:N225)</f>
        <v>-4766101.5646684766</v>
      </c>
      <c r="O226" s="178">
        <f>SUM(O219:O225)</f>
        <v>134868990.96191657</v>
      </c>
      <c r="P226" s="171"/>
      <c r="Q226" s="177">
        <f>SUM(Q219:Q225)</f>
        <v>1236312686</v>
      </c>
      <c r="S226" s="175"/>
      <c r="T226" s="178">
        <f>SUM(T219:T225)</f>
        <v>-21456438.989133567</v>
      </c>
      <c r="U226" s="178">
        <f>SUM(U219:U225)</f>
        <v>174787254.6459806</v>
      </c>
    </row>
    <row r="227" spans="2:21" s="167" customFormat="1" x14ac:dyDescent="0.2">
      <c r="B227" s="173"/>
      <c r="C227" s="173"/>
      <c r="G227" s="175"/>
      <c r="H227" s="175"/>
      <c r="I227" s="175"/>
      <c r="J227" s="171"/>
      <c r="M227" s="175"/>
      <c r="N227" s="175"/>
      <c r="O227" s="175"/>
      <c r="P227" s="171"/>
      <c r="S227" s="175"/>
      <c r="T227" s="175"/>
      <c r="U227" s="175"/>
    </row>
    <row r="228" spans="2:21" s="167" customFormat="1" x14ac:dyDescent="0.2">
      <c r="B228" s="167" t="s">
        <v>183</v>
      </c>
      <c r="C228" s="173"/>
      <c r="E228" s="179">
        <v>1214559895.2139997</v>
      </c>
      <c r="F228" s="179"/>
      <c r="G228" s="179"/>
      <c r="H228" s="179"/>
      <c r="I228" s="179"/>
      <c r="J228" s="174"/>
      <c r="K228" s="179">
        <v>1232169632.2139997</v>
      </c>
      <c r="L228" s="179"/>
      <c r="M228" s="179"/>
      <c r="N228" s="179"/>
      <c r="O228" s="179"/>
      <c r="P228" s="174"/>
      <c r="Q228" s="179">
        <v>1236312686.2139997</v>
      </c>
      <c r="S228" s="175"/>
      <c r="T228" s="179"/>
      <c r="U228" s="179"/>
    </row>
    <row r="229" spans="2:21" s="167" customFormat="1" x14ac:dyDescent="0.2">
      <c r="B229" s="167" t="s">
        <v>130</v>
      </c>
      <c r="C229" s="173"/>
      <c r="E229" s="179">
        <f>E228-E226</f>
        <v>0.21399974822998047</v>
      </c>
      <c r="F229" s="179"/>
      <c r="G229" s="179"/>
      <c r="H229" s="179"/>
      <c r="I229" s="179"/>
      <c r="J229" s="174"/>
      <c r="K229" s="179">
        <f>K228-K226</f>
        <v>0.21399974822998047</v>
      </c>
      <c r="L229" s="179"/>
      <c r="M229" s="179"/>
      <c r="N229" s="179"/>
      <c r="O229" s="179"/>
      <c r="P229" s="174"/>
      <c r="Q229" s="179">
        <f>Q228-Q226</f>
        <v>0.21399974822998047</v>
      </c>
      <c r="S229" s="175"/>
      <c r="T229" s="179"/>
      <c r="U229" s="179"/>
    </row>
    <row r="230" spans="2:21" s="167" customFormat="1" x14ac:dyDescent="0.2">
      <c r="C230" s="173"/>
      <c r="G230" s="175"/>
      <c r="H230" s="175"/>
      <c r="I230" s="175"/>
      <c r="J230" s="171"/>
      <c r="M230" s="175"/>
      <c r="N230" s="175"/>
      <c r="O230" s="175"/>
      <c r="P230" s="171"/>
      <c r="S230" s="175"/>
      <c r="T230" s="175"/>
      <c r="U230" s="175"/>
    </row>
    <row r="231" spans="2:21" s="167" customFormat="1" x14ac:dyDescent="0.2">
      <c r="C231" s="173"/>
      <c r="G231" s="175"/>
      <c r="H231" s="175"/>
      <c r="I231" s="175"/>
      <c r="J231" s="171"/>
      <c r="M231" s="175"/>
      <c r="N231" s="175"/>
      <c r="O231" s="175"/>
      <c r="P231" s="171"/>
      <c r="S231" s="175"/>
      <c r="T231" s="175"/>
      <c r="U231" s="175"/>
    </row>
    <row r="232" spans="2:21" s="167" customFormat="1" x14ac:dyDescent="0.2">
      <c r="B232" s="167" t="s">
        <v>122</v>
      </c>
      <c r="C232" s="173"/>
      <c r="F232" s="180">
        <f>SUMIF($E$10:$E$216,$B232,F10:F216)+F215</f>
        <v>538782987.24303615</v>
      </c>
      <c r="G232" s="180">
        <f>SUMIF($E$10:$E$216,$B232,G10:G216)+G215</f>
        <v>603538543.95472109</v>
      </c>
      <c r="H232" s="175"/>
      <c r="I232" s="175"/>
      <c r="J232" s="171"/>
      <c r="L232" s="179">
        <f>SUMIF($E$10:$E$216,$B232,L10:L216)+L215</f>
        <v>542871490.888749</v>
      </c>
      <c r="M232" s="179">
        <f>SUMIF($E$10:$E$216,$B232,M10:M216)+M215</f>
        <v>608138595.70200002</v>
      </c>
      <c r="N232" s="175"/>
      <c r="O232" s="175"/>
      <c r="P232" s="171"/>
      <c r="R232" s="179">
        <f>SUMIF($E$10:$E$216,$B232,R10:R216)+R215</f>
        <v>543725706.34709656</v>
      </c>
      <c r="S232" s="179">
        <f>SUMIF($E$10:$E$216,$B232,S10:S216)+S215</f>
        <v>609092067.09239793</v>
      </c>
      <c r="T232" s="175"/>
      <c r="U232" s="175"/>
    </row>
    <row r="233" spans="2:21" s="167" customFormat="1" x14ac:dyDescent="0.2">
      <c r="B233" s="167" t="s">
        <v>184</v>
      </c>
      <c r="C233" s="173"/>
      <c r="F233" s="180">
        <v>538782987.23529589</v>
      </c>
      <c r="G233" s="180"/>
      <c r="H233" s="175"/>
      <c r="I233" s="175"/>
      <c r="J233" s="171"/>
      <c r="L233" s="179">
        <v>542871490.87519062</v>
      </c>
      <c r="M233" s="175"/>
      <c r="N233" s="175"/>
      <c r="O233" s="175"/>
      <c r="P233" s="171"/>
      <c r="R233" s="179">
        <v>543725706.35494435</v>
      </c>
      <c r="S233" s="175"/>
      <c r="T233" s="175"/>
      <c r="U233" s="175"/>
    </row>
    <row r="234" spans="2:21" s="167" customFormat="1" x14ac:dyDescent="0.2">
      <c r="B234" s="167" t="s">
        <v>130</v>
      </c>
      <c r="C234" s="173"/>
      <c r="F234" s="180">
        <f>F232-F233</f>
        <v>7.7402591705322266E-3</v>
      </c>
      <c r="G234" s="180"/>
      <c r="H234" s="175"/>
      <c r="I234" s="175"/>
      <c r="J234" s="171"/>
      <c r="L234" s="179">
        <f>L232-L233</f>
        <v>1.3558387756347656E-2</v>
      </c>
      <c r="M234" s="175"/>
      <c r="N234" s="175"/>
      <c r="O234" s="175"/>
      <c r="P234" s="171"/>
      <c r="R234" s="179">
        <f>R232-R233</f>
        <v>-7.8477859497070313E-3</v>
      </c>
      <c r="S234" s="175"/>
      <c r="T234" s="175"/>
      <c r="U234" s="175"/>
    </row>
    <row r="235" spans="2:21" s="167" customFormat="1" x14ac:dyDescent="0.2">
      <c r="B235" s="173"/>
      <c r="C235" s="173"/>
      <c r="G235" s="175"/>
      <c r="H235" s="175"/>
      <c r="I235" s="175"/>
      <c r="J235" s="171"/>
      <c r="M235" s="175"/>
      <c r="N235" s="175"/>
      <c r="O235" s="175"/>
      <c r="P235" s="171"/>
      <c r="S235" s="175"/>
      <c r="T235" s="175"/>
      <c r="U235" s="175"/>
    </row>
    <row r="236" spans="2:21" s="167" customFormat="1" x14ac:dyDescent="0.2">
      <c r="B236" s="173"/>
      <c r="C236" s="173"/>
      <c r="G236" s="175"/>
      <c r="H236" s="175"/>
      <c r="I236" s="175"/>
      <c r="J236" s="171"/>
      <c r="M236" s="175"/>
      <c r="N236" s="175"/>
      <c r="O236" s="175"/>
      <c r="P236" s="171"/>
      <c r="S236" s="175"/>
      <c r="T236" s="175"/>
      <c r="U236" s="175"/>
    </row>
    <row r="237" spans="2:21" s="167" customFormat="1" x14ac:dyDescent="0.2">
      <c r="B237" s="173"/>
      <c r="C237" s="173"/>
      <c r="G237" s="175"/>
      <c r="H237" s="175"/>
      <c r="I237" s="175"/>
      <c r="J237" s="171"/>
      <c r="M237" s="175"/>
      <c r="N237" s="175"/>
      <c r="O237" s="175"/>
      <c r="P237" s="171"/>
      <c r="S237" s="175"/>
      <c r="T237" s="175"/>
      <c r="U237" s="175"/>
    </row>
    <row r="238" spans="2:21" s="167" customFormat="1" x14ac:dyDescent="0.2"/>
    <row r="239" spans="2:21" s="180" customFormat="1" x14ac:dyDescent="0.2">
      <c r="B239" s="176" t="s">
        <v>185</v>
      </c>
      <c r="C239" s="181"/>
      <c r="I239" s="180">
        <f t="shared" ref="I239:I251" si="55">SUMIF($B$10:$B$216,$B239,I$10:I$216)</f>
        <v>487178699.54787004</v>
      </c>
      <c r="J239" s="176"/>
      <c r="O239" s="180">
        <f t="shared" ref="O239:O251" si="56">SUMIF($B$10:$B$216,$B239,O$10:O$216)</f>
        <v>508949728.04832</v>
      </c>
      <c r="P239" s="176"/>
      <c r="U239" s="180">
        <f t="shared" ref="U239:U251" si="57">SUMIF($B$10:$B$216,$B239,U$10:U$216)</f>
        <v>524764861.83803004</v>
      </c>
    </row>
    <row r="240" spans="2:21" s="180" customFormat="1" x14ac:dyDescent="0.2">
      <c r="B240" s="176" t="s">
        <v>186</v>
      </c>
      <c r="C240" s="181"/>
      <c r="I240" s="180">
        <f t="shared" si="55"/>
        <v>0</v>
      </c>
      <c r="J240" s="176"/>
      <c r="O240" s="180">
        <f t="shared" si="56"/>
        <v>0</v>
      </c>
      <c r="P240" s="176"/>
      <c r="U240" s="180">
        <f t="shared" si="57"/>
        <v>0</v>
      </c>
    </row>
    <row r="241" spans="2:21" s="180" customFormat="1" x14ac:dyDescent="0.2">
      <c r="B241" s="176" t="s">
        <v>187</v>
      </c>
      <c r="C241" s="181"/>
      <c r="I241" s="180">
        <f t="shared" si="55"/>
        <v>6680.5894399999997</v>
      </c>
      <c r="J241" s="176"/>
      <c r="O241" s="180">
        <f t="shared" si="56"/>
        <v>6936.8057600000011</v>
      </c>
      <c r="P241" s="176"/>
      <c r="U241" s="180">
        <f t="shared" si="57"/>
        <v>7145.5059199999996</v>
      </c>
    </row>
    <row r="242" spans="2:21" s="180" customFormat="1" x14ac:dyDescent="0.2">
      <c r="B242" s="176" t="s">
        <v>188</v>
      </c>
      <c r="C242" s="181"/>
      <c r="I242" s="180">
        <f t="shared" si="55"/>
        <v>164698885.37007999</v>
      </c>
      <c r="J242" s="176"/>
      <c r="O242" s="180">
        <f t="shared" si="56"/>
        <v>173984486.58294004</v>
      </c>
      <c r="P242" s="176"/>
      <c r="U242" s="180">
        <f t="shared" si="57"/>
        <v>180304901.30878001</v>
      </c>
    </row>
    <row r="243" spans="2:21" s="180" customFormat="1" x14ac:dyDescent="0.2">
      <c r="B243" s="176" t="s">
        <v>189</v>
      </c>
      <c r="C243" s="181"/>
      <c r="I243" s="180">
        <f t="shared" si="55"/>
        <v>27607.842140000001</v>
      </c>
      <c r="J243" s="176"/>
      <c r="O243" s="180">
        <f t="shared" si="56"/>
        <v>28362.54783</v>
      </c>
      <c r="P243" s="176"/>
      <c r="U243" s="180">
        <f t="shared" si="57"/>
        <v>28774.935000000001</v>
      </c>
    </row>
    <row r="244" spans="2:21" s="180" customFormat="1" x14ac:dyDescent="0.2">
      <c r="B244" s="176" t="s">
        <v>190</v>
      </c>
      <c r="C244" s="181"/>
      <c r="I244" s="180">
        <f t="shared" si="55"/>
        <v>22723855.954799999</v>
      </c>
      <c r="J244" s="176"/>
      <c r="O244" s="180">
        <f t="shared" si="56"/>
        <v>23590956.734779999</v>
      </c>
      <c r="P244" s="176"/>
      <c r="U244" s="180">
        <f t="shared" si="57"/>
        <v>24147595.496499997</v>
      </c>
    </row>
    <row r="245" spans="2:21" s="180" customFormat="1" x14ac:dyDescent="0.2">
      <c r="B245" s="176" t="s">
        <v>191</v>
      </c>
      <c r="C245" s="181"/>
      <c r="I245" s="180">
        <f t="shared" si="55"/>
        <v>6586393.2955700001</v>
      </c>
      <c r="J245" s="176"/>
      <c r="O245" s="180">
        <f t="shared" si="56"/>
        <v>7115167.3931799997</v>
      </c>
      <c r="P245" s="176"/>
      <c r="U245" s="180">
        <f t="shared" si="57"/>
        <v>7568861.7816000003</v>
      </c>
    </row>
    <row r="246" spans="2:21" s="180" customFormat="1" x14ac:dyDescent="0.2">
      <c r="B246" s="176" t="s">
        <v>192</v>
      </c>
      <c r="C246" s="181"/>
      <c r="I246" s="180">
        <f t="shared" si="55"/>
        <v>1868279.2423762877</v>
      </c>
      <c r="J246" s="176"/>
      <c r="O246" s="180">
        <f t="shared" si="56"/>
        <v>1916328.7712428775</v>
      </c>
      <c r="P246" s="176"/>
      <c r="U246" s="180">
        <f t="shared" si="57"/>
        <v>1925864.1173185315</v>
      </c>
    </row>
    <row r="247" spans="2:21" s="180" customFormat="1" x14ac:dyDescent="0.2">
      <c r="B247" s="176" t="s">
        <v>193</v>
      </c>
      <c r="C247" s="181"/>
      <c r="I247" s="180">
        <f t="shared" si="55"/>
        <v>9069306.0235570278</v>
      </c>
      <c r="J247" s="176"/>
      <c r="O247" s="180">
        <f t="shared" si="56"/>
        <v>9573839.033328902</v>
      </c>
      <c r="P247" s="176"/>
      <c r="U247" s="180">
        <f t="shared" si="57"/>
        <v>9950759.5902853776</v>
      </c>
    </row>
    <row r="248" spans="2:21" s="180" customFormat="1" x14ac:dyDescent="0.2">
      <c r="B248" s="176" t="s">
        <v>194</v>
      </c>
      <c r="C248" s="181"/>
      <c r="I248" s="180">
        <f t="shared" si="55"/>
        <v>1303199.4900881795</v>
      </c>
      <c r="J248" s="176"/>
      <c r="O248" s="180">
        <f t="shared" si="56"/>
        <v>1318321.4884389071</v>
      </c>
      <c r="P248" s="176"/>
      <c r="U248" s="180">
        <f t="shared" si="57"/>
        <v>1308980.2841712791</v>
      </c>
    </row>
    <row r="249" spans="2:21" s="180" customFormat="1" x14ac:dyDescent="0.2">
      <c r="B249" s="176" t="s">
        <v>195</v>
      </c>
      <c r="C249" s="181"/>
      <c r="I249" s="180">
        <f t="shared" si="55"/>
        <v>162594.67782640821</v>
      </c>
      <c r="J249" s="176"/>
      <c r="O249" s="180">
        <f t="shared" si="56"/>
        <v>175406.6374184204</v>
      </c>
      <c r="P249" s="176"/>
      <c r="U249" s="180">
        <f t="shared" si="57"/>
        <v>188013.84119153468</v>
      </c>
    </row>
    <row r="250" spans="2:21" s="180" customFormat="1" x14ac:dyDescent="0.2">
      <c r="B250" s="176" t="s">
        <v>196</v>
      </c>
      <c r="C250" s="181"/>
      <c r="I250" s="180">
        <f t="shared" si="55"/>
        <v>1444916.10283</v>
      </c>
      <c r="J250" s="176"/>
      <c r="O250" s="180">
        <f t="shared" si="56"/>
        <v>1443046.3743899998</v>
      </c>
      <c r="P250" s="176"/>
      <c r="U250" s="180">
        <f t="shared" si="57"/>
        <v>1412687.44833</v>
      </c>
    </row>
    <row r="251" spans="2:21" s="180" customFormat="1" x14ac:dyDescent="0.2">
      <c r="B251" s="176" t="s">
        <v>197</v>
      </c>
      <c r="C251" s="181"/>
      <c r="I251" s="180">
        <f t="shared" si="55"/>
        <v>7429999.2833100008</v>
      </c>
      <c r="J251" s="176"/>
      <c r="O251" s="180">
        <f t="shared" si="56"/>
        <v>8374290.7146899998</v>
      </c>
      <c r="P251" s="176"/>
      <c r="U251" s="180">
        <f t="shared" si="57"/>
        <v>9062567.5513700005</v>
      </c>
    </row>
    <row r="252" spans="2:21" s="180" customFormat="1" x14ac:dyDescent="0.2">
      <c r="B252" s="180" t="s">
        <v>11</v>
      </c>
      <c r="I252" s="180">
        <f>G215</f>
        <v>1765764.2245532293</v>
      </c>
      <c r="O252" s="180">
        <f>M215</f>
        <v>1763169.5523708153</v>
      </c>
      <c r="U252" s="180">
        <f>S215</f>
        <v>1756131.2613012078</v>
      </c>
    </row>
    <row r="253" spans="2:21" s="180" customFormat="1" x14ac:dyDescent="0.2">
      <c r="B253" s="181" t="s">
        <v>3</v>
      </c>
      <c r="C253" s="181"/>
      <c r="I253" s="181">
        <f>SUM(I239:I252)</f>
        <v>704266181.64444137</v>
      </c>
      <c r="J253" s="176"/>
      <c r="O253" s="181">
        <f>SUM(O239:O252)</f>
        <v>738240040.68468988</v>
      </c>
      <c r="P253" s="176"/>
      <c r="U253" s="181">
        <f>SUM(U239:U252)</f>
        <v>762427144.95979786</v>
      </c>
    </row>
    <row r="254" spans="2:21" s="180" customFormat="1" x14ac:dyDescent="0.2">
      <c r="B254" s="181"/>
      <c r="C254" s="181"/>
      <c r="J254" s="176"/>
      <c r="P254" s="176"/>
    </row>
    <row r="255" spans="2:21" s="183" customFormat="1" x14ac:dyDescent="0.2">
      <c r="B255" s="182" t="s">
        <v>198</v>
      </c>
      <c r="C255" s="182"/>
      <c r="I255" s="183">
        <f>'Exh JDT-5 (MYRP-SUM)'!I30</f>
        <v>704266181.64444113</v>
      </c>
      <c r="J255" s="184"/>
      <c r="O255" s="183">
        <f>'Exh JDT-5 (MYRP-SUM)'!N30</f>
        <v>738240040.68469012</v>
      </c>
      <c r="P255" s="184"/>
      <c r="U255" s="183">
        <f>'Exh JDT-5 (MYRP-SUM)'!S30</f>
        <v>762427144.95979798</v>
      </c>
    </row>
    <row r="256" spans="2:21" s="183" customFormat="1" x14ac:dyDescent="0.2">
      <c r="B256" s="182" t="s">
        <v>130</v>
      </c>
      <c r="C256" s="182"/>
      <c r="I256" s="183">
        <f>I253-I255</f>
        <v>0</v>
      </c>
      <c r="J256" s="184"/>
      <c r="O256" s="183">
        <f>O253-O255</f>
        <v>0</v>
      </c>
      <c r="P256" s="184"/>
      <c r="U256" s="183">
        <f>U253-U255</f>
        <v>0</v>
      </c>
    </row>
    <row r="257" spans="2:21" s="180" customFormat="1" x14ac:dyDescent="0.2">
      <c r="B257" s="181"/>
      <c r="C257" s="181"/>
      <c r="J257" s="176"/>
      <c r="P257" s="176"/>
    </row>
    <row r="258" spans="2:21" s="167" customFormat="1" x14ac:dyDescent="0.2">
      <c r="B258" s="173"/>
      <c r="C258" s="173"/>
      <c r="G258" s="175"/>
      <c r="H258" s="175"/>
      <c r="I258" s="175"/>
      <c r="J258" s="171"/>
      <c r="M258" s="175"/>
      <c r="N258" s="175"/>
      <c r="O258" s="175"/>
      <c r="P258" s="171"/>
      <c r="S258" s="175"/>
      <c r="T258" s="175"/>
      <c r="U258" s="175"/>
    </row>
    <row r="259" spans="2:21" s="167" customFormat="1" x14ac:dyDescent="0.2">
      <c r="B259" s="173"/>
      <c r="C259" s="173"/>
      <c r="G259" s="175"/>
      <c r="H259" s="175"/>
      <c r="I259" s="175"/>
      <c r="J259" s="171"/>
      <c r="M259" s="175"/>
      <c r="N259" s="175"/>
      <c r="O259" s="175"/>
      <c r="P259" s="171"/>
      <c r="S259" s="175"/>
      <c r="T259" s="175"/>
      <c r="U259" s="175"/>
    </row>
    <row r="260" spans="2:21" s="167" customFormat="1" x14ac:dyDescent="0.2">
      <c r="B260" s="173"/>
      <c r="C260" s="173"/>
      <c r="G260" s="175"/>
      <c r="H260" s="175"/>
      <c r="I260" s="175"/>
      <c r="J260" s="171"/>
      <c r="M260" s="175"/>
      <c r="N260" s="175"/>
      <c r="O260" s="175"/>
      <c r="P260" s="171"/>
      <c r="S260" s="175"/>
      <c r="T260" s="175"/>
      <c r="U260" s="175"/>
    </row>
    <row r="261" spans="2:21" s="167" customFormat="1" x14ac:dyDescent="0.2">
      <c r="B261" s="173"/>
      <c r="C261" s="173"/>
      <c r="G261" s="175"/>
      <c r="H261" s="175"/>
      <c r="I261" s="175"/>
      <c r="J261" s="171"/>
      <c r="M261" s="175"/>
      <c r="N261" s="175"/>
      <c r="O261" s="175"/>
      <c r="P261" s="171"/>
      <c r="S261" s="175"/>
      <c r="T261" s="175"/>
      <c r="U261" s="175"/>
    </row>
    <row r="262" spans="2:21" s="167" customFormat="1" x14ac:dyDescent="0.2">
      <c r="B262" s="173"/>
      <c r="C262" s="173"/>
      <c r="G262" s="175"/>
      <c r="H262" s="175"/>
      <c r="I262" s="175"/>
      <c r="J262" s="171"/>
      <c r="M262" s="175"/>
      <c r="N262" s="175"/>
      <c r="O262" s="175"/>
      <c r="P262" s="171"/>
      <c r="S262" s="175"/>
      <c r="T262" s="175"/>
      <c r="U262" s="175"/>
    </row>
    <row r="263" spans="2:21" s="167" customFormat="1" x14ac:dyDescent="0.2">
      <c r="B263" s="173"/>
      <c r="C263" s="173"/>
      <c r="G263" s="175"/>
      <c r="H263" s="175"/>
      <c r="I263" s="175"/>
      <c r="J263" s="171"/>
      <c r="M263" s="175"/>
      <c r="N263" s="175"/>
      <c r="O263" s="175"/>
      <c r="P263" s="171"/>
      <c r="S263" s="175"/>
      <c r="T263" s="175"/>
      <c r="U263" s="175"/>
    </row>
    <row r="264" spans="2:21" s="167" customFormat="1" x14ac:dyDescent="0.2">
      <c r="B264" s="173"/>
      <c r="C264" s="173"/>
      <c r="G264" s="175"/>
      <c r="H264" s="175"/>
      <c r="I264" s="175"/>
      <c r="J264" s="171"/>
      <c r="M264" s="175"/>
      <c r="N264" s="175"/>
      <c r="O264" s="175"/>
      <c r="P264" s="171"/>
      <c r="S264" s="175"/>
      <c r="T264" s="175"/>
      <c r="U264" s="175"/>
    </row>
    <row r="265" spans="2:21" s="167" customFormat="1" x14ac:dyDescent="0.2">
      <c r="B265" s="173"/>
      <c r="C265" s="173"/>
      <c r="G265" s="175"/>
      <c r="H265" s="175"/>
      <c r="I265" s="175"/>
      <c r="J265" s="171"/>
      <c r="M265" s="175"/>
      <c r="N265" s="175"/>
      <c r="O265" s="175"/>
      <c r="P265" s="171"/>
      <c r="S265" s="175"/>
      <c r="T265" s="175"/>
      <c r="U265" s="175"/>
    </row>
    <row r="266" spans="2:21" s="167" customFormat="1" x14ac:dyDescent="0.2">
      <c r="B266" s="173"/>
      <c r="C266" s="173"/>
      <c r="G266" s="175"/>
      <c r="H266" s="175"/>
      <c r="I266" s="175"/>
      <c r="J266" s="171"/>
      <c r="M266" s="175"/>
      <c r="N266" s="175"/>
      <c r="O266" s="175"/>
      <c r="P266" s="171"/>
      <c r="S266" s="175"/>
      <c r="T266" s="175"/>
      <c r="U266" s="175"/>
    </row>
    <row r="267" spans="2:21" s="167" customFormat="1" x14ac:dyDescent="0.2">
      <c r="B267" s="173"/>
      <c r="C267" s="173"/>
      <c r="G267" s="175"/>
      <c r="H267" s="175"/>
      <c r="I267" s="175"/>
      <c r="J267" s="171"/>
      <c r="M267" s="175"/>
      <c r="N267" s="175"/>
      <c r="O267" s="175"/>
      <c r="P267" s="171"/>
      <c r="S267" s="175"/>
      <c r="T267" s="175"/>
      <c r="U267" s="175"/>
    </row>
    <row r="268" spans="2:21" s="167" customFormat="1" x14ac:dyDescent="0.2">
      <c r="B268" s="173"/>
      <c r="C268" s="173"/>
      <c r="G268" s="175"/>
      <c r="H268" s="175"/>
      <c r="I268" s="175"/>
      <c r="J268" s="171"/>
      <c r="M268" s="175"/>
      <c r="N268" s="175"/>
      <c r="O268" s="175"/>
      <c r="P268" s="171"/>
      <c r="S268" s="175"/>
      <c r="T268" s="175"/>
      <c r="U268" s="175"/>
    </row>
    <row r="269" spans="2:21" s="167" customFormat="1" x14ac:dyDescent="0.2">
      <c r="B269" s="173"/>
      <c r="C269" s="173"/>
      <c r="G269" s="175"/>
      <c r="H269" s="175"/>
      <c r="I269" s="175"/>
      <c r="J269" s="171"/>
      <c r="M269" s="175"/>
      <c r="N269" s="175"/>
      <c r="O269" s="175"/>
      <c r="P269" s="171"/>
      <c r="S269" s="175"/>
      <c r="T269" s="175"/>
      <c r="U269" s="175"/>
    </row>
    <row r="270" spans="2:21" s="167" customFormat="1" x14ac:dyDescent="0.2">
      <c r="B270" s="173"/>
      <c r="C270" s="173"/>
      <c r="G270" s="175"/>
      <c r="H270" s="175"/>
      <c r="I270" s="175"/>
      <c r="J270" s="171"/>
      <c r="M270" s="175"/>
      <c r="N270" s="175"/>
      <c r="O270" s="175"/>
      <c r="P270" s="171"/>
      <c r="S270" s="175"/>
      <c r="T270" s="175"/>
      <c r="U270" s="175"/>
    </row>
    <row r="271" spans="2:21" s="167" customFormat="1" x14ac:dyDescent="0.2">
      <c r="B271" s="173"/>
      <c r="C271" s="173"/>
      <c r="G271" s="175"/>
      <c r="H271" s="175"/>
      <c r="I271" s="175"/>
      <c r="J271" s="171"/>
      <c r="M271" s="175"/>
      <c r="N271" s="175"/>
      <c r="O271" s="175"/>
      <c r="P271" s="171"/>
      <c r="S271" s="175"/>
      <c r="T271" s="175"/>
      <c r="U271" s="175"/>
    </row>
    <row r="272" spans="2:21" s="167" customFormat="1" x14ac:dyDescent="0.2">
      <c r="B272" s="173"/>
      <c r="C272" s="173"/>
      <c r="G272" s="175"/>
      <c r="H272" s="175"/>
      <c r="I272" s="175"/>
      <c r="J272" s="171"/>
      <c r="M272" s="175"/>
      <c r="N272" s="175"/>
      <c r="O272" s="175"/>
      <c r="P272" s="171"/>
      <c r="S272" s="175"/>
      <c r="T272" s="175"/>
      <c r="U272" s="175"/>
    </row>
    <row r="273" spans="2:21" s="167" customFormat="1" x14ac:dyDescent="0.2">
      <c r="B273" s="173"/>
      <c r="C273" s="173"/>
      <c r="G273" s="175"/>
      <c r="H273" s="175"/>
      <c r="I273" s="175"/>
      <c r="J273" s="171"/>
      <c r="M273" s="175"/>
      <c r="N273" s="175"/>
      <c r="O273" s="175"/>
      <c r="P273" s="171"/>
      <c r="S273" s="175"/>
      <c r="T273" s="175"/>
      <c r="U273" s="175"/>
    </row>
    <row r="274" spans="2:21" s="167" customFormat="1" x14ac:dyDescent="0.2">
      <c r="B274" s="173"/>
      <c r="C274" s="173"/>
      <c r="G274" s="175"/>
      <c r="H274" s="175"/>
      <c r="I274" s="175"/>
      <c r="J274" s="171"/>
      <c r="M274" s="175"/>
      <c r="N274" s="175"/>
      <c r="O274" s="175"/>
      <c r="P274" s="171"/>
      <c r="S274" s="175"/>
      <c r="T274" s="175"/>
      <c r="U274" s="175"/>
    </row>
    <row r="275" spans="2:21" s="167" customFormat="1" x14ac:dyDescent="0.2">
      <c r="B275" s="173"/>
      <c r="C275" s="173"/>
      <c r="G275" s="175"/>
      <c r="H275" s="175"/>
      <c r="I275" s="175"/>
      <c r="J275" s="171"/>
      <c r="M275" s="175"/>
      <c r="N275" s="175"/>
      <c r="O275" s="175"/>
      <c r="P275" s="171"/>
      <c r="S275" s="175"/>
      <c r="T275" s="175"/>
      <c r="U275" s="175"/>
    </row>
    <row r="276" spans="2:21" s="167" customFormat="1" x14ac:dyDescent="0.2">
      <c r="B276" s="173"/>
      <c r="C276" s="173"/>
      <c r="G276" s="175"/>
      <c r="H276" s="175"/>
      <c r="I276" s="175"/>
      <c r="J276" s="171"/>
      <c r="M276" s="175"/>
      <c r="N276" s="175"/>
      <c r="O276" s="175"/>
      <c r="P276" s="171"/>
      <c r="S276" s="175"/>
      <c r="T276" s="175"/>
      <c r="U276" s="175"/>
    </row>
    <row r="277" spans="2:21" s="167" customFormat="1" x14ac:dyDescent="0.2">
      <c r="B277" s="173"/>
      <c r="C277" s="173"/>
      <c r="G277" s="175"/>
      <c r="H277" s="175"/>
      <c r="I277" s="175"/>
      <c r="J277" s="171"/>
      <c r="M277" s="175"/>
      <c r="N277" s="175"/>
      <c r="O277" s="175"/>
      <c r="P277" s="171"/>
      <c r="S277" s="175"/>
      <c r="T277" s="175"/>
      <c r="U277" s="175"/>
    </row>
    <row r="278" spans="2:21" s="167" customFormat="1" x14ac:dyDescent="0.2">
      <c r="B278" s="173"/>
      <c r="C278" s="173"/>
      <c r="G278" s="175"/>
      <c r="H278" s="175"/>
      <c r="I278" s="175"/>
      <c r="J278" s="171"/>
      <c r="M278" s="175"/>
      <c r="N278" s="175"/>
      <c r="O278" s="175"/>
      <c r="P278" s="171"/>
      <c r="S278" s="175"/>
      <c r="T278" s="175"/>
      <c r="U278" s="175"/>
    </row>
    <row r="279" spans="2:21" s="167" customFormat="1" x14ac:dyDescent="0.2">
      <c r="B279" s="173"/>
      <c r="C279" s="173"/>
      <c r="G279" s="175"/>
      <c r="H279" s="175"/>
      <c r="I279" s="175"/>
      <c r="J279" s="171"/>
      <c r="M279" s="175"/>
      <c r="N279" s="175"/>
      <c r="O279" s="175"/>
      <c r="P279" s="171"/>
      <c r="S279" s="175"/>
      <c r="T279" s="175"/>
      <c r="U279" s="175"/>
    </row>
  </sheetData>
  <mergeCells count="3">
    <mergeCell ref="E7:I7"/>
    <mergeCell ref="K7:O7"/>
    <mergeCell ref="Q7:U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20" man="1"/>
    <brk id="99" max="16383" man="1"/>
    <brk id="137" min="1" max="20" man="1"/>
    <brk id="172" max="16383" man="1"/>
    <brk id="216" min="1" max="20" man="1"/>
  </rowBreaks>
  <colBreaks count="1" manualBreakCount="1">
    <brk id="10" max="2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90" zoomScaleNormal="90" zoomScaleSheetLayoutView="100" workbookViewId="0">
      <selection activeCell="N17" sqref="N17"/>
    </sheetView>
  </sheetViews>
  <sheetFormatPr defaultColWidth="9.140625" defaultRowHeight="15.75" x14ac:dyDescent="0.25"/>
  <cols>
    <col min="1" max="1" width="4.85546875" style="186" bestFit="1" customWidth="1"/>
    <col min="2" max="2" width="34.42578125" style="186" customWidth="1"/>
    <col min="3" max="3" width="15.140625" style="187" bestFit="1" customWidth="1"/>
    <col min="4" max="4" width="15.140625" style="186" bestFit="1" customWidth="1"/>
    <col min="5" max="5" width="2.140625" style="186" customWidth="1"/>
    <col min="6" max="6" width="15.140625" style="188" bestFit="1" customWidth="1"/>
    <col min="7" max="7" width="15.140625" style="186" bestFit="1" customWidth="1"/>
    <col min="8" max="8" width="14" style="186" bestFit="1" customWidth="1"/>
    <col min="9" max="9" width="15.140625" style="186" bestFit="1" customWidth="1"/>
    <col min="10" max="10" width="2.140625" style="186" customWidth="1"/>
    <col min="11" max="11" width="15.140625" style="187" bestFit="1" customWidth="1"/>
    <col min="12" max="12" width="15.140625" style="186" bestFit="1" customWidth="1"/>
    <col min="13" max="13" width="14.7109375" style="186" bestFit="1" customWidth="1"/>
    <col min="14" max="14" width="15.140625" style="186" bestFit="1" customWidth="1"/>
    <col min="15" max="15" width="2.140625" style="186" customWidth="1"/>
    <col min="16" max="17" width="15.140625" style="186" bestFit="1" customWidth="1"/>
    <col min="18" max="18" width="14.7109375" style="186" bestFit="1" customWidth="1"/>
    <col min="19" max="19" width="15.140625" style="186" bestFit="1" customWidth="1"/>
    <col min="20" max="20" width="12.7109375" style="186" bestFit="1" customWidth="1"/>
    <col min="21" max="16384" width="9.140625" style="186"/>
  </cols>
  <sheetData>
    <row r="1" spans="1:20" x14ac:dyDescent="0.25">
      <c r="B1" s="155" t="s">
        <v>253</v>
      </c>
    </row>
    <row r="2" spans="1:20" s="15" customFormat="1" ht="12.75" x14ac:dyDescent="0.2">
      <c r="B2" s="1" t="s">
        <v>254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s="15" customFormat="1" ht="12.75" x14ac:dyDescent="0.2">
      <c r="B3" s="1" t="s">
        <v>255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s="15" customFormat="1" ht="12.75" x14ac:dyDescent="0.2">
      <c r="B4" s="155" t="s">
        <v>199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</row>
    <row r="5" spans="1:20" s="15" customFormat="1" ht="12.75" x14ac:dyDescent="0.2">
      <c r="B5" s="155" t="str">
        <f>'Exh JDT-5 (RES_RD)'!B5</f>
        <v>Rate Spread and Schedule 141R and 141N Allocation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customHeight="1" x14ac:dyDescent="0.25">
      <c r="F6" s="189"/>
      <c r="G6" s="189"/>
      <c r="H6" s="189"/>
      <c r="I6" s="189"/>
    </row>
    <row r="7" spans="1:20" x14ac:dyDescent="0.25">
      <c r="A7" s="190"/>
      <c r="C7" s="191" t="s">
        <v>200</v>
      </c>
      <c r="D7" s="191"/>
      <c r="F7" s="192">
        <v>2023</v>
      </c>
      <c r="G7" s="192"/>
      <c r="H7" s="192"/>
      <c r="I7" s="192"/>
      <c r="K7" s="192">
        <v>2024</v>
      </c>
      <c r="L7" s="192"/>
      <c r="M7" s="192"/>
      <c r="N7" s="192"/>
      <c r="P7" s="192">
        <v>2025</v>
      </c>
      <c r="Q7" s="192"/>
      <c r="R7" s="192"/>
      <c r="S7" s="192"/>
    </row>
    <row r="8" spans="1:20" ht="45" x14ac:dyDescent="0.25">
      <c r="A8" s="501" t="s">
        <v>1</v>
      </c>
      <c r="B8" s="502" t="s">
        <v>2</v>
      </c>
      <c r="C8" s="501" t="s">
        <v>201</v>
      </c>
      <c r="D8" s="501" t="s">
        <v>202</v>
      </c>
      <c r="E8" s="503"/>
      <c r="F8" s="504" t="s">
        <v>201</v>
      </c>
      <c r="G8" s="501" t="s">
        <v>202</v>
      </c>
      <c r="H8" s="501" t="s">
        <v>203</v>
      </c>
      <c r="I8" s="501" t="s">
        <v>204</v>
      </c>
      <c r="J8" s="503"/>
      <c r="K8" s="504" t="s">
        <v>201</v>
      </c>
      <c r="L8" s="501" t="s">
        <v>202</v>
      </c>
      <c r="M8" s="501" t="s">
        <v>203</v>
      </c>
      <c r="N8" s="501" t="s">
        <v>204</v>
      </c>
      <c r="O8" s="503"/>
      <c r="P8" s="504" t="s">
        <v>201</v>
      </c>
      <c r="Q8" s="501" t="s">
        <v>202</v>
      </c>
      <c r="R8" s="501" t="s">
        <v>203</v>
      </c>
      <c r="S8" s="501" t="s">
        <v>204</v>
      </c>
    </row>
    <row r="9" spans="1:20" x14ac:dyDescent="0.25">
      <c r="A9" s="505"/>
      <c r="B9" s="506" t="s">
        <v>205</v>
      </c>
      <c r="C9" s="193" t="s">
        <v>206</v>
      </c>
      <c r="D9" s="193" t="s">
        <v>207</v>
      </c>
      <c r="E9" s="193"/>
      <c r="F9" s="193" t="s">
        <v>208</v>
      </c>
      <c r="G9" s="193" t="s">
        <v>209</v>
      </c>
      <c r="H9" s="193" t="s">
        <v>210</v>
      </c>
      <c r="I9" s="193" t="s">
        <v>211</v>
      </c>
      <c r="J9" s="193"/>
      <c r="K9" s="193" t="s">
        <v>212</v>
      </c>
      <c r="L9" s="193" t="s">
        <v>213</v>
      </c>
      <c r="M9" s="193" t="s">
        <v>214</v>
      </c>
      <c r="N9" s="193" t="s">
        <v>215</v>
      </c>
      <c r="O9" s="193"/>
      <c r="P9" s="193" t="s">
        <v>216</v>
      </c>
      <c r="Q9" s="193" t="s">
        <v>217</v>
      </c>
      <c r="R9" s="193" t="s">
        <v>218</v>
      </c>
      <c r="S9" s="193" t="s">
        <v>219</v>
      </c>
    </row>
    <row r="10" spans="1:20" x14ac:dyDescent="0.25">
      <c r="A10" s="193">
        <v>1</v>
      </c>
      <c r="B10" s="507"/>
      <c r="C10" s="503"/>
      <c r="D10" s="503"/>
      <c r="E10" s="503"/>
      <c r="F10" s="508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</row>
    <row r="11" spans="1:20" x14ac:dyDescent="0.25">
      <c r="A11" s="193">
        <f>+A10+1</f>
        <v>2</v>
      </c>
      <c r="B11" s="505" t="s">
        <v>5</v>
      </c>
      <c r="C11" s="509">
        <f>'Exh JDT-5 (RES_RD)'!F37</f>
        <v>371522164.00579327</v>
      </c>
      <c r="D11" s="509">
        <f>'Exh JDT-5 (RES_RD)'!I37</f>
        <v>411534265.36263579</v>
      </c>
      <c r="E11" s="503"/>
      <c r="F11" s="508">
        <f>'Exh JDT-5 (MYRP)'!F12</f>
        <v>381408517.88003999</v>
      </c>
      <c r="G11" s="510">
        <f>'Exh JDT-5 (MYRP)'!G12</f>
        <v>422484809.255</v>
      </c>
      <c r="H11" s="510">
        <f>SUM('Exh JDT-5 (MYRP)'!H19,'Exh JDT-5 (MYRP)'!H27,'Exh JDT-5 (MYRP)'!H35)</f>
        <v>12568469.31175</v>
      </c>
      <c r="I11" s="510">
        <f>SUM('Exh JDT-5 (MYRP)'!I19,'Exh JDT-5 (MYRP)'!I27,'Exh JDT-5 (MYRP)'!I35)</f>
        <v>52132101.570560001</v>
      </c>
      <c r="J11" s="503"/>
      <c r="K11" s="510">
        <f>'Exh JDT-5 (MYRP)'!L12</f>
        <v>384032148.01235998</v>
      </c>
      <c r="L11" s="510">
        <f>'Exh JDT-5 (MYRP)'!M12</f>
        <v>425390283.42500001</v>
      </c>
      <c r="M11" s="510">
        <f>SUM('Exh JDT-5 (MYRP)'!N19,'Exh JDT-5 (MYRP)'!N27,'Exh JDT-5 (MYRP)'!N35)</f>
        <v>-3063077.49499</v>
      </c>
      <c r="N11" s="510">
        <f>SUM('Exh JDT-5 (MYRP)'!O19,'Exh JDT-5 (MYRP)'!O27,'Exh JDT-5 (MYRP)'!O35)</f>
        <v>86629458.924070001</v>
      </c>
      <c r="O11" s="503"/>
      <c r="P11" s="510">
        <f>'Exh JDT-5 (MYRP)'!R12</f>
        <v>384836229.67332</v>
      </c>
      <c r="Q11" s="510">
        <f>'Exh JDT-5 (MYRP)'!S12</f>
        <v>426279553.685</v>
      </c>
      <c r="R11" s="510">
        <f>SUM('Exh JDT-5 (MYRP)'!T19,'Exh JDT-5 (MYRP)'!T27,'Exh JDT-5 (MYRP)'!T35)</f>
        <v>-13780390.606550001</v>
      </c>
      <c r="S11" s="510">
        <f>SUM('Exh JDT-5 (MYRP)'!U19,'Exh JDT-5 (MYRP)'!U27,'Exh JDT-5 (MYRP)'!U35)</f>
        <v>112272844.26550001</v>
      </c>
    </row>
    <row r="12" spans="1:20" x14ac:dyDescent="0.25">
      <c r="A12" s="193">
        <f t="shared" ref="A12:A15" si="0">+A11+1</f>
        <v>3</v>
      </c>
      <c r="B12" s="505" t="s">
        <v>6</v>
      </c>
      <c r="C12" s="510">
        <f>'Exh JDT-5 (C&amp;I-RD)'!F36</f>
        <v>111031564.85000001</v>
      </c>
      <c r="D12" s="510">
        <f>'Exh JDT-5 (C&amp;I-RD)'!I36</f>
        <v>127691184.37000002</v>
      </c>
      <c r="E12" s="503"/>
      <c r="F12" s="508">
        <f>'Exh JDT-5 (MYRP)'!F41</f>
        <v>119685870.05628002</v>
      </c>
      <c r="G12" s="510">
        <f>'Exh JDT-5 (MYRP)'!G41</f>
        <v>137645638.55791998</v>
      </c>
      <c r="H12" s="510">
        <f>SUM('Exh JDT-5 (MYRP)'!H49,'Exh JDT-5 (MYRP)'!H59)</f>
        <v>5260992.3313499996</v>
      </c>
      <c r="I12" s="510">
        <f>SUM('Exh JDT-5 (MYRP)'!I49,'Exh JDT-5 (MYRP)'!I59)</f>
        <v>21819862.322950002</v>
      </c>
      <c r="J12" s="503"/>
      <c r="K12" s="510">
        <f>'Exh JDT-5 (MYRP)'!L41</f>
        <v>120892478.12313001</v>
      </c>
      <c r="L12" s="510">
        <f>'Exh JDT-5 (MYRP)'!M41</f>
        <v>139033439.78767002</v>
      </c>
      <c r="M12" s="510">
        <f>SUM('Exh JDT-5 (MYRP)'!N49,'Exh JDT-5 (MYRP)'!N59)</f>
        <v>-1281504.2731000001</v>
      </c>
      <c r="N12" s="510">
        <f>SUM('Exh JDT-5 (MYRP)'!O49,'Exh JDT-5 (MYRP)'!O59)</f>
        <v>36260913.616199993</v>
      </c>
      <c r="O12" s="503"/>
      <c r="P12" s="510">
        <f>'Exh JDT-5 (MYRP)'!R41</f>
        <v>120958822.35606001</v>
      </c>
      <c r="Q12" s="510">
        <f>'Exh JDT-5 (MYRP)'!S41</f>
        <v>139109658.62086001</v>
      </c>
      <c r="R12" s="510">
        <f>SUM('Exh JDT-5 (MYRP)'!T49,'Exh JDT-5 (MYRP)'!T59)</f>
        <v>-5769001.7503800001</v>
      </c>
      <c r="S12" s="510">
        <f>SUM('Exh JDT-5 (MYRP)'!U49,'Exh JDT-5 (MYRP)'!U59)</f>
        <v>46993019.373300001</v>
      </c>
    </row>
    <row r="13" spans="1:20" x14ac:dyDescent="0.25">
      <c r="A13" s="193">
        <f t="shared" si="0"/>
        <v>4</v>
      </c>
      <c r="B13" s="505" t="s">
        <v>7</v>
      </c>
      <c r="C13" s="510">
        <f>'Exh JDT-5 (C&amp;I-RD)'!F86</f>
        <v>20697587.662770957</v>
      </c>
      <c r="D13" s="510">
        <f>'Exh JDT-5 (C&amp;I-RD)'!I86</f>
        <v>23790348.860473167</v>
      </c>
      <c r="E13" s="503"/>
      <c r="F13" s="508">
        <f>'Exh JDT-5 (MYRP)'!F65</f>
        <v>21705020.029999997</v>
      </c>
      <c r="G13" s="510">
        <f>'Exh JDT-5 (MYRP)'!G65</f>
        <v>24952335.309349999</v>
      </c>
      <c r="H13" s="510">
        <f>SUM('Exh JDT-5 (MYRP)'!H80,'Exh JDT-5 (MYRP)'!H97)</f>
        <v>846268.63895999989</v>
      </c>
      <c r="I13" s="510">
        <f>SUM('Exh JDT-5 (MYRP)'!I80,'Exh JDT-5 (MYRP)'!I97)</f>
        <v>3511645.3020600001</v>
      </c>
      <c r="J13" s="503"/>
      <c r="K13" s="510">
        <f>'Exh JDT-5 (MYRP)'!L65</f>
        <v>21813071.000000004</v>
      </c>
      <c r="L13" s="510">
        <f>'Exh JDT-5 (MYRP)'!M65</f>
        <v>25076859.418709997</v>
      </c>
      <c r="M13" s="510">
        <f>SUM('Exh JDT-5 (MYRP)'!N80,'Exh JDT-5 (MYRP)'!N97)</f>
        <v>-206415.71275000001</v>
      </c>
      <c r="N13" s="510">
        <f>SUM('Exh JDT-5 (MYRP)'!O80,'Exh JDT-5 (MYRP)'!O97)</f>
        <v>5835680.4220000003</v>
      </c>
      <c r="O13" s="503"/>
      <c r="P13" s="510">
        <f>'Exh JDT-5 (MYRP)'!R65</f>
        <v>21817309.440000001</v>
      </c>
      <c r="Q13" s="510">
        <f>'Exh JDT-5 (MYRP)'!S65</f>
        <v>25081710.494539998</v>
      </c>
      <c r="R13" s="510">
        <f>SUM('Exh JDT-5 (MYRP)'!T80,'Exh JDT-5 (MYRP)'!T97)</f>
        <v>-928714.90782000008</v>
      </c>
      <c r="S13" s="510">
        <f>SUM('Exh JDT-5 (MYRP)'!U80,'Exh JDT-5 (MYRP)'!U97)</f>
        <v>7563461.6913799997</v>
      </c>
    </row>
    <row r="14" spans="1:20" x14ac:dyDescent="0.25">
      <c r="A14" s="193">
        <f t="shared" si="0"/>
        <v>5</v>
      </c>
      <c r="B14" s="505" t="s">
        <v>8</v>
      </c>
      <c r="C14" s="510">
        <f>'Exh JDT-5 (INTRPL-RD)'!F54</f>
        <v>8603644.5934943184</v>
      </c>
      <c r="D14" s="510">
        <f>'Exh JDT-5 (INTRPL-RD)'!I54</f>
        <v>10148781.050000001</v>
      </c>
      <c r="E14" s="503"/>
      <c r="F14" s="508">
        <f>'Exh JDT-5 (MYRP)'!F103</f>
        <v>7448585.0592142921</v>
      </c>
      <c r="G14" s="510">
        <f>'Exh JDT-5 (MYRP)'!G103</f>
        <v>8762350.4559933152</v>
      </c>
      <c r="H14" s="510">
        <f>SUM('Exh JDT-5 (MYRP)'!H117,'Exh JDT-5 (MYRP)'!H134)</f>
        <v>422777.54375999997</v>
      </c>
      <c r="I14" s="510">
        <f>SUM('Exh JDT-5 (MYRP)'!I117,'Exh JDT-5 (MYRP)'!I134)</f>
        <v>1752457.2661799998</v>
      </c>
      <c r="J14" s="503"/>
      <c r="K14" s="510">
        <f>'Exh JDT-5 (MYRP)'!L103</f>
        <v>7380545.0838783914</v>
      </c>
      <c r="L14" s="510">
        <f>'Exh JDT-5 (MYRP)'!M103</f>
        <v>8680538.1296917796</v>
      </c>
      <c r="M14" s="510">
        <f>SUM('Exh JDT-5 (MYRP)'!N117,'Exh JDT-5 (MYRP)'!N134)</f>
        <v>-102978.36864</v>
      </c>
      <c r="N14" s="510">
        <f>SUM('Exh JDT-5 (MYRP)'!O117,'Exh JDT-5 (MYRP)'!O134)</f>
        <v>2912608.0435199998</v>
      </c>
      <c r="O14" s="503"/>
      <c r="P14" s="510">
        <f>'Exh JDT-5 (MYRP)'!R103</f>
        <v>7284887.8111084532</v>
      </c>
      <c r="Q14" s="510">
        <f>'Exh JDT-5 (MYRP)'!S103</f>
        <v>8565527.3192039095</v>
      </c>
      <c r="R14" s="510">
        <f>SUM('Exh JDT-5 (MYRP)'!T117,'Exh JDT-5 (MYRP)'!T134)</f>
        <v>-463065.30149999994</v>
      </c>
      <c r="S14" s="510">
        <f>SUM('Exh JDT-5 (MYRP)'!U117,'Exh JDT-5 (MYRP)'!U134)</f>
        <v>3774161.6898999996</v>
      </c>
    </row>
    <row r="15" spans="1:20" x14ac:dyDescent="0.25">
      <c r="A15" s="193">
        <f t="shared" si="0"/>
        <v>6</v>
      </c>
      <c r="B15" s="505" t="s">
        <v>9</v>
      </c>
      <c r="C15" s="510">
        <f>'Exh JDT-5 (INTRPL-RD)'!F98</f>
        <v>1496082.9500000002</v>
      </c>
      <c r="D15" s="510">
        <f>'Exh JDT-5 (INTRPL-RD)'!I98</f>
        <v>1496082.9500000002</v>
      </c>
      <c r="E15" s="503"/>
      <c r="F15" s="508">
        <f>'Exh JDT-5 (MYRP)'!F140</f>
        <v>1247670.0419045878</v>
      </c>
      <c r="G15" s="510">
        <f>'Exh JDT-5 (MYRP)'!G140</f>
        <v>1247670.0419045878</v>
      </c>
      <c r="H15" s="510">
        <f>SUM('Exh JDT-5 (MYRP)'!H153,'Exh JDT-5 (MYRP)'!H169)</f>
        <v>42390.513200000001</v>
      </c>
      <c r="I15" s="510">
        <f>SUM('Exh JDT-5 (MYRP)'!I153,'Exh JDT-5 (MYRP)'!I169)</f>
        <v>175733.61281000002</v>
      </c>
      <c r="J15" s="503"/>
      <c r="K15" s="510">
        <f>'Exh JDT-5 (MYRP)'!L140</f>
        <v>1211985.7785573273</v>
      </c>
      <c r="L15" s="510">
        <f>'Exh JDT-5 (MYRP)'!M140</f>
        <v>1211985.7785573273</v>
      </c>
      <c r="M15" s="510">
        <f>SUM('Exh JDT-5 (MYRP)'!N153,'Exh JDT-5 (MYRP)'!N169)</f>
        <v>-10315.787</v>
      </c>
      <c r="N15" s="510">
        <f>SUM('Exh JDT-5 (MYRP)'!O153,'Exh JDT-5 (MYRP)'!O169)</f>
        <v>292058.13429999998</v>
      </c>
      <c r="O15" s="503"/>
      <c r="P15" s="510">
        <f>'Exh JDT-5 (MYRP)'!R140</f>
        <v>1164986.0114928137</v>
      </c>
      <c r="Q15" s="510">
        <f>'Exh JDT-5 (MYRP)'!S140</f>
        <v>1164986.0114928137</v>
      </c>
      <c r="R15" s="510">
        <f>SUM('Exh JDT-5 (MYRP)'!T153,'Exh JDT-5 (MYRP)'!T169)</f>
        <v>-46447.334869999999</v>
      </c>
      <c r="S15" s="510">
        <f>SUM('Exh JDT-5 (MYRP)'!U153,'Exh JDT-5 (MYRP)'!U169)</f>
        <v>378455.44873999996</v>
      </c>
    </row>
    <row r="16" spans="1:20" x14ac:dyDescent="0.25">
      <c r="A16" s="193">
        <f>+A15+1</f>
        <v>7</v>
      </c>
      <c r="B16" s="505" t="s">
        <v>10</v>
      </c>
      <c r="C16" s="510">
        <f>'Exh JDT-5 (INTRPL-RD)'!F155</f>
        <v>5587277.8200000003</v>
      </c>
      <c r="D16" s="510">
        <f>'Exh JDT-5 (INTRPL-RD)'!I155</f>
        <v>6588308.879999999</v>
      </c>
      <c r="E16" s="503"/>
      <c r="F16" s="508">
        <f>'Exh JDT-5 (MYRP)'!F175</f>
        <v>5666046.9110441636</v>
      </c>
      <c r="G16" s="510">
        <f>'Exh JDT-5 (MYRP)'!G175</f>
        <v>6679976.1100000003</v>
      </c>
      <c r="H16" s="510">
        <f>SUM('Exh JDT-5 (MYRP)'!H192,'Exh JDT-5 (MYRP)'!H212)</f>
        <v>426903.21050000004</v>
      </c>
      <c r="I16" s="510">
        <f>SUM('Exh JDT-5 (MYRP)'!I192,'Exh JDT-5 (MYRP)'!I212)</f>
        <v>1768036.0656400002</v>
      </c>
      <c r="J16" s="503"/>
      <c r="K16" s="510">
        <f>'Exh JDT-5 (MYRP)'!L175</f>
        <v>5922580.2984524658</v>
      </c>
      <c r="L16" s="510">
        <f>'Exh JDT-5 (MYRP)'!M175</f>
        <v>6982319.6099999994</v>
      </c>
      <c r="M16" s="510">
        <f>SUM('Exh JDT-5 (MYRP)'!N192,'Exh JDT-5 (MYRP)'!N212)</f>
        <v>-103143.63744000002</v>
      </c>
      <c r="N16" s="510">
        <f>SUM('Exh JDT-5 (MYRP)'!O192,'Exh JDT-5 (MYRP)'!O212)</f>
        <v>2938161.1165200002</v>
      </c>
      <c r="O16" s="503"/>
      <c r="P16" s="510">
        <f>'Exh JDT-5 (MYRP)'!R175</f>
        <v>6051826.7538140416</v>
      </c>
      <c r="Q16" s="510">
        <f>'Exh JDT-5 (MYRP)'!S175</f>
        <v>7134499.7000000002</v>
      </c>
      <c r="R16" s="510">
        <f>SUM('Exh JDT-5 (MYRP)'!T192,'Exh JDT-5 (MYRP)'!T212)</f>
        <v>-467375.12289999996</v>
      </c>
      <c r="S16" s="510">
        <f>SUM('Exh JDT-5 (MYRP)'!U192,'Exh JDT-5 (MYRP)'!U212)</f>
        <v>3808130.4226000002</v>
      </c>
    </row>
    <row r="17" spans="1:20" x14ac:dyDescent="0.25">
      <c r="A17" s="193">
        <f t="shared" ref="A17:A18" si="1">+A16+1</f>
        <v>8</v>
      </c>
      <c r="B17" s="505" t="s">
        <v>11</v>
      </c>
      <c r="C17" s="510">
        <v>1649825.4441392999</v>
      </c>
      <c r="D17" s="510">
        <f>'Exh JDT-5 (INTRPL-RD)'!I168</f>
        <v>1794312.4041392996</v>
      </c>
      <c r="E17" s="503"/>
      <c r="F17" s="508">
        <v>1621277.2645532298</v>
      </c>
      <c r="G17" s="510">
        <f>F17++'Exh JDT-5 (Rate Spread)'!L46</f>
        <v>1765764.2245532295</v>
      </c>
      <c r="H17" s="510"/>
      <c r="I17" s="510"/>
      <c r="J17" s="503"/>
      <c r="K17" s="510">
        <v>1618682.5923708156</v>
      </c>
      <c r="L17" s="510">
        <f>K17++'Exh JDT-5 (Rate Spread)'!L46</f>
        <v>1763169.5523708153</v>
      </c>
      <c r="M17" s="510"/>
      <c r="N17" s="510"/>
      <c r="O17" s="503"/>
      <c r="P17" s="510">
        <v>1611644.3013012079</v>
      </c>
      <c r="Q17" s="510">
        <f>P17++'Exh JDT-5 (Rate Spread)'!L46</f>
        <v>1756131.2613012076</v>
      </c>
      <c r="R17" s="510"/>
      <c r="S17" s="510"/>
    </row>
    <row r="18" spans="1:20" ht="16.5" thickBot="1" x14ac:dyDescent="0.3">
      <c r="A18" s="193">
        <f t="shared" si="1"/>
        <v>9</v>
      </c>
      <c r="B18" s="503" t="s">
        <v>3</v>
      </c>
      <c r="C18" s="511">
        <f>SUM(C11:C17)</f>
        <v>520588147.3261978</v>
      </c>
      <c r="D18" s="511">
        <f>SUM(D11:D17)</f>
        <v>583043283.87724829</v>
      </c>
      <c r="E18" s="503"/>
      <c r="F18" s="511">
        <f>SUM(F11:F17)</f>
        <v>538782987.24303615</v>
      </c>
      <c r="G18" s="512">
        <f>SUM(G11:G17)</f>
        <v>603538543.95472109</v>
      </c>
      <c r="H18" s="512">
        <f>SUM(H11:H17)</f>
        <v>19567801.549520001</v>
      </c>
      <c r="I18" s="512">
        <f>SUM(I11:I17)</f>
        <v>81159836.140199989</v>
      </c>
      <c r="J18" s="503"/>
      <c r="K18" s="511">
        <f>SUM(K11:K17)</f>
        <v>542871490.888749</v>
      </c>
      <c r="L18" s="511">
        <f>SUM(L11:L17)</f>
        <v>608138595.70200002</v>
      </c>
      <c r="M18" s="511">
        <f>SUM(M11:M17)</f>
        <v>-4767435.2739199996</v>
      </c>
      <c r="N18" s="511">
        <f>SUM(N11:N17)</f>
        <v>134868880.25661001</v>
      </c>
      <c r="O18" s="503"/>
      <c r="P18" s="511">
        <f>SUM(P11:P17)</f>
        <v>543725706.34709656</v>
      </c>
      <c r="Q18" s="511">
        <f>SUM(Q11:Q17)</f>
        <v>609092067.09239793</v>
      </c>
      <c r="R18" s="511">
        <f>SUM(R11:R17)</f>
        <v>-21454995.024020005</v>
      </c>
      <c r="S18" s="511">
        <f>SUM(S11:S17)</f>
        <v>174790072.89142004</v>
      </c>
    </row>
    <row r="19" spans="1:20" ht="16.5" thickTop="1" x14ac:dyDescent="0.25">
      <c r="A19" s="190"/>
      <c r="C19" s="194"/>
      <c r="D19" s="195"/>
      <c r="F19" s="194"/>
      <c r="G19" s="195"/>
      <c r="H19" s="195"/>
      <c r="I19" s="195"/>
      <c r="K19" s="194"/>
      <c r="L19" s="195"/>
      <c r="M19" s="195"/>
      <c r="N19" s="195"/>
      <c r="P19" s="194"/>
      <c r="Q19" s="195"/>
      <c r="R19" s="195"/>
      <c r="S19" s="195"/>
    </row>
    <row r="20" spans="1:20" x14ac:dyDescent="0.25">
      <c r="A20" s="190">
        <f>A18+1</f>
        <v>10</v>
      </c>
      <c r="B20" s="186" t="s">
        <v>220</v>
      </c>
      <c r="C20" s="194"/>
      <c r="D20" s="195"/>
      <c r="F20" s="194">
        <f>F18-C18</f>
        <v>18194839.916838348</v>
      </c>
      <c r="G20" s="195"/>
      <c r="H20" s="195"/>
      <c r="I20" s="195"/>
      <c r="K20" s="194">
        <f>K18-C18</f>
        <v>22283343.5625512</v>
      </c>
      <c r="L20" s="195"/>
      <c r="M20" s="195"/>
      <c r="N20" s="195"/>
      <c r="P20" s="194">
        <f>P18-C18</f>
        <v>23137559.020898759</v>
      </c>
      <c r="Q20" s="195"/>
      <c r="R20" s="195"/>
      <c r="S20" s="195"/>
    </row>
    <row r="21" spans="1:20" x14ac:dyDescent="0.25">
      <c r="A21" s="190">
        <f>+A20+1</f>
        <v>11</v>
      </c>
      <c r="B21" s="186" t="s">
        <v>221</v>
      </c>
      <c r="C21" s="194"/>
      <c r="D21" s="195"/>
      <c r="G21" s="195">
        <f>G18-D18</f>
        <v>20495260.077472806</v>
      </c>
      <c r="H21" s="195"/>
      <c r="I21" s="195"/>
      <c r="K21" s="188"/>
      <c r="L21" s="195">
        <f>L18-D18</f>
        <v>25095311.824751735</v>
      </c>
      <c r="M21" s="195"/>
      <c r="N21" s="195"/>
      <c r="Q21" s="195">
        <f>Q18-D18</f>
        <v>26048783.215149641</v>
      </c>
      <c r="R21" s="195"/>
      <c r="S21" s="195"/>
    </row>
    <row r="22" spans="1:20" x14ac:dyDescent="0.25">
      <c r="A22" s="190">
        <f>+A21+1</f>
        <v>12</v>
      </c>
      <c r="B22" s="186" t="s">
        <v>35</v>
      </c>
      <c r="C22" s="194"/>
      <c r="D22" s="195"/>
      <c r="G22" s="196">
        <f>G21-F20</f>
        <v>2300420.1606344581</v>
      </c>
      <c r="H22" s="195"/>
      <c r="I22" s="195"/>
      <c r="K22" s="188"/>
      <c r="L22" s="195">
        <f>L21-K20</f>
        <v>2811968.2622005343</v>
      </c>
      <c r="M22" s="195"/>
      <c r="N22" s="195"/>
      <c r="Q22" s="195">
        <f>Q21-P20</f>
        <v>2911224.1942508817</v>
      </c>
      <c r="R22" s="195"/>
      <c r="S22" s="195"/>
    </row>
    <row r="23" spans="1:20" x14ac:dyDescent="0.25">
      <c r="A23" s="190"/>
      <c r="C23" s="194"/>
      <c r="D23" s="195"/>
      <c r="G23" s="195"/>
      <c r="H23" s="195"/>
      <c r="I23" s="195"/>
      <c r="L23" s="195"/>
      <c r="M23" s="195"/>
      <c r="N23" s="195"/>
      <c r="Q23" s="195"/>
      <c r="R23" s="195"/>
      <c r="S23" s="195"/>
    </row>
    <row r="24" spans="1:20" s="197" customFormat="1" x14ac:dyDescent="0.25">
      <c r="B24" s="197" t="s">
        <v>222</v>
      </c>
      <c r="D24" s="198"/>
      <c r="F24" s="199"/>
      <c r="H24" s="198">
        <v>21868396.583618969</v>
      </c>
      <c r="M24" s="198">
        <v>-23822529.886086911</v>
      </c>
      <c r="R24" s="198">
        <v>-16591081.492414743</v>
      </c>
    </row>
    <row r="25" spans="1:20" s="197" customFormat="1" x14ac:dyDescent="0.25">
      <c r="B25" s="197" t="s">
        <v>223</v>
      </c>
      <c r="D25" s="198"/>
      <c r="F25" s="199"/>
      <c r="G25" s="198"/>
      <c r="H25" s="198">
        <f>+H24</f>
        <v>21868396.583618969</v>
      </c>
      <c r="M25" s="198">
        <f>H24+M24</f>
        <v>-1954133.3024679422</v>
      </c>
      <c r="R25" s="198">
        <f>H24+M24+R24</f>
        <v>-18545214.794882685</v>
      </c>
    </row>
    <row r="26" spans="1:20" s="197" customFormat="1" x14ac:dyDescent="0.25">
      <c r="B26" s="197" t="s">
        <v>224</v>
      </c>
      <c r="D26" s="198"/>
      <c r="F26" s="199"/>
      <c r="H26" s="198">
        <f>H25-G22</f>
        <v>19567976.422984511</v>
      </c>
      <c r="M26" s="198">
        <f>M25-L22</f>
        <v>-4766101.5646684766</v>
      </c>
      <c r="R26" s="198">
        <f>R25-Q22</f>
        <v>-21456438.989133567</v>
      </c>
    </row>
    <row r="27" spans="1:20" s="197" customFormat="1" x14ac:dyDescent="0.25">
      <c r="D27" s="198"/>
      <c r="F27" s="199"/>
      <c r="H27" s="200"/>
    </row>
    <row r="28" spans="1:20" s="197" customFormat="1" x14ac:dyDescent="0.25">
      <c r="D28" s="198"/>
      <c r="F28" s="199"/>
      <c r="I28" s="198"/>
    </row>
    <row r="29" spans="1:20" s="197" customFormat="1" x14ac:dyDescent="0.25">
      <c r="B29" s="197" t="s">
        <v>225</v>
      </c>
      <c r="D29" s="201"/>
      <c r="F29" s="198">
        <v>538782987.23529577</v>
      </c>
      <c r="I29" s="198">
        <v>704266165.21971226</v>
      </c>
      <c r="K29" s="198">
        <v>542871490.87519062</v>
      </c>
      <c r="N29" s="198">
        <v>738244595.39541566</v>
      </c>
      <c r="P29" s="202">
        <v>543725706.35494411</v>
      </c>
      <c r="S29" s="202">
        <v>762425993.06681859</v>
      </c>
    </row>
    <row r="30" spans="1:20" s="197" customFormat="1" x14ac:dyDescent="0.25">
      <c r="B30" s="197" t="s">
        <v>226</v>
      </c>
      <c r="F30" s="198">
        <f>F18</f>
        <v>538782987.24303615</v>
      </c>
      <c r="I30" s="202">
        <f>SUM(G18:I18)</f>
        <v>704266181.64444113</v>
      </c>
      <c r="K30" s="198">
        <f>K18</f>
        <v>542871490.888749</v>
      </c>
      <c r="N30" s="202">
        <f>SUM(L18:N18)</f>
        <v>738240040.68469012</v>
      </c>
      <c r="P30" s="202">
        <f>P18</f>
        <v>543725706.34709656</v>
      </c>
      <c r="S30" s="202">
        <f>SUM(Q18:S18)</f>
        <v>762427144.95979798</v>
      </c>
    </row>
    <row r="31" spans="1:20" s="203" customFormat="1" x14ac:dyDescent="0.25">
      <c r="B31" s="197" t="s">
        <v>227</v>
      </c>
      <c r="D31" s="204"/>
      <c r="F31" s="198">
        <f>F29-F30</f>
        <v>-7.7403783798217773E-3</v>
      </c>
      <c r="G31" s="197"/>
      <c r="H31" s="197"/>
      <c r="I31" s="198">
        <f>I29-I30</f>
        <v>-16.424728870391846</v>
      </c>
      <c r="J31" s="197"/>
      <c r="K31" s="198">
        <f>K29-K30</f>
        <v>-1.3558387756347656E-2</v>
      </c>
      <c r="L31" s="197"/>
      <c r="M31" s="197"/>
      <c r="N31" s="198">
        <f>N29-N30</f>
        <v>4554.7107255458832</v>
      </c>
      <c r="O31" s="197"/>
      <c r="P31" s="198">
        <f>P29-P30</f>
        <v>7.8475475311279297E-3</v>
      </c>
      <c r="Q31" s="197"/>
      <c r="R31" s="197"/>
      <c r="S31" s="198">
        <f>S29-S30</f>
        <v>-1151.8929793834686</v>
      </c>
    </row>
    <row r="32" spans="1:20" s="197" customFormat="1" x14ac:dyDescent="0.25">
      <c r="F32" s="199"/>
      <c r="H32" s="200"/>
      <c r="T32" s="198"/>
    </row>
    <row r="33" spans="1:19" s="197" customFormat="1" x14ac:dyDescent="0.25">
      <c r="F33" s="199"/>
      <c r="I33" s="198"/>
    </row>
    <row r="34" spans="1:19" s="197" customFormat="1" x14ac:dyDescent="0.25">
      <c r="F34" s="199"/>
    </row>
    <row r="35" spans="1:19" s="197" customFormat="1" x14ac:dyDescent="0.25">
      <c r="A35" s="205"/>
      <c r="B35" s="197" t="s">
        <v>228</v>
      </c>
      <c r="C35" s="202"/>
      <c r="D35" s="202"/>
      <c r="F35" s="199"/>
      <c r="H35" s="202">
        <f>'Exh JDT-5 (Rate Spread)'!C62</f>
        <v>19567976.422984511</v>
      </c>
      <c r="I35" s="202">
        <f>'Exh JDT-5 (Rate Spread)'!C73</f>
        <v>81156534.540021002</v>
      </c>
      <c r="L35" s="202"/>
      <c r="M35" s="202">
        <f>'Exh JDT-5 (Rate Spread)'!C66</f>
        <v>-4766101.5646684766</v>
      </c>
      <c r="N35" s="202">
        <f>'Exh JDT-5 (Rate Spread)'!C74</f>
        <v>134868990.9619166</v>
      </c>
      <c r="Q35" s="202"/>
      <c r="R35" s="202">
        <f>'Exh JDT-5 (Rate Spread)'!C70</f>
        <v>-21456438.989133567</v>
      </c>
      <c r="S35" s="202">
        <f>'Exh JDT-5 (Rate Spread)'!C75</f>
        <v>174787254.64598063</v>
      </c>
    </row>
    <row r="36" spans="1:19" s="197" customFormat="1" x14ac:dyDescent="0.25">
      <c r="A36" s="205"/>
      <c r="B36" s="197" t="s">
        <v>229</v>
      </c>
      <c r="C36" s="202"/>
      <c r="D36" s="202"/>
      <c r="F36" s="199"/>
      <c r="G36" s="202"/>
      <c r="H36" s="202">
        <f>H18</f>
        <v>19567801.549520001</v>
      </c>
      <c r="I36" s="202">
        <f>I18</f>
        <v>81159836.140199989</v>
      </c>
      <c r="L36" s="202"/>
      <c r="M36" s="202">
        <f>M18</f>
        <v>-4767435.2739199996</v>
      </c>
      <c r="N36" s="202">
        <f>N18</f>
        <v>134868880.25661001</v>
      </c>
      <c r="Q36" s="202"/>
      <c r="R36" s="202">
        <f>R18</f>
        <v>-21454995.024020005</v>
      </c>
      <c r="S36" s="202">
        <f>S18</f>
        <v>174790072.89142004</v>
      </c>
    </row>
    <row r="37" spans="1:19" s="197" customFormat="1" x14ac:dyDescent="0.25">
      <c r="B37" s="197" t="s">
        <v>230</v>
      </c>
      <c r="F37" s="199"/>
      <c r="H37" s="198">
        <f>H35-H36</f>
        <v>174.87346450984478</v>
      </c>
      <c r="I37" s="198">
        <f>I35-I36</f>
        <v>-3301.6001789867878</v>
      </c>
      <c r="M37" s="198">
        <f>M35-M36</f>
        <v>1333.7092515230179</v>
      </c>
      <c r="N37" s="198">
        <f>N35-N36</f>
        <v>110.70530658960342</v>
      </c>
      <c r="R37" s="198">
        <f>R35-R36</f>
        <v>-1443.9651135616004</v>
      </c>
      <c r="S37" s="198">
        <f>S35-S36</f>
        <v>-2818.2454394102097</v>
      </c>
    </row>
    <row r="39" spans="1:19" ht="18.95" customHeight="1" x14ac:dyDescent="0.25"/>
  </sheetData>
  <mergeCells count="4">
    <mergeCell ref="C7:D7"/>
    <mergeCell ref="F7:I7"/>
    <mergeCell ref="K7:N7"/>
    <mergeCell ref="P7:S7"/>
  </mergeCells>
  <pageMargins left="0.45" right="0.45" top="0.75" bottom="0.75" header="0.3" footer="0.3"/>
  <pageSetup scale="75" orientation="landscape" r:id="rId1"/>
  <headerFooter>
    <oddFooter>&amp;R&amp;A
 Page &amp;P of &amp;N</oddFooter>
  </headerFooter>
  <colBreaks count="2" manualBreakCount="2">
    <brk id="10" max="22" man="1"/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zoomScale="90" zoomScaleNormal="90" zoomScaleSheetLayoutView="90" workbookViewId="0">
      <selection activeCell="N17" sqref="N17"/>
    </sheetView>
  </sheetViews>
  <sheetFormatPr defaultRowHeight="15" x14ac:dyDescent="0.25"/>
  <cols>
    <col min="1" max="1" width="4" style="46" customWidth="1"/>
    <col min="2" max="2" width="26.7109375" style="46" bestFit="1" customWidth="1"/>
    <col min="3" max="3" width="26.7109375" style="46" customWidth="1"/>
    <col min="4" max="4" width="10" style="46" customWidth="1"/>
    <col min="5" max="5" width="13.7109375" style="46" customWidth="1"/>
    <col min="6" max="7" width="11.42578125" style="46" customWidth="1"/>
    <col min="8" max="8" width="4.140625" style="46" customWidth="1"/>
    <col min="9" max="9" width="14.28515625" style="46" customWidth="1"/>
    <col min="10" max="10" width="11.42578125" style="46" customWidth="1"/>
    <col min="11" max="11" width="3.5703125" style="46" customWidth="1"/>
    <col min="12" max="13" width="11.42578125" style="46" customWidth="1"/>
    <col min="14" max="16384" width="9.140625" style="46"/>
  </cols>
  <sheetData>
    <row r="1" spans="2:13" x14ac:dyDescent="0.25">
      <c r="B1" s="221" t="s">
        <v>253</v>
      </c>
    </row>
    <row r="2" spans="2:13" x14ac:dyDescent="0.25">
      <c r="B2" s="225" t="s">
        <v>254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2:13" x14ac:dyDescent="0.25">
      <c r="B3" s="225" t="s">
        <v>255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2:13" x14ac:dyDescent="0.25">
      <c r="B4" s="221" t="s">
        <v>231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2:13" x14ac:dyDescent="0.25">
      <c r="B5" s="221" t="str">
        <f>'Exh JDT-5 (Rate Spread)'!B5</f>
        <v>Rate Spread and Schedule 141R and 141N Allocation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7" spans="2:13" x14ac:dyDescent="0.25">
      <c r="B7" s="236"/>
      <c r="C7" s="237"/>
      <c r="D7" s="237"/>
      <c r="E7" s="392" t="s">
        <v>106</v>
      </c>
      <c r="F7" s="242" t="s">
        <v>232</v>
      </c>
      <c r="G7" s="240"/>
      <c r="H7" s="392"/>
      <c r="I7" s="513" t="s">
        <v>233</v>
      </c>
      <c r="J7" s="240"/>
      <c r="K7" s="243"/>
      <c r="L7" s="341" t="s">
        <v>109</v>
      </c>
      <c r="M7" s="342"/>
    </row>
    <row r="8" spans="2:13" x14ac:dyDescent="0.25">
      <c r="B8" s="246" t="s">
        <v>234</v>
      </c>
      <c r="C8" s="247" t="s">
        <v>2</v>
      </c>
      <c r="D8" s="393" t="s">
        <v>111</v>
      </c>
      <c r="E8" s="317" t="s">
        <v>112</v>
      </c>
      <c r="F8" s="394" t="s">
        <v>113</v>
      </c>
      <c r="G8" s="249" t="s">
        <v>114</v>
      </c>
      <c r="H8" s="317"/>
      <c r="I8" s="358" t="s">
        <v>113</v>
      </c>
      <c r="J8" s="249" t="s">
        <v>114</v>
      </c>
      <c r="K8" s="249"/>
      <c r="L8" s="249" t="s">
        <v>115</v>
      </c>
      <c r="M8" s="250" t="s">
        <v>116</v>
      </c>
    </row>
    <row r="9" spans="2:13" x14ac:dyDescent="0.25">
      <c r="B9" s="514"/>
      <c r="C9" s="297"/>
      <c r="D9" s="515"/>
      <c r="E9" s="516"/>
      <c r="F9" s="420"/>
      <c r="G9" s="345"/>
      <c r="H9" s="516"/>
      <c r="I9" s="517"/>
      <c r="J9" s="345"/>
      <c r="K9" s="345"/>
      <c r="L9" s="345"/>
      <c r="M9" s="518"/>
    </row>
    <row r="10" spans="2:13" x14ac:dyDescent="0.25">
      <c r="B10" s="519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1"/>
    </row>
    <row r="11" spans="2:13" x14ac:dyDescent="0.25">
      <c r="B11" s="292" t="s">
        <v>80</v>
      </c>
      <c r="C11" s="253" t="s">
        <v>235</v>
      </c>
      <c r="D11" s="235" t="s">
        <v>120</v>
      </c>
      <c r="E11" s="268">
        <f>'Exh JDT-5 (C&amp;I-RD)'!D23</f>
        <v>36958.529999999992</v>
      </c>
      <c r="F11" s="272">
        <v>1E-3</v>
      </c>
      <c r="G11" s="264">
        <f>F11*E11</f>
        <v>36.958529999999989</v>
      </c>
      <c r="H11" s="253"/>
      <c r="I11" s="272">
        <v>1.1800000000000001E-3</v>
      </c>
      <c r="J11" s="293">
        <f>I11*E11</f>
        <v>43.611065399999994</v>
      </c>
      <c r="K11" s="264"/>
      <c r="L11" s="264">
        <f>J11-G11</f>
        <v>6.652535400000005</v>
      </c>
      <c r="M11" s="270">
        <f>ROUND(L11/G11,5)</f>
        <v>0.18</v>
      </c>
    </row>
    <row r="12" spans="2:13" x14ac:dyDescent="0.25">
      <c r="B12" s="519"/>
      <c r="C12" s="520"/>
      <c r="D12" s="520"/>
      <c r="E12" s="520"/>
      <c r="F12" s="272"/>
      <c r="G12" s="520"/>
      <c r="H12" s="520"/>
      <c r="I12" s="520"/>
      <c r="J12" s="520"/>
      <c r="K12" s="520"/>
      <c r="L12" s="520"/>
      <c r="M12" s="521"/>
    </row>
    <row r="13" spans="2:13" x14ac:dyDescent="0.25">
      <c r="B13" s="519" t="s">
        <v>86</v>
      </c>
      <c r="C13" s="253" t="s">
        <v>235</v>
      </c>
      <c r="D13" s="235" t="s">
        <v>120</v>
      </c>
      <c r="E13" s="268">
        <f>'Exh JDT-5 (C&amp;I-RD)'!D66</f>
        <v>19494505.608019032</v>
      </c>
      <c r="F13" s="272">
        <v>1E-3</v>
      </c>
      <c r="G13" s="264">
        <f>F13*E13</f>
        <v>19494.505608019033</v>
      </c>
      <c r="H13" s="253"/>
      <c r="I13" s="272">
        <f>I11</f>
        <v>1.1800000000000001E-3</v>
      </c>
      <c r="J13" s="264">
        <f>I13*E13</f>
        <v>23003.516617462457</v>
      </c>
      <c r="K13" s="264"/>
      <c r="L13" s="264">
        <f>J13-G13</f>
        <v>3509.011009443424</v>
      </c>
      <c r="M13" s="270">
        <f>ROUND(L13/G13,5)</f>
        <v>0.18</v>
      </c>
    </row>
    <row r="14" spans="2:13" x14ac:dyDescent="0.25">
      <c r="B14" s="519"/>
      <c r="C14" s="520"/>
      <c r="D14" s="520"/>
      <c r="E14" s="520"/>
      <c r="F14" s="272"/>
      <c r="G14" s="520"/>
      <c r="H14" s="520"/>
      <c r="I14" s="520"/>
      <c r="J14" s="520"/>
      <c r="K14" s="520"/>
      <c r="L14" s="520"/>
      <c r="M14" s="521"/>
    </row>
    <row r="15" spans="2:13" x14ac:dyDescent="0.25">
      <c r="B15" s="519" t="s">
        <v>92</v>
      </c>
      <c r="C15" s="235" t="s">
        <v>235</v>
      </c>
      <c r="D15" s="235" t="s">
        <v>120</v>
      </c>
      <c r="E15" s="522">
        <f>'Exh JDT-5 (INTRPL-RD)'!D36</f>
        <v>68886791.019958794</v>
      </c>
      <c r="F15" s="272">
        <v>1E-3</v>
      </c>
      <c r="G15" s="254">
        <f>F15*E15</f>
        <v>68886.791019958793</v>
      </c>
      <c r="H15" s="516"/>
      <c r="I15" s="272">
        <f>I13</f>
        <v>1.1800000000000001E-3</v>
      </c>
      <c r="J15" s="264">
        <f>I15*E15</f>
        <v>81286.413403551385</v>
      </c>
      <c r="K15" s="349"/>
      <c r="L15" s="264">
        <f>J15-G15</f>
        <v>12399.622383592592</v>
      </c>
      <c r="M15" s="270">
        <f>ROUND(L15/G15,5)</f>
        <v>0.18</v>
      </c>
    </row>
    <row r="16" spans="2:13" x14ac:dyDescent="0.25">
      <c r="B16" s="519"/>
      <c r="C16" s="520"/>
      <c r="D16" s="520"/>
      <c r="E16" s="520"/>
      <c r="F16" s="272"/>
      <c r="G16" s="520"/>
      <c r="H16" s="520"/>
      <c r="I16" s="520"/>
      <c r="J16" s="520"/>
      <c r="K16" s="520"/>
      <c r="L16" s="520"/>
      <c r="M16" s="521"/>
    </row>
    <row r="17" spans="2:13" x14ac:dyDescent="0.25">
      <c r="B17" s="519" t="s">
        <v>97</v>
      </c>
      <c r="C17" s="235" t="s">
        <v>235</v>
      </c>
      <c r="D17" s="235" t="s">
        <v>120</v>
      </c>
      <c r="E17" s="522">
        <f>'Exh JDT-5 (INTRPL-RD)'!D81</f>
        <v>1718484.3400000003</v>
      </c>
      <c r="F17" s="272">
        <v>1E-3</v>
      </c>
      <c r="G17" s="254">
        <f>F17*E17</f>
        <v>1718.4843400000004</v>
      </c>
      <c r="H17" s="516"/>
      <c r="I17" s="272">
        <f>I15</f>
        <v>1.1800000000000001E-3</v>
      </c>
      <c r="J17" s="264">
        <f>I17*E17</f>
        <v>2027.8115212000005</v>
      </c>
      <c r="K17" s="349"/>
      <c r="L17" s="264">
        <f>J17-G17</f>
        <v>309.32718120000004</v>
      </c>
      <c r="M17" s="270">
        <f>ROUND(L17/G17,5)</f>
        <v>0.18</v>
      </c>
    </row>
    <row r="18" spans="2:13" x14ac:dyDescent="0.25">
      <c r="B18" s="519"/>
      <c r="C18" s="520"/>
      <c r="D18" s="520"/>
      <c r="E18" s="520"/>
      <c r="F18" s="272"/>
      <c r="G18" s="520"/>
      <c r="H18" s="520"/>
      <c r="I18" s="520"/>
      <c r="J18" s="520"/>
      <c r="K18" s="520"/>
      <c r="L18" s="520"/>
      <c r="M18" s="521"/>
    </row>
    <row r="19" spans="2:13" x14ac:dyDescent="0.25">
      <c r="B19" s="519" t="s">
        <v>104</v>
      </c>
      <c r="C19" s="275" t="s">
        <v>235</v>
      </c>
      <c r="D19" s="235" t="s">
        <v>120</v>
      </c>
      <c r="E19" s="522">
        <f>'Exh JDT-5 (INTRPL-RD)'!D134</f>
        <v>97500425.645479575</v>
      </c>
      <c r="F19" s="272">
        <v>1E-3</v>
      </c>
      <c r="G19" s="254">
        <f>+F19*E19</f>
        <v>97500.425645479583</v>
      </c>
      <c r="H19" s="516"/>
      <c r="I19" s="272">
        <f>I17</f>
        <v>1.1800000000000001E-3</v>
      </c>
      <c r="J19" s="254">
        <f>+I19*E19</f>
        <v>115050.5022616659</v>
      </c>
      <c r="K19" s="349"/>
      <c r="L19" s="264">
        <f>J19-G19</f>
        <v>17550.076616186314</v>
      </c>
      <c r="M19" s="270">
        <f>ROUND(L19/G19,5)</f>
        <v>0.18</v>
      </c>
    </row>
    <row r="20" spans="2:13" x14ac:dyDescent="0.25">
      <c r="B20" s="519"/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1"/>
    </row>
    <row r="21" spans="2:13" x14ac:dyDescent="0.25">
      <c r="B21" s="523" t="s">
        <v>3</v>
      </c>
      <c r="C21" s="524"/>
      <c r="D21" s="524"/>
      <c r="E21" s="525">
        <f>SUM(E11:E19)</f>
        <v>187637165.14345741</v>
      </c>
      <c r="F21" s="524"/>
      <c r="G21" s="526">
        <f>SUM(G11:G19)</f>
        <v>187637.16514345742</v>
      </c>
      <c r="H21" s="524"/>
      <c r="I21" s="524"/>
      <c r="J21" s="526">
        <f>SUM(J11:J19)</f>
        <v>221411.85486927972</v>
      </c>
      <c r="K21" s="524"/>
      <c r="L21" s="361">
        <f>J21-G21</f>
        <v>33774.689725822303</v>
      </c>
      <c r="M21" s="362">
        <f>ROUND(L21/G21,5)</f>
        <v>0.18</v>
      </c>
    </row>
    <row r="23" spans="2:13" x14ac:dyDescent="0.25">
      <c r="I23" s="527"/>
    </row>
  </sheetData>
  <mergeCells count="1">
    <mergeCell ref="L7:M7"/>
  </mergeCells>
  <pageMargins left="0.7" right="0.7" top="0.75" bottom="0.75" header="0.3" footer="0.3"/>
  <pageSetup scale="70" orientation="landscape" horizontalDpi="300" verticalDpi="300" r:id="rId1"/>
  <headerFooter>
    <oddFooter>&amp;R&amp;A
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opLeftCell="A2" zoomScale="90" zoomScaleNormal="90" zoomScaleSheetLayoutView="90" workbookViewId="0">
      <selection activeCell="N17" sqref="N17"/>
    </sheetView>
  </sheetViews>
  <sheetFormatPr defaultColWidth="9.140625" defaultRowHeight="12.75" x14ac:dyDescent="0.2"/>
  <cols>
    <col min="1" max="1" width="2.5703125" style="208" customWidth="1"/>
    <col min="2" max="2" width="5" style="208" bestFit="1" customWidth="1"/>
    <col min="3" max="3" width="46.42578125" style="208" bestFit="1" customWidth="1"/>
    <col min="4" max="4" width="15.28515625" style="208" customWidth="1"/>
    <col min="5" max="6" width="17.85546875" style="208" customWidth="1"/>
    <col min="7" max="7" width="16.42578125" style="208" customWidth="1"/>
    <col min="8" max="8" width="15.28515625" style="208" customWidth="1"/>
    <col min="9" max="9" width="16.85546875" style="208" customWidth="1"/>
    <col min="10" max="16384" width="9.140625" style="208"/>
  </cols>
  <sheetData>
    <row r="2" spans="2:10" ht="15" x14ac:dyDescent="0.25">
      <c r="B2" s="206"/>
      <c r="C2" s="155" t="s">
        <v>253</v>
      </c>
      <c r="D2" s="207"/>
      <c r="E2" s="207"/>
      <c r="F2" s="207"/>
      <c r="G2" s="207"/>
      <c r="H2" s="207"/>
      <c r="I2" s="207"/>
    </row>
    <row r="3" spans="2:10" ht="15" x14ac:dyDescent="0.25">
      <c r="B3" s="206"/>
      <c r="C3" s="155" t="s">
        <v>254</v>
      </c>
      <c r="D3" s="207"/>
      <c r="E3" s="207"/>
      <c r="F3" s="207"/>
      <c r="G3" s="207"/>
      <c r="H3" s="207"/>
      <c r="I3" s="207"/>
    </row>
    <row r="4" spans="2:10" ht="15" x14ac:dyDescent="0.25">
      <c r="B4" s="206"/>
      <c r="C4" s="155" t="s">
        <v>255</v>
      </c>
      <c r="D4" s="207"/>
      <c r="E4" s="207"/>
      <c r="F4" s="207"/>
      <c r="G4" s="207"/>
      <c r="H4" s="207"/>
      <c r="I4" s="207"/>
    </row>
    <row r="5" spans="2:10" ht="15" x14ac:dyDescent="0.25">
      <c r="B5" s="206"/>
      <c r="C5" s="155" t="s">
        <v>236</v>
      </c>
      <c r="D5" s="207"/>
      <c r="E5" s="207"/>
      <c r="F5" s="207"/>
      <c r="G5" s="207"/>
      <c r="H5" s="207"/>
      <c r="I5" s="207"/>
    </row>
    <row r="7" spans="2:10" ht="38.25" x14ac:dyDescent="0.2">
      <c r="B7" s="209" t="s">
        <v>1</v>
      </c>
      <c r="C7" s="210" t="s">
        <v>2</v>
      </c>
      <c r="D7" s="209" t="s">
        <v>3</v>
      </c>
      <c r="E7" s="211" t="s">
        <v>6</v>
      </c>
      <c r="F7" s="211" t="s">
        <v>7</v>
      </c>
      <c r="G7" s="209" t="s">
        <v>8</v>
      </c>
      <c r="H7" s="209" t="s">
        <v>9</v>
      </c>
      <c r="I7" s="209" t="s">
        <v>10</v>
      </c>
    </row>
    <row r="8" spans="2:10" x14ac:dyDescent="0.2">
      <c r="C8" s="212" t="s">
        <v>237</v>
      </c>
      <c r="D8" s="212" t="s">
        <v>238</v>
      </c>
      <c r="E8" s="212" t="s">
        <v>239</v>
      </c>
      <c r="F8" s="212" t="s">
        <v>240</v>
      </c>
      <c r="G8" s="212" t="s">
        <v>241</v>
      </c>
      <c r="H8" s="212" t="s">
        <v>242</v>
      </c>
      <c r="I8" s="212" t="s">
        <v>243</v>
      </c>
      <c r="J8" s="212"/>
    </row>
    <row r="10" spans="2:10" x14ac:dyDescent="0.2">
      <c r="B10" s="212">
        <v>1</v>
      </c>
      <c r="C10" s="208" t="s">
        <v>244</v>
      </c>
      <c r="D10" s="213">
        <f>SUM(E10:I10)</f>
        <v>1134150.8867514185</v>
      </c>
      <c r="E10" s="213">
        <v>760644.60707637935</v>
      </c>
      <c r="F10" s="213">
        <v>213686.64969578781</v>
      </c>
      <c r="G10" s="213">
        <v>67179.909005643407</v>
      </c>
      <c r="H10" s="213">
        <v>19734.218932727657</v>
      </c>
      <c r="I10" s="213">
        <v>72905.502040880237</v>
      </c>
    </row>
    <row r="11" spans="2:10" ht="15" x14ac:dyDescent="0.25">
      <c r="B11" s="212">
        <v>2</v>
      </c>
      <c r="C11" s="208" t="s">
        <v>245</v>
      </c>
      <c r="D11" s="214">
        <f t="shared" ref="D11:I11" si="0">D10/D19</f>
        <v>3.4133364002422247E-3</v>
      </c>
      <c r="E11" s="214">
        <f t="shared" si="0"/>
        <v>3.423752888002487E-3</v>
      </c>
      <c r="F11" s="214">
        <f t="shared" si="0"/>
        <v>3.4180024940234977E-3</v>
      </c>
      <c r="G11" s="214">
        <f t="shared" si="0"/>
        <v>3.36018167795865E-3</v>
      </c>
      <c r="H11" s="214">
        <f t="shared" si="0"/>
        <v>3.4182636689501235E-3</v>
      </c>
      <c r="I11" s="214">
        <f t="shared" si="0"/>
        <v>3.3413070809338447E-3</v>
      </c>
    </row>
    <row r="13" spans="2:10" x14ac:dyDescent="0.2">
      <c r="B13" s="212">
        <v>3</v>
      </c>
      <c r="C13" s="208" t="s">
        <v>246</v>
      </c>
      <c r="D13" s="213">
        <f>SUM(E13:I13)</f>
        <v>3396151.3375576055</v>
      </c>
      <c r="E13" s="213">
        <v>2592629.0503352173</v>
      </c>
      <c r="F13" s="213">
        <v>493132.32920674223</v>
      </c>
      <c r="G13" s="213">
        <v>140684.41851622233</v>
      </c>
      <c r="H13" s="213">
        <v>60649.608304737259</v>
      </c>
      <c r="I13" s="213">
        <v>109055.93119468643</v>
      </c>
    </row>
    <row r="14" spans="2:10" ht="15" x14ac:dyDescent="0.25">
      <c r="B14" s="212">
        <v>4</v>
      </c>
      <c r="C14" s="208" t="s">
        <v>245</v>
      </c>
      <c r="D14" s="214">
        <f t="shared" ref="D14:I14" si="1">D13/D19</f>
        <v>1.0221044762765729E-2</v>
      </c>
      <c r="E14" s="214">
        <f t="shared" si="1"/>
        <v>1.1669735269302999E-2</v>
      </c>
      <c r="F14" s="214">
        <f t="shared" si="1"/>
        <v>7.8878466835052199E-3</v>
      </c>
      <c r="G14" s="214">
        <f t="shared" si="1"/>
        <v>7.036705057649988E-3</v>
      </c>
      <c r="H14" s="214">
        <f t="shared" si="1"/>
        <v>1.050542478072548E-2</v>
      </c>
      <c r="I14" s="214">
        <f t="shared" si="1"/>
        <v>4.9981050115300791E-3</v>
      </c>
    </row>
    <row r="15" spans="2:10" ht="15" x14ac:dyDescent="0.25">
      <c r="B15" s="212"/>
      <c r="D15" s="215"/>
      <c r="E15" s="215"/>
      <c r="F15" s="215"/>
      <c r="G15" s="215"/>
      <c r="H15" s="215"/>
      <c r="I15" s="215"/>
    </row>
    <row r="16" spans="2:10" ht="15" x14ac:dyDescent="0.25">
      <c r="B16" s="212">
        <v>7</v>
      </c>
      <c r="C16" s="208" t="s">
        <v>247</v>
      </c>
      <c r="D16" s="213">
        <f>SUM(E16:I16)</f>
        <v>4530302.2243090235</v>
      </c>
      <c r="E16" s="25">
        <f>E13+E10</f>
        <v>3353273.6574115967</v>
      </c>
      <c r="F16" s="25">
        <f t="shared" ref="F16:I16" si="2">F13+F10</f>
        <v>706818.97890253004</v>
      </c>
      <c r="G16" s="25">
        <f t="shared" si="2"/>
        <v>207864.32752186572</v>
      </c>
      <c r="H16" s="25">
        <f t="shared" si="2"/>
        <v>80383.827237464924</v>
      </c>
      <c r="I16" s="25">
        <f t="shared" si="2"/>
        <v>181961.43323556666</v>
      </c>
    </row>
    <row r="17" spans="2:9" x14ac:dyDescent="0.2">
      <c r="B17" s="212">
        <v>8</v>
      </c>
      <c r="C17" s="208" t="s">
        <v>248</v>
      </c>
      <c r="D17" s="216">
        <f>D14+D11</f>
        <v>1.3634381163007954E-2</v>
      </c>
      <c r="E17" s="216">
        <f t="shared" ref="E17:I17" si="3">E14+E11</f>
        <v>1.5093488157305487E-2</v>
      </c>
      <c r="F17" s="216">
        <f t="shared" si="3"/>
        <v>1.1305849177528717E-2</v>
      </c>
      <c r="G17" s="216">
        <f t="shared" si="3"/>
        <v>1.0396886735608638E-2</v>
      </c>
      <c r="H17" s="216">
        <f t="shared" si="3"/>
        <v>1.3923688449675604E-2</v>
      </c>
      <c r="I17" s="216">
        <f t="shared" si="3"/>
        <v>8.3394120924639228E-3</v>
      </c>
    </row>
    <row r="18" spans="2:9" x14ac:dyDescent="0.2">
      <c r="B18" s="212"/>
      <c r="D18" s="216"/>
      <c r="E18" s="216"/>
      <c r="F18" s="216"/>
      <c r="G18" s="216"/>
      <c r="H18" s="216"/>
      <c r="I18" s="216"/>
    </row>
    <row r="19" spans="2:9" x14ac:dyDescent="0.2">
      <c r="B19" s="212">
        <v>9</v>
      </c>
      <c r="C19" s="208" t="s">
        <v>249</v>
      </c>
      <c r="D19" s="217">
        <f>SUM(E19:I19)</f>
        <v>332270469.05512577</v>
      </c>
      <c r="E19" s="218">
        <f>'Exh JDT-5 (C&amp;I-RD)'!D13</f>
        <v>222166912.14539161</v>
      </c>
      <c r="F19" s="218">
        <f>'Exh JDT-5 (C&amp;I-RD)'!D49</f>
        <v>62517991.156948164</v>
      </c>
      <c r="G19" s="218">
        <f>'Exh JDT-5 (INTRPL-RD)'!D21</f>
        <v>19992939.502740219</v>
      </c>
      <c r="H19" s="218">
        <f>'Exh JDT-5 (INTRPL-RD)'!D67</f>
        <v>5773170.4876905456</v>
      </c>
      <c r="I19" s="218">
        <f>'Exh JDT-5 (INTRPL-RD)'!D116</f>
        <v>21819455.762355208</v>
      </c>
    </row>
    <row r="21" spans="2:9" x14ac:dyDescent="0.2">
      <c r="B21" s="212">
        <v>10</v>
      </c>
      <c r="C21" s="208" t="s">
        <v>250</v>
      </c>
      <c r="E21" s="216">
        <f>'Exh JDT-5 (C&amp;I-RD)'!$E$14</f>
        <v>1.371E-2</v>
      </c>
      <c r="F21" s="216">
        <f>'Exh JDT-5 (C&amp;I-RD)'!$E$50</f>
        <v>1.005E-2</v>
      </c>
      <c r="G21" s="216">
        <f>'Exh JDT-5 (INTRPL-RD)'!$E$14</f>
        <v>7.0499999999999998E-3</v>
      </c>
      <c r="H21" s="216">
        <f>'Exh JDT-5 (INTRPL-RD)'!$E$61</f>
        <v>1.222E-2</v>
      </c>
      <c r="I21" s="216">
        <f>'Exh JDT-5 (INTRPL-RD)'!$E$106</f>
        <v>8.43E-3</v>
      </c>
    </row>
    <row r="22" spans="2:9" x14ac:dyDescent="0.2">
      <c r="B22" s="212"/>
      <c r="E22" s="219"/>
    </row>
    <row r="23" spans="2:9" x14ac:dyDescent="0.2">
      <c r="B23" s="212">
        <v>11</v>
      </c>
      <c r="C23" s="208" t="s">
        <v>251</v>
      </c>
      <c r="E23" s="216">
        <f>'Exh JDT-5 (Rate Des Sum)'!N13</f>
        <v>1.5089999999999999E-2</v>
      </c>
      <c r="F23" s="216">
        <f>'Exh JDT-5 (Rate Des Sum)'!N16</f>
        <v>1.1310000000000001E-2</v>
      </c>
      <c r="G23" s="216">
        <f>'Exh JDT-5 (Rate Des Sum)'!N24</f>
        <v>8.3099999999999997E-3</v>
      </c>
      <c r="H23" s="216">
        <f>'Exh JDT-5 (Rate Des Sum)'!N32</f>
        <v>1.222E-2</v>
      </c>
      <c r="I23" s="216">
        <f>'Exh JDT-5 (Rate Des Sum)'!N38</f>
        <v>9.9399999999999992E-3</v>
      </c>
    </row>
    <row r="24" spans="2:9" x14ac:dyDescent="0.2">
      <c r="B24" s="212"/>
    </row>
    <row r="25" spans="2:9" x14ac:dyDescent="0.2">
      <c r="B25" s="212">
        <v>12</v>
      </c>
      <c r="C25" s="208" t="s">
        <v>252</v>
      </c>
      <c r="E25" s="220">
        <f>E23/E21-1</f>
        <v>0.10065645514223198</v>
      </c>
      <c r="F25" s="220">
        <f t="shared" ref="F25:I25" si="4">F23/F21-1</f>
        <v>0.12537313432835817</v>
      </c>
      <c r="G25" s="220">
        <f t="shared" si="4"/>
        <v>0.17872340425531918</v>
      </c>
      <c r="H25" s="220">
        <f t="shared" si="4"/>
        <v>0</v>
      </c>
      <c r="I25" s="220">
        <f t="shared" si="4"/>
        <v>0.17912218268090152</v>
      </c>
    </row>
  </sheetData>
  <printOptions horizontalCentered="1"/>
  <pageMargins left="0.75" right="0.75" top="1" bottom="1" header="0.5" footer="0.5"/>
  <pageSetup scale="78" orientation="landscape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6E274D-9EBD-4BEE-858F-5F66B046D6BA}"/>
</file>

<file path=customXml/itemProps2.xml><?xml version="1.0" encoding="utf-8"?>
<ds:datastoreItem xmlns:ds="http://schemas.openxmlformats.org/officeDocument/2006/customXml" ds:itemID="{F4834B02-5CFB-4546-9B0F-F77F485AB290}"/>
</file>

<file path=customXml/itemProps3.xml><?xml version="1.0" encoding="utf-8"?>
<ds:datastoreItem xmlns:ds="http://schemas.openxmlformats.org/officeDocument/2006/customXml" ds:itemID="{EDD02AB8-9955-4C6C-9545-58D574D10F29}"/>
</file>

<file path=customXml/itemProps4.xml><?xml version="1.0" encoding="utf-8"?>
<ds:datastoreItem xmlns:ds="http://schemas.openxmlformats.org/officeDocument/2006/customXml" ds:itemID="{E3733E44-9863-47C1-A13A-5995DBC4B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Exh JDT-5 (Rate Spread)</vt:lpstr>
      <vt:lpstr>Exh JDT-5 (Rate Des Sum)</vt:lpstr>
      <vt:lpstr>Exh JDT-5 (RES_RD)</vt:lpstr>
      <vt:lpstr>Exh JDT-5 (C&amp;I-RD)</vt:lpstr>
      <vt:lpstr>Exh JDT-5 (INTRPL-RD)</vt:lpstr>
      <vt:lpstr>Exh JDT-5 (MYRP)</vt:lpstr>
      <vt:lpstr>Exh JDT-5 (MYRP-SUM)</vt:lpstr>
      <vt:lpstr>Exh JDT-5 (Balancing)</vt:lpstr>
      <vt:lpstr>Exh JDT-5 (Procmnt Chrg)</vt:lpstr>
      <vt:lpstr>'Exh JDT-5 (Balancing)'!Print_Area</vt:lpstr>
      <vt:lpstr>'Exh JDT-5 (MYRP)'!Print_Area</vt:lpstr>
      <vt:lpstr>'Exh JDT-5 (MYRP-SUM)'!Print_Area</vt:lpstr>
      <vt:lpstr>'Exh JDT-5 (Procmnt Chrg)'!Print_Area</vt:lpstr>
      <vt:lpstr>'Exh JDT-5 (C&amp;I-RD)'!Print_Titles</vt:lpstr>
      <vt:lpstr>'Exh JDT-5 (INTRPL-RD)'!Print_Titles</vt:lpstr>
      <vt:lpstr>'Exh JDT-5 (MYRP)'!Print_Titles</vt:lpstr>
      <vt:lpstr>'Exh JDT-5 (MYRP-SUM)'!Print_Titles</vt:lpstr>
      <vt:lpstr>'Exh JDT-5 (Rate Des Sum)'!Print_Titles</vt:lpstr>
      <vt:lpstr>'Exh JDT-5 (Rate Spread)'!Print_Titles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2022-01-24T19:34:31Z</cp:lastPrinted>
  <dcterms:created xsi:type="dcterms:W3CDTF">2022-01-24T19:28:55Z</dcterms:created>
  <dcterms:modified xsi:type="dcterms:W3CDTF">2022-01-24T19:35:07Z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