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__DRs\WA\WA UE-210532 LIRF-PM-TB\Data Resp\Bench Request\Attach Bench Request Data 1\"/>
    </mc:Choice>
  </mc:AlternateContent>
  <xr:revisionPtr revIDLastSave="0" documentId="8_{711E76A0-5030-40B0-BF31-2677D8D168B0}" xr6:coauthVersionLast="46" xr6:coauthVersionMax="46" xr10:uidLastSave="{00000000-0000-0000-0000-000000000000}"/>
  <bookViews>
    <workbookView xWindow="-120" yWindow="-120" windowWidth="29040" windowHeight="15990" xr2:uid="{571914A5-4F63-409E-A1CA-537D23F3327E}"/>
  </bookViews>
  <sheets>
    <sheet name="Exhibit No.__(RMM-4) p1" sheetId="1" r:id="rId1"/>
    <sheet name="Exhibit No.__(RMM-4) p2" sheetId="2" r:id="rId2"/>
    <sheet name="Exhibit No.__(RMM-4) p3" sheetId="3" r:id="rId3"/>
    <sheet name="Exhibit No.__(RMM-4) p4" sheetId="4" r:id="rId4"/>
    <sheet name="Exhibit No.__(RMM-4) p5" sheetId="5" r:id="rId5"/>
    <sheet name="Exhibit No.__(RMM-4) p6" sheetId="6" r:id="rId6"/>
    <sheet name="Exhibit No.__(RMM-4) p7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[2]Inputs!#REF!</definedName>
    <definedName name="__123Graph_B" localSheetId="0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[2]Inputs!#REF!</definedName>
    <definedName name="__123Graph_D" localSheetId="0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5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localSheetId="5" hidden="1">#REF!</definedName>
    <definedName name="_Sort" hidden="1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'[6]COS Factor Table'!$F$13:$L$13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py" localSheetId="5" hidden="1">#REF!</definedName>
    <definedName name="copy" hidden="1">#REF!</definedName>
    <definedName name="COSAllocOptions">'[6]COS Allocation Options'!$D$3:$G$1310</definedName>
    <definedName name="COSFactors">'[6]COS Factor Table'!$A$15:$A$113</definedName>
    <definedName name="COSFactorTbl">'[6]COS Factor Table'!$F$15:$L$113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[6]Inputs!$D$9</definedName>
    <definedName name="Demand2">[6]Inputs!$D$11</definedName>
    <definedName name="DFIT" hidden="1">{#N/A,#N/A,FALSE,"Coversheet";#N/A,#N/A,FALSE,"QA"}</definedName>
    <definedName name="DistFuncAllocOptions">'[6]Func Allocation Options'!$H$5:$L$2161</definedName>
    <definedName name="DistFuncFactors">'[6]Func Dist Factor Table'!$A$12:$A$25</definedName>
    <definedName name="DistFuncFactorTbl">'[6]Func Dist Factor Table'!$B$12:$F$25</definedName>
    <definedName name="DistFunctions">'[6]Func Dist Factor Table'!$B$11:$F$11</definedName>
    <definedName name="DistPeakMethod">[6]Inputs!$X$13</definedName>
    <definedName name="dsd" localSheetId="5" hidden="1">[2]Inputs!#REF!</definedName>
    <definedName name="dsd" hidden="1">[2]Inputs!#REF!</definedName>
    <definedName name="DUDE" localSheetId="0" hidden="1">#REF!</definedName>
    <definedName name="DUDE" localSheetId="5" hidden="1">#REF!</definedName>
    <definedName name="DUDE" hidden="1">#REF!</definedName>
    <definedName name="ee" hidden="1">{#N/A,#N/A,FALSE,"Month ";#N/A,#N/A,FALSE,"YTD";#N/A,#N/A,FALSE,"12 mo ended"}</definedName>
    <definedName name="Engy">[6]Inputs!$D$10</definedName>
    <definedName name="Engy2">[6]Inputs!$D$12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RCJAMFactor">'[6]JAM Download'!$Q$6:$Q$2884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AllocOptions">'[6]Func Allocation Options'!$B$5:$F$2159</definedName>
    <definedName name="FuncFactors">'[6]Func Factors'!$A$11:$A$78</definedName>
    <definedName name="FuncFactorTbl">'[6]Func Factors'!$B$11:$G$78</definedName>
    <definedName name="FuncStudy">[6]FuncStudy!$1:$1048576</definedName>
    <definedName name="Functions">'[6]Func Factors'!$B$10:$G$10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MValue">'[6]JAM Download'!$R$6:$R$2884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5" hidden="1">[7]Inputs!#REF!</definedName>
    <definedName name="PricingInfo" hidden="1">[7]Inputs!#REF!</definedName>
    <definedName name="_xlnm.Print_Area" localSheetId="0">'Exhibit No.__(RMM-4) p1'!$A$1:$K$39</definedName>
    <definedName name="_xlnm.Print_Area" localSheetId="1">'Exhibit No.__(RMM-4) p2'!$A$1:$Q$36</definedName>
    <definedName name="_xlnm.Print_Area" localSheetId="2">'Exhibit No.__(RMM-4) p3'!$A$1:$L$44</definedName>
    <definedName name="_xlnm.Print_Area" localSheetId="3">'Exhibit No.__(RMM-4) p4'!$A$1:$R$39</definedName>
    <definedName name="_xlnm.Print_Area" localSheetId="4">'Exhibit No.__(RMM-4) p5'!$A$1:$L$34</definedName>
    <definedName name="_xlnm.Print_Area" localSheetId="5">'Exhibit No.__(RMM-4) p6'!$A$1:$L$34</definedName>
    <definedName name="_xlnm.Print_Area" localSheetId="6">'Exhibit No.__(RMM-4) p7'!$A$1:$L$35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bundledCategories">[6]FuncStudy!$91:$91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5" hidden="1">[8]Inputs!#REF!</definedName>
    <definedName name="w" hidden="1">[8]Inputs!#REF!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hidden="1">'[2]DSM Output'!$B$21:$B$23</definedName>
    <definedName name="yuf" hidden="1">{#N/A,#N/A,FALSE,"Summ";#N/A,#N/A,FALSE,"General"}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hidden="1">'[2]DSM Output'!$G$21:$G$23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7" l="1"/>
  <c r="E28" i="7"/>
  <c r="G28" i="7" s="1"/>
  <c r="E27" i="7"/>
  <c r="S25" i="7"/>
  <c r="E25" i="7"/>
  <c r="E24" i="7"/>
  <c r="E23" i="7"/>
  <c r="E21" i="7"/>
  <c r="E20" i="7"/>
  <c r="T19" i="7"/>
  <c r="P19" i="7"/>
  <c r="E19" i="7"/>
  <c r="G25" i="7"/>
  <c r="V17" i="7"/>
  <c r="E17" i="7"/>
  <c r="E16" i="7"/>
  <c r="E15" i="7"/>
  <c r="G15" i="7" s="1"/>
  <c r="E29" i="6"/>
  <c r="E28" i="6"/>
  <c r="E27" i="6"/>
  <c r="R25" i="6"/>
  <c r="E25" i="6"/>
  <c r="E24" i="6"/>
  <c r="E23" i="6"/>
  <c r="E21" i="6"/>
  <c r="E20" i="6"/>
  <c r="S19" i="6"/>
  <c r="P19" i="6"/>
  <c r="E19" i="6"/>
  <c r="G28" i="6"/>
  <c r="U17" i="6"/>
  <c r="E17" i="6"/>
  <c r="E16" i="6"/>
  <c r="E15" i="6"/>
  <c r="E29" i="5"/>
  <c r="G28" i="5"/>
  <c r="E28" i="5"/>
  <c r="E27" i="5"/>
  <c r="R25" i="5"/>
  <c r="E25" i="5"/>
  <c r="E24" i="5"/>
  <c r="E23" i="5"/>
  <c r="E21" i="5"/>
  <c r="E20" i="5"/>
  <c r="S19" i="5"/>
  <c r="P19" i="5"/>
  <c r="E19" i="5"/>
  <c r="G25" i="5"/>
  <c r="U17" i="5"/>
  <c r="E17" i="5"/>
  <c r="E16" i="5"/>
  <c r="E15" i="5"/>
  <c r="E33" i="4"/>
  <c r="M32" i="4"/>
  <c r="E32" i="4"/>
  <c r="G31" i="4"/>
  <c r="E31" i="4"/>
  <c r="M29" i="4"/>
  <c r="Q29" i="4" s="1"/>
  <c r="I29" i="4"/>
  <c r="E29" i="4"/>
  <c r="G29" i="4" s="1"/>
  <c r="W28" i="4"/>
  <c r="M25" i="4" s="1"/>
  <c r="Q25" i="4" s="1"/>
  <c r="M28" i="4"/>
  <c r="Q28" i="4" s="1"/>
  <c r="I28" i="4"/>
  <c r="E28" i="4"/>
  <c r="G28" i="4" s="1"/>
  <c r="G27" i="4"/>
  <c r="E27" i="4"/>
  <c r="I25" i="4"/>
  <c r="E25" i="4"/>
  <c r="M24" i="4"/>
  <c r="G24" i="4"/>
  <c r="E24" i="4"/>
  <c r="M23" i="4"/>
  <c r="E23" i="4"/>
  <c r="M33" i="4"/>
  <c r="Q33" i="4" s="1"/>
  <c r="I31" i="4"/>
  <c r="M20" i="4"/>
  <c r="G20" i="4"/>
  <c r="E20" i="4"/>
  <c r="M19" i="4"/>
  <c r="Q19" i="4" s="1"/>
  <c r="I19" i="4"/>
  <c r="E19" i="4"/>
  <c r="G19" i="4" s="1"/>
  <c r="I33" i="4"/>
  <c r="G18" i="4"/>
  <c r="E18" i="4"/>
  <c r="M18" i="4"/>
  <c r="Q18" i="4" s="1"/>
  <c r="I18" i="4"/>
  <c r="G32" i="4"/>
  <c r="E40" i="3"/>
  <c r="E39" i="3"/>
  <c r="E38" i="3"/>
  <c r="E36" i="3"/>
  <c r="E35" i="3"/>
  <c r="E34" i="3"/>
  <c r="E32" i="3"/>
  <c r="E31" i="3"/>
  <c r="E30" i="3"/>
  <c r="E28" i="3"/>
  <c r="R27" i="3"/>
  <c r="E27" i="3"/>
  <c r="E26" i="3"/>
  <c r="G26" i="3" s="1"/>
  <c r="E24" i="3"/>
  <c r="E23" i="3"/>
  <c r="G23" i="3" s="1"/>
  <c r="E22" i="3"/>
  <c r="E20" i="3"/>
  <c r="G15" i="3"/>
  <c r="E19" i="3"/>
  <c r="E18" i="3"/>
  <c r="E32" i="2"/>
  <c r="F32" i="2" s="1"/>
  <c r="E31" i="2"/>
  <c r="F31" i="2" s="1"/>
  <c r="X30" i="2"/>
  <c r="F30" i="2"/>
  <c r="E30" i="2"/>
  <c r="F28" i="2"/>
  <c r="E28" i="2"/>
  <c r="F27" i="2"/>
  <c r="E27" i="2"/>
  <c r="F26" i="2"/>
  <c r="E26" i="2"/>
  <c r="D24" i="2"/>
  <c r="E24" i="2" s="1"/>
  <c r="F24" i="2" s="1"/>
  <c r="V23" i="2"/>
  <c r="E23" i="2"/>
  <c r="F23" i="2" s="1"/>
  <c r="D23" i="2"/>
  <c r="V22" i="2"/>
  <c r="F22" i="2"/>
  <c r="E22" i="2"/>
  <c r="D22" i="2"/>
  <c r="V21" i="2"/>
  <c r="Y20" i="2"/>
  <c r="V20" i="2"/>
  <c r="F20" i="2"/>
  <c r="E20" i="2"/>
  <c r="F19" i="2"/>
  <c r="E19" i="2"/>
  <c r="Y18" i="2"/>
  <c r="V18" i="2"/>
  <c r="E18" i="2"/>
  <c r="F18" i="2" s="1"/>
  <c r="F16" i="2"/>
  <c r="Y15" i="2"/>
  <c r="X15" i="2"/>
  <c r="V15" i="2"/>
  <c r="F15" i="2"/>
  <c r="U15" i="2"/>
  <c r="F14" i="2"/>
  <c r="O17" i="1"/>
  <c r="D16" i="1"/>
  <c r="R16" i="1" s="1"/>
  <c r="O15" i="1"/>
  <c r="D25" i="1"/>
  <c r="R25" i="1" s="1"/>
  <c r="D32" i="1"/>
  <c r="R32" i="1" s="1"/>
  <c r="I22" i="2" l="1"/>
  <c r="I15" i="2"/>
  <c r="I20" i="2"/>
  <c r="Q20" i="4"/>
  <c r="Q32" i="4"/>
  <c r="G22" i="2"/>
  <c r="G15" i="2"/>
  <c r="G20" i="2"/>
  <c r="G19" i="2"/>
  <c r="G23" i="2"/>
  <c r="G14" i="2"/>
  <c r="G32" i="2"/>
  <c r="G31" i="2"/>
  <c r="G18" i="2"/>
  <c r="G16" i="2"/>
  <c r="G30" i="2"/>
  <c r="G28" i="2"/>
  <c r="G27" i="2"/>
  <c r="G26" i="2"/>
  <c r="G24" i="2"/>
  <c r="G31" i="3"/>
  <c r="G21" i="6"/>
  <c r="G24" i="6"/>
  <c r="D14" i="1"/>
  <c r="R14" i="1" s="1"/>
  <c r="D20" i="1"/>
  <c r="R20" i="1" s="1"/>
  <c r="D26" i="1"/>
  <c r="R26" i="1" s="1"/>
  <c r="D31" i="1"/>
  <c r="R31" i="1" s="1"/>
  <c r="G34" i="3"/>
  <c r="I20" i="4"/>
  <c r="G25" i="4"/>
  <c r="I27" i="4"/>
  <c r="M31" i="4"/>
  <c r="Q31" i="4" s="1"/>
  <c r="G27" i="6"/>
  <c r="G29" i="6"/>
  <c r="I24" i="2"/>
  <c r="I26" i="2"/>
  <c r="I27" i="2"/>
  <c r="I28" i="2"/>
  <c r="I30" i="2"/>
  <c r="G14" i="3"/>
  <c r="G36" i="3"/>
  <c r="G39" i="3"/>
  <c r="G15" i="6"/>
  <c r="G16" i="6"/>
  <c r="G17" i="6"/>
  <c r="G21" i="7"/>
  <c r="G24" i="7"/>
  <c r="D12" i="1"/>
  <c r="R12" i="1" s="1"/>
  <c r="D19" i="1"/>
  <c r="R19" i="1" s="1"/>
  <c r="D29" i="1"/>
  <c r="R29" i="1" s="1"/>
  <c r="I16" i="2"/>
  <c r="I18" i="2"/>
  <c r="I31" i="2"/>
  <c r="I32" i="2"/>
  <c r="U18" i="3"/>
  <c r="G22" i="3"/>
  <c r="G24" i="3"/>
  <c r="G27" i="3"/>
  <c r="G23" i="4"/>
  <c r="I24" i="4"/>
  <c r="Q24" i="4" s="1"/>
  <c r="M27" i="4"/>
  <c r="Q27" i="4" s="1"/>
  <c r="G21" i="5"/>
  <c r="G24" i="5"/>
  <c r="G27" i="7"/>
  <c r="G29" i="7"/>
  <c r="D10" i="1"/>
  <c r="R10" i="1" s="1"/>
  <c r="D17" i="1"/>
  <c r="R17" i="1" s="1"/>
  <c r="D23" i="1"/>
  <c r="R23" i="1" s="1"/>
  <c r="G20" i="3"/>
  <c r="G30" i="3"/>
  <c r="G32" i="3"/>
  <c r="I23" i="4"/>
  <c r="Q23" i="4" s="1"/>
  <c r="G33" i="4"/>
  <c r="G27" i="5"/>
  <c r="G29" i="5"/>
  <c r="G19" i="6"/>
  <c r="G20" i="6"/>
  <c r="G23" i="6"/>
  <c r="G25" i="6"/>
  <c r="G16" i="7"/>
  <c r="G17" i="7"/>
  <c r="D11" i="1"/>
  <c r="R11" i="1" s="1"/>
  <c r="D22" i="1"/>
  <c r="R22" i="1" s="1"/>
  <c r="D28" i="1"/>
  <c r="R28" i="1" s="1"/>
  <c r="D33" i="1"/>
  <c r="R33" i="1" s="1"/>
  <c r="I14" i="2"/>
  <c r="I23" i="2"/>
  <c r="G19" i="3"/>
  <c r="G15" i="5"/>
  <c r="G16" i="5"/>
  <c r="G17" i="5"/>
  <c r="G16" i="3"/>
  <c r="G18" i="3"/>
  <c r="G35" i="3"/>
  <c r="G38" i="3"/>
  <c r="G40" i="3"/>
  <c r="I32" i="4"/>
  <c r="G19" i="7"/>
  <c r="G20" i="7"/>
  <c r="G23" i="7"/>
  <c r="G28" i="3"/>
  <c r="D15" i="1"/>
  <c r="R15" i="1" s="1"/>
  <c r="D21" i="1"/>
  <c r="R21" i="1" s="1"/>
  <c r="D27" i="1"/>
  <c r="R27" i="1" s="1"/>
  <c r="I19" i="2"/>
  <c r="G19" i="5"/>
  <c r="G20" i="5"/>
  <c r="G23" i="5"/>
  <c r="Q9" i="1" l="1"/>
  <c r="F10" i="1"/>
  <c r="S10" i="1" s="1"/>
  <c r="Q10" i="1"/>
  <c r="F11" i="1"/>
  <c r="H11" i="1" s="1"/>
  <c r="J11" i="1" s="1"/>
  <c r="S11" i="1"/>
  <c r="F12" i="1"/>
  <c r="S12" i="1" s="1"/>
  <c r="H12" i="1"/>
  <c r="J12" i="1"/>
  <c r="F14" i="1"/>
  <c r="H14" i="1" s="1"/>
  <c r="J14" i="1" s="1"/>
  <c r="F15" i="1"/>
  <c r="S15" i="1" s="1"/>
  <c r="H15" i="1"/>
  <c r="J15" i="1"/>
  <c r="F16" i="1"/>
  <c r="H16" i="1" s="1"/>
  <c r="J16" i="1" s="1"/>
  <c r="F17" i="1"/>
  <c r="S17" i="1" s="1"/>
  <c r="H17" i="1"/>
  <c r="J17" i="1"/>
  <c r="F19" i="1"/>
  <c r="H19" i="1" s="1"/>
  <c r="J19" i="1" s="1"/>
  <c r="F20" i="1"/>
  <c r="S20" i="1" s="1"/>
  <c r="H20" i="1"/>
  <c r="J20" i="1"/>
  <c r="F21" i="1"/>
  <c r="H21" i="1" s="1"/>
  <c r="J21" i="1" s="1"/>
  <c r="F22" i="1"/>
  <c r="S22" i="1" s="1"/>
  <c r="H22" i="1"/>
  <c r="J22" i="1"/>
  <c r="F23" i="1"/>
  <c r="H23" i="1" s="1"/>
  <c r="J23" i="1" s="1"/>
  <c r="F25" i="1"/>
  <c r="S25" i="1" s="1"/>
  <c r="H25" i="1"/>
  <c r="J25" i="1"/>
  <c r="F26" i="1"/>
  <c r="H26" i="1" s="1"/>
  <c r="J26" i="1" s="1"/>
  <c r="F27" i="1"/>
  <c r="S27" i="1" s="1"/>
  <c r="H27" i="1"/>
  <c r="J27" i="1"/>
  <c r="F28" i="1"/>
  <c r="H28" i="1" s="1"/>
  <c r="J28" i="1" s="1"/>
  <c r="F29" i="1"/>
  <c r="S29" i="1" s="1"/>
  <c r="H29" i="1"/>
  <c r="J29" i="1"/>
  <c r="F31" i="1"/>
  <c r="H31" i="1" s="1"/>
  <c r="J31" i="1" s="1"/>
  <c r="F32" i="1"/>
  <c r="S32" i="1" s="1"/>
  <c r="H32" i="1"/>
  <c r="J32" i="1"/>
  <c r="F33" i="1"/>
  <c r="H33" i="1" s="1"/>
  <c r="J33" i="1" s="1"/>
  <c r="K14" i="2"/>
  <c r="M14" i="2"/>
  <c r="Q14" i="2" s="1"/>
  <c r="O14" i="2"/>
  <c r="K15" i="2"/>
  <c r="O15" i="2" s="1"/>
  <c r="K16" i="2"/>
  <c r="M16" i="2"/>
  <c r="Q16" i="2" s="1"/>
  <c r="O16" i="2"/>
  <c r="K18" i="2"/>
  <c r="O18" i="2" s="1"/>
  <c r="K19" i="2"/>
  <c r="M19" i="2"/>
  <c r="Q19" i="2" s="1"/>
  <c r="O19" i="2"/>
  <c r="K20" i="2"/>
  <c r="O20" i="2" s="1"/>
  <c r="Y21" i="2"/>
  <c r="M15" i="2" s="1"/>
  <c r="Q15" i="2" s="1"/>
  <c r="K22" i="2"/>
  <c r="O22" i="2" s="1"/>
  <c r="M22" i="2"/>
  <c r="Q22" i="2" s="1"/>
  <c r="Y22" i="2"/>
  <c r="K23" i="2"/>
  <c r="O23" i="2"/>
  <c r="Y23" i="2"/>
  <c r="K24" i="2"/>
  <c r="O24" i="2" s="1"/>
  <c r="K26" i="2"/>
  <c r="O26" i="2"/>
  <c r="K27" i="2"/>
  <c r="O27" i="2" s="1"/>
  <c r="K28" i="2"/>
  <c r="O28" i="2"/>
  <c r="K30" i="2"/>
  <c r="O30" i="2" s="1"/>
  <c r="K31" i="2"/>
  <c r="O31" i="2"/>
  <c r="K32" i="2"/>
  <c r="O32" i="2" s="1"/>
  <c r="I14" i="3"/>
  <c r="K14" i="3"/>
  <c r="I15" i="3"/>
  <c r="K15" i="3" s="1"/>
  <c r="I16" i="3"/>
  <c r="K16" i="3"/>
  <c r="I18" i="3"/>
  <c r="K18" i="3" s="1"/>
  <c r="I19" i="3"/>
  <c r="K19" i="3"/>
  <c r="U19" i="3"/>
  <c r="I20" i="3"/>
  <c r="K20" i="3" s="1"/>
  <c r="U20" i="3"/>
  <c r="I22" i="3"/>
  <c r="K22" i="3" s="1"/>
  <c r="I23" i="3"/>
  <c r="K23" i="3"/>
  <c r="I24" i="3"/>
  <c r="K24" i="3"/>
  <c r="I26" i="3"/>
  <c r="K26" i="3"/>
  <c r="I27" i="3"/>
  <c r="K27" i="3" s="1"/>
  <c r="I28" i="3"/>
  <c r="K28" i="3" s="1"/>
  <c r="I30" i="3"/>
  <c r="K30" i="3" s="1"/>
  <c r="I31" i="3"/>
  <c r="K31" i="3"/>
  <c r="I32" i="3"/>
  <c r="K32" i="3" s="1"/>
  <c r="I34" i="3"/>
  <c r="K34" i="3" s="1"/>
  <c r="I35" i="3"/>
  <c r="K35" i="3"/>
  <c r="I36" i="3"/>
  <c r="K36" i="3"/>
  <c r="I38" i="3"/>
  <c r="K38" i="3" s="1"/>
  <c r="I39" i="3"/>
  <c r="K39" i="3" s="1"/>
  <c r="I40" i="3"/>
  <c r="K40" i="3" s="1"/>
  <c r="K18" i="4"/>
  <c r="O18" i="4"/>
  <c r="K19" i="4"/>
  <c r="O19" i="4" s="1"/>
  <c r="K20" i="4"/>
  <c r="O20" i="4" s="1"/>
  <c r="K23" i="4"/>
  <c r="O23" i="4"/>
  <c r="K24" i="4"/>
  <c r="O24" i="4"/>
  <c r="K25" i="4"/>
  <c r="O25" i="4" s="1"/>
  <c r="K27" i="4"/>
  <c r="O27" i="4" s="1"/>
  <c r="K28" i="4"/>
  <c r="O28" i="4" s="1"/>
  <c r="K29" i="4"/>
  <c r="O29" i="4"/>
  <c r="K31" i="4"/>
  <c r="O31" i="4" s="1"/>
  <c r="K32" i="4"/>
  <c r="O32" i="4" s="1"/>
  <c r="K33" i="4"/>
  <c r="O33" i="4"/>
  <c r="I15" i="5"/>
  <c r="K15" i="5" s="1"/>
  <c r="I16" i="5"/>
  <c r="K16" i="5" s="1"/>
  <c r="I17" i="5"/>
  <c r="K17" i="5" s="1"/>
  <c r="I19" i="5"/>
  <c r="K19" i="5"/>
  <c r="I20" i="5"/>
  <c r="K20" i="5" s="1"/>
  <c r="I21" i="5"/>
  <c r="K21" i="5" s="1"/>
  <c r="I23" i="5"/>
  <c r="K23" i="5" s="1"/>
  <c r="I24" i="5"/>
  <c r="K24" i="5" s="1"/>
  <c r="I25" i="5"/>
  <c r="K25" i="5" s="1"/>
  <c r="I27" i="5"/>
  <c r="K27" i="5" s="1"/>
  <c r="I28" i="5"/>
  <c r="K28" i="5" s="1"/>
  <c r="I29" i="5"/>
  <c r="K29" i="5" s="1"/>
  <c r="I15" i="6"/>
  <c r="K15" i="6" s="1"/>
  <c r="I16" i="6"/>
  <c r="K16" i="6" s="1"/>
  <c r="I17" i="6"/>
  <c r="K17" i="6" s="1"/>
  <c r="I19" i="6"/>
  <c r="K19" i="6"/>
  <c r="I20" i="6"/>
  <c r="K20" i="6" s="1"/>
  <c r="I21" i="6"/>
  <c r="K21" i="6" s="1"/>
  <c r="I23" i="6"/>
  <c r="K23" i="6" s="1"/>
  <c r="I24" i="6"/>
  <c r="K24" i="6"/>
  <c r="I25" i="6"/>
  <c r="K25" i="6" s="1"/>
  <c r="I27" i="6"/>
  <c r="K27" i="6" s="1"/>
  <c r="I28" i="6"/>
  <c r="K28" i="6" s="1"/>
  <c r="I29" i="6"/>
  <c r="K29" i="6" s="1"/>
  <c r="I15" i="7"/>
  <c r="K15" i="7" s="1"/>
  <c r="I16" i="7"/>
  <c r="K16" i="7" s="1"/>
  <c r="I17" i="7"/>
  <c r="K17" i="7" s="1"/>
  <c r="I19" i="7"/>
  <c r="K19" i="7" s="1"/>
  <c r="I20" i="7"/>
  <c r="K20" i="7" s="1"/>
  <c r="I21" i="7"/>
  <c r="K21" i="7" s="1"/>
  <c r="I23" i="7"/>
  <c r="K23" i="7" s="1"/>
  <c r="I24" i="7"/>
  <c r="K24" i="7"/>
  <c r="I25" i="7"/>
  <c r="K25" i="7" s="1"/>
  <c r="I27" i="7"/>
  <c r="K27" i="7" s="1"/>
  <c r="I28" i="7"/>
  <c r="K28" i="7" s="1"/>
  <c r="I29" i="7"/>
  <c r="K29" i="7"/>
  <c r="M24" i="2" l="1"/>
  <c r="Q24" i="2" s="1"/>
  <c r="M27" i="2"/>
  <c r="Q27" i="2" s="1"/>
  <c r="M30" i="2"/>
  <c r="Q30" i="2" s="1"/>
  <c r="M32" i="2"/>
  <c r="Q32" i="2" s="1"/>
  <c r="M26" i="2"/>
  <c r="Q26" i="2" s="1"/>
  <c r="M28" i="2"/>
  <c r="Q28" i="2" s="1"/>
  <c r="M31" i="2"/>
  <c r="Q31" i="2" s="1"/>
  <c r="H10" i="1"/>
  <c r="J10" i="1" s="1"/>
  <c r="M23" i="2"/>
  <c r="Q23" i="2" s="1"/>
  <c r="S33" i="1"/>
  <c r="S31" i="1"/>
  <c r="S28" i="1"/>
  <c r="S26" i="1"/>
  <c r="S23" i="1"/>
  <c r="S21" i="1"/>
  <c r="S19" i="1"/>
  <c r="S16" i="1"/>
  <c r="S14" i="1"/>
  <c r="M20" i="2"/>
  <c r="Q20" i="2" s="1"/>
  <c r="M18" i="2"/>
  <c r="Q18" i="2" s="1"/>
</calcChain>
</file>

<file path=xl/sharedStrings.xml><?xml version="1.0" encoding="utf-8"?>
<sst xmlns="http://schemas.openxmlformats.org/spreadsheetml/2006/main" count="379" uniqueCount="98">
  <si>
    <t>PacifiCorp</t>
  </si>
  <si>
    <t>Monthly Billing Comparison</t>
  </si>
  <si>
    <t>Schedule 16 - Residential Service</t>
  </si>
  <si>
    <t xml:space="preserve"> 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</si>
  <si>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</si>
  <si>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>Total Change</t>
  </si>
  <si>
    <t>Present Price</t>
  </si>
  <si>
    <t>Proposed Price</t>
  </si>
  <si>
    <t>kWh</t>
  </si>
  <si>
    <t>Present</t>
  </si>
  <si>
    <t>Proposed</t>
  </si>
  <si>
    <t>$</t>
  </si>
  <si>
    <t>%</t>
  </si>
  <si>
    <t>Basic</t>
  </si>
  <si>
    <t>Average Rate ¢/kWh</t>
  </si>
  <si>
    <t>Energy - 1st 600</t>
  </si>
  <si>
    <t>Current</t>
  </si>
  <si>
    <t>Energy</t>
  </si>
  <si>
    <t>SBC</t>
  </si>
  <si>
    <t>BPA Credit</t>
  </si>
  <si>
    <t>Low Income-Current</t>
  </si>
  <si>
    <t>Low Income-Proposed</t>
  </si>
  <si>
    <t>FTAA-Current</t>
  </si>
  <si>
    <t>FTAA-Proposed</t>
  </si>
  <si>
    <t>RCRR-Proposed</t>
  </si>
  <si>
    <t>Residential Overall:</t>
  </si>
  <si>
    <t>*</t>
  </si>
  <si>
    <t>Notes:</t>
  </si>
  <si>
    <t>* Average Washington Customer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</si>
  <si>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Credit, FTAA and Proposed RCRR.</t>
    </r>
  </si>
  <si>
    <t>Schedule 24 - Small General Service</t>
  </si>
  <si>
    <t>kW</t>
  </si>
  <si>
    <t>Monthly Billing *</t>
  </si>
  <si>
    <t>Percent</t>
  </si>
  <si>
    <t>Load Size/</t>
  </si>
  <si>
    <t>kWh per kW</t>
  </si>
  <si>
    <t>Present Price Schedule 24</t>
  </si>
  <si>
    <t>Proposed Price Schedule 24</t>
  </si>
  <si>
    <t>Difference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</si>
  <si>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</si>
  <si>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</si>
  <si>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</si>
  <si>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</si>
  <si>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</si>
  <si>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</si>
  <si>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</si>
  <si>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</si>
  <si>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</si>
  <si>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</si>
  <si>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</si>
  <si>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</si>
  <si>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</si>
  <si>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Charge, FTAA and Proposed RCRR.</t>
  </si>
  <si>
    <t>Overall:</t>
  </si>
  <si>
    <t>Schedule 36 - Large General Service &lt; 1,000 kW</t>
  </si>
  <si>
    <t xml:space="preserve">Present </t>
  </si>
  <si>
    <t>Schedule 36</t>
  </si>
  <si>
    <t xml:space="preserve">Schedule 36 </t>
  </si>
  <si>
    <t>Base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</si>
  <si>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</si>
  <si>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</si>
  <si>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</si>
  <si>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</si>
  <si>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</si>
  <si>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</si>
  <si>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</si>
  <si>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</si>
  <si>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</si>
  <si>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</si>
  <si>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</si>
  <si>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</si>
  <si>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</si>
  <si>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</si>
  <si>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</si>
  <si>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</si>
  <si>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</si>
  <si>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</si>
  <si>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</si>
  <si>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</si>
  <si>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</si>
  <si>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</si>
  <si>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Low Income charge, FTAA and Proposed RCRR.</t>
  </si>
  <si>
    <t xml:space="preserve">      ** Does not include November Load Size Charge.</t>
  </si>
  <si>
    <t>Schedule 48T - Large General Service - Secondary</t>
  </si>
  <si>
    <t>1,000 kW and Over</t>
  </si>
  <si>
    <t xml:space="preserve">Proposed </t>
  </si>
  <si>
    <t>Price Schedule 48T</t>
  </si>
  <si>
    <t xml:space="preserve">Price Schedule 48T </t>
  </si>
  <si>
    <t>&lt;=3000</t>
  </si>
  <si>
    <t>&gt;3000</t>
  </si>
  <si>
    <t>On-Peak</t>
  </si>
  <si>
    <t>Off-Peak</t>
  </si>
  <si>
    <t>Schedule 48 Overall:</t>
  </si>
  <si>
    <t>Schedule 48T - Large General Service - Primary</t>
  </si>
  <si>
    <t>w min included</t>
  </si>
  <si>
    <t>30,000 kW and Over</t>
  </si>
  <si>
    <t>Served by Dedicated Facilities</t>
  </si>
  <si>
    <t>&gt;30000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</si>
</sst>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000"/>
    <numFmt numFmtId="167" formatCode="0.00_)"/>
    <numFmt numFmtId="168" formatCode="_(* #,##0_);_(* \(#,##0\);_(* &quot;-&quot;??_);_(@_)"/>
    <numFmt numFmtId="169" formatCode="_(* #,##0.000_);_(* \(#,##0.000\);_(* &quot;-&quot;??_);_(@_)"/>
  </numFmts>
  <fonts count="17" x14ac:knownFonts="1">
    <font>
      <sz val="12"/>
      <name val="Times New Roman"/>
    </font>
    <font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u/>
      <sz val="12"/>
      <name val="Times New Roman"/>
      <family val="1"/>
    </font>
    <font>
      <u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1" fillId="0" borderId="0" xfId="4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1" xfId="4" applyBorder="1" applyAlignment="1">
      <alignment horizontal="center"/>
    </xf>
    <xf numFmtId="0" fontId="1" fillId="0" borderId="0" xfId="4" applyAlignment="1">
      <alignment horizontal="center"/>
    </xf>
    <xf numFmtId="0" fontId="4" fillId="0" borderId="2" xfId="4" applyFont="1" applyBorder="1"/>
    <xf numFmtId="0" fontId="4" fillId="0" borderId="3" xfId="4" applyFont="1" applyBorder="1"/>
    <xf numFmtId="0" fontId="1" fillId="0" borderId="1" xfId="4" applyBorder="1" applyAlignment="1">
      <alignment horizontal="center"/>
    </xf>
    <xf numFmtId="0" fontId="1" fillId="0" borderId="4" xfId="4" applyBorder="1" applyAlignment="1">
      <alignment horizontal="centerContinuous"/>
    </xf>
    <xf numFmtId="0" fontId="3" fillId="0" borderId="0" xfId="4" applyFont="1"/>
    <xf numFmtId="0" fontId="1" fillId="0" borderId="4" xfId="4" applyBorder="1" applyAlignment="1">
      <alignment horizontal="center"/>
    </xf>
    <xf numFmtId="0" fontId="4" fillId="0" borderId="5" xfId="4" applyFont="1" applyBorder="1"/>
    <xf numFmtId="7" fontId="5" fillId="0" borderId="6" xfId="4" applyNumberFormat="1" applyFont="1" applyBorder="1"/>
    <xf numFmtId="0" fontId="0" fillId="0" borderId="1" xfId="0" applyBorder="1"/>
    <xf numFmtId="0" fontId="1" fillId="0" borderId="1" xfId="4" applyBorder="1" applyAlignment="1">
      <alignment horizontal="centerContinuous"/>
    </xf>
    <xf numFmtId="0" fontId="6" fillId="0" borderId="0" xfId="4" applyFont="1"/>
    <xf numFmtId="164" fontId="5" fillId="0" borderId="6" xfId="4" applyNumberFormat="1" applyFont="1" applyBorder="1"/>
    <xf numFmtId="43" fontId="1" fillId="0" borderId="0" xfId="4" applyNumberFormat="1"/>
    <xf numFmtId="165" fontId="1" fillId="0" borderId="0" xfId="3" applyNumberFormat="1" applyFont="1" applyFill="1"/>
    <xf numFmtId="0" fontId="6" fillId="0" borderId="0" xfId="4" applyFont="1" applyAlignment="1">
      <alignment horizontal="center"/>
    </xf>
    <xf numFmtId="37" fontId="1" fillId="0" borderId="0" xfId="4" applyNumberFormat="1"/>
    <xf numFmtId="7" fontId="1" fillId="0" borderId="0" xfId="4" applyNumberFormat="1"/>
    <xf numFmtId="10" fontId="1" fillId="0" borderId="0" xfId="4" applyNumberFormat="1"/>
    <xf numFmtId="0" fontId="4" fillId="0" borderId="7" xfId="4" applyFont="1" applyBorder="1"/>
    <xf numFmtId="164" fontId="5" fillId="0" borderId="8" xfId="4" applyNumberFormat="1" applyFont="1" applyBorder="1"/>
    <xf numFmtId="164" fontId="4" fillId="0" borderId="0" xfId="4" applyNumberFormat="1" applyFont="1"/>
    <xf numFmtId="0" fontId="4" fillId="0" borderId="0" xfId="4" applyFont="1"/>
    <xf numFmtId="165" fontId="4" fillId="0" borderId="0" xfId="4" applyNumberFormat="1" applyFont="1"/>
    <xf numFmtId="166" fontId="4" fillId="0" borderId="0" xfId="4" applyNumberFormat="1" applyFont="1"/>
    <xf numFmtId="164" fontId="1" fillId="0" borderId="0" xfId="4" applyNumberFormat="1"/>
    <xf numFmtId="5" fontId="1" fillId="0" borderId="0" xfId="4" applyNumberFormat="1"/>
    <xf numFmtId="167" fontId="1" fillId="0" borderId="0" xfId="4" applyNumberFormat="1"/>
    <xf numFmtId="10" fontId="1" fillId="0" borderId="0" xfId="3" applyNumberFormat="1" applyFont="1" applyFill="1" applyAlignment="1">
      <alignment horizontal="right"/>
    </xf>
    <xf numFmtId="37" fontId="1" fillId="0" borderId="1" xfId="4" applyNumberFormat="1" applyBorder="1"/>
    <xf numFmtId="0" fontId="1" fillId="0" borderId="1" xfId="4" applyBorder="1"/>
    <xf numFmtId="7" fontId="1" fillId="0" borderId="1" xfId="4" applyNumberFormat="1" applyBorder="1"/>
    <xf numFmtId="167" fontId="1" fillId="0" borderId="1" xfId="4" applyNumberFormat="1" applyBorder="1"/>
    <xf numFmtId="0" fontId="8" fillId="0" borderId="0" xfId="4" applyFont="1"/>
    <xf numFmtId="0" fontId="8" fillId="0" borderId="0" xfId="4" quotePrefix="1" applyFont="1" applyAlignment="1">
      <alignment horizontal="left"/>
    </xf>
    <xf numFmtId="0" fontId="1" fillId="0" borderId="0" xfId="4" applyAlignment="1">
      <alignment horizontal="left"/>
    </xf>
    <xf numFmtId="44" fontId="1" fillId="0" borderId="0" xfId="2" applyFont="1" applyFill="1"/>
    <xf numFmtId="0" fontId="10" fillId="0" borderId="0" xfId="4" applyFont="1"/>
    <xf numFmtId="0" fontId="10" fillId="0" borderId="0" xfId="4" applyFont="1" applyAlignment="1">
      <alignment horizontal="centerContinuous"/>
    </xf>
    <xf numFmtId="0" fontId="2" fillId="0" borderId="0" xfId="4" applyFont="1" applyAlignment="1">
      <alignment horizontal="center"/>
    </xf>
    <xf numFmtId="0" fontId="11" fillId="0" borderId="0" xfId="4" applyFont="1" applyAlignment="1">
      <alignment horizontal="centerContinuous"/>
    </xf>
    <xf numFmtId="0" fontId="12" fillId="0" borderId="0" xfId="4" applyFont="1" applyAlignment="1">
      <alignment horizontal="centerContinuous"/>
    </xf>
    <xf numFmtId="0" fontId="13" fillId="0" borderId="0" xfId="4" applyFont="1" applyAlignment="1">
      <alignment horizontal="center"/>
    </xf>
    <xf numFmtId="0" fontId="13" fillId="0" borderId="0" xfId="4" applyFont="1"/>
    <xf numFmtId="0" fontId="13" fillId="0" borderId="4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0" fontId="14" fillId="0" borderId="0" xfId="4" applyFont="1" applyAlignment="1">
      <alignment horizontal="center"/>
    </xf>
    <xf numFmtId="0" fontId="13" fillId="0" borderId="1" xfId="4" applyFont="1" applyBorder="1" applyAlignment="1">
      <alignment horizontal="centerContinuous"/>
    </xf>
    <xf numFmtId="0" fontId="13" fillId="0" borderId="1" xfId="4" applyFont="1" applyBorder="1" applyAlignment="1">
      <alignment horizontal="center"/>
    </xf>
    <xf numFmtId="0" fontId="15" fillId="0" borderId="0" xfId="4" applyFont="1"/>
    <xf numFmtId="0" fontId="16" fillId="0" borderId="0" xfId="4" applyFont="1" applyAlignment="1">
      <alignment horizontal="center"/>
    </xf>
    <xf numFmtId="0" fontId="13" fillId="0" borderId="4" xfId="4" applyFont="1" applyBorder="1" applyAlignment="1">
      <alignment horizontal="center"/>
    </xf>
    <xf numFmtId="0" fontId="1" fillId="0" borderId="2" xfId="4" applyBorder="1"/>
    <xf numFmtId="0" fontId="1" fillId="0" borderId="9" xfId="4" applyBorder="1"/>
    <xf numFmtId="0" fontId="1" fillId="0" borderId="3" xfId="4" applyBorder="1"/>
    <xf numFmtId="0" fontId="1" fillId="0" borderId="5" xfId="4" applyBorder="1"/>
    <xf numFmtId="0" fontId="1" fillId="0" borderId="6" xfId="4" applyBorder="1"/>
    <xf numFmtId="37" fontId="13" fillId="0" borderId="0" xfId="4" applyNumberFormat="1" applyFont="1"/>
    <xf numFmtId="165" fontId="13" fillId="0" borderId="0" xfId="3" applyNumberFormat="1" applyFont="1" applyFill="1" applyProtection="1"/>
    <xf numFmtId="5" fontId="13" fillId="0" borderId="0" xfId="4" applyNumberFormat="1" applyFont="1"/>
    <xf numFmtId="10" fontId="13" fillId="0" borderId="0" xfId="4" applyNumberFormat="1" applyFont="1"/>
    <xf numFmtId="7" fontId="5" fillId="0" borderId="0" xfId="4" applyNumberFormat="1" applyFont="1"/>
    <xf numFmtId="0" fontId="5" fillId="0" borderId="0" xfId="4" applyFont="1"/>
    <xf numFmtId="7" fontId="1" fillId="0" borderId="0" xfId="2" applyNumberFormat="1" applyFont="1" applyFill="1"/>
    <xf numFmtId="7" fontId="4" fillId="0" borderId="0" xfId="4" applyNumberFormat="1" applyFont="1"/>
    <xf numFmtId="0" fontId="1" fillId="0" borderId="5" xfId="4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0" fontId="5" fillId="0" borderId="6" xfId="4" applyFont="1" applyBorder="1"/>
    <xf numFmtId="0" fontId="1" fillId="0" borderId="0" xfId="4" applyAlignment="1">
      <alignment horizontal="right"/>
    </xf>
    <xf numFmtId="169" fontId="5" fillId="0" borderId="0" xfId="1" applyNumberFormat="1" applyFont="1" applyFill="1" applyBorder="1"/>
    <xf numFmtId="169" fontId="5" fillId="0" borderId="6" xfId="1" applyNumberFormat="1" applyFont="1" applyFill="1" applyBorder="1"/>
    <xf numFmtId="0" fontId="4" fillId="0" borderId="10" xfId="4" applyFont="1" applyBorder="1"/>
    <xf numFmtId="0" fontId="4" fillId="0" borderId="8" xfId="4" applyFont="1" applyBorder="1"/>
    <xf numFmtId="169" fontId="13" fillId="0" borderId="0" xfId="1" applyNumberFormat="1" applyFont="1" applyFill="1" applyProtection="1"/>
    <xf numFmtId="165" fontId="13" fillId="0" borderId="0" xfId="3" applyNumberFormat="1" applyFont="1" applyFill="1" applyBorder="1" applyProtection="1"/>
    <xf numFmtId="0" fontId="8" fillId="0" borderId="0" xfId="4" quotePrefix="1" applyFont="1"/>
    <xf numFmtId="0" fontId="1" fillId="0" borderId="10" xfId="4" applyBorder="1"/>
    <xf numFmtId="0" fontId="15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" fillId="0" borderId="11" xfId="4" applyBorder="1" applyAlignment="1">
      <alignment horizontal="left"/>
    </xf>
    <xf numFmtId="0" fontId="1" fillId="0" borderId="9" xfId="4" applyBorder="1" applyAlignment="1">
      <alignment horizontal="centerContinuous"/>
    </xf>
    <xf numFmtId="0" fontId="1" fillId="0" borderId="3" xfId="4" applyBorder="1" applyAlignment="1">
      <alignment horizontal="centerContinuous"/>
    </xf>
    <xf numFmtId="0" fontId="1" fillId="0" borderId="6" xfId="4" applyBorder="1" applyAlignment="1">
      <alignment horizontal="center"/>
    </xf>
    <xf numFmtId="7" fontId="13" fillId="0" borderId="0" xfId="4" applyNumberFormat="1" applyFont="1"/>
    <xf numFmtId="5" fontId="5" fillId="0" borderId="0" xfId="4" applyNumberFormat="1" applyFont="1"/>
    <xf numFmtId="164" fontId="5" fillId="0" borderId="0" xfId="4" applyNumberFormat="1" applyFont="1"/>
    <xf numFmtId="164" fontId="1" fillId="0" borderId="6" xfId="4" applyNumberFormat="1" applyBorder="1"/>
    <xf numFmtId="0" fontId="1" fillId="0" borderId="7" xfId="4" applyBorder="1"/>
    <xf numFmtId="169" fontId="4" fillId="0" borderId="10" xfId="1" applyNumberFormat="1" applyFont="1" applyFill="1" applyBorder="1"/>
    <xf numFmtId="0" fontId="1" fillId="0" borderId="8" xfId="4" applyBorder="1"/>
    <xf numFmtId="10" fontId="1" fillId="0" borderId="0" xfId="3" applyNumberFormat="1" applyFont="1" applyFill="1"/>
    <xf numFmtId="0" fontId="13" fillId="0" borderId="1" xfId="4" applyFont="1" applyBorder="1"/>
    <xf numFmtId="0" fontId="1" fillId="0" borderId="2" xfId="4" applyBorder="1" applyAlignment="1">
      <alignment horizontal="center"/>
    </xf>
    <xf numFmtId="0" fontId="4" fillId="0" borderId="6" xfId="4" applyFont="1" applyBorder="1"/>
    <xf numFmtId="0" fontId="1" fillId="0" borderId="12" xfId="4" applyBorder="1"/>
    <xf numFmtId="0" fontId="1" fillId="0" borderId="13" xfId="4" applyBorder="1"/>
    <xf numFmtId="0" fontId="1" fillId="0" borderId="14" xfId="4" applyBorder="1"/>
    <xf numFmtId="0" fontId="1" fillId="0" borderId="15" xfId="4" applyBorder="1"/>
    <xf numFmtId="0" fontId="1" fillId="0" borderId="16" xfId="4" applyBorder="1"/>
    <xf numFmtId="7" fontId="5" fillId="0" borderId="17" xfId="4" applyNumberFormat="1" applyFont="1" applyBorder="1"/>
    <xf numFmtId="5" fontId="5" fillId="0" borderId="6" xfId="4" applyNumberFormat="1" applyFont="1" applyBorder="1"/>
    <xf numFmtId="5" fontId="5" fillId="0" borderId="17" xfId="4" applyNumberFormat="1" applyFont="1" applyBorder="1"/>
    <xf numFmtId="0" fontId="1" fillId="0" borderId="18" xfId="4" applyBorder="1"/>
    <xf numFmtId="5" fontId="5" fillId="0" borderId="19" xfId="4" applyNumberFormat="1" applyFont="1" applyBorder="1"/>
    <xf numFmtId="0" fontId="5" fillId="0" borderId="1" xfId="4" applyFont="1" applyBorder="1"/>
    <xf numFmtId="5" fontId="5" fillId="0" borderId="20" xfId="4" applyNumberFormat="1" applyFont="1" applyBorder="1"/>
    <xf numFmtId="0" fontId="1" fillId="0" borderId="2" xfId="4" applyBorder="1" applyAlignment="1">
      <alignment horizontal="centerContinuous"/>
    </xf>
    <xf numFmtId="0" fontId="5" fillId="0" borderId="5" xfId="4" applyFont="1" applyBorder="1"/>
    <xf numFmtId="10" fontId="5" fillId="0" borderId="6" xfId="4" applyNumberFormat="1" applyFont="1" applyBorder="1"/>
    <xf numFmtId="0" fontId="5" fillId="0" borderId="7" xfId="4" applyFont="1" applyBorder="1"/>
    <xf numFmtId="169" fontId="5" fillId="0" borderId="10" xfId="1" applyNumberFormat="1" applyFont="1" applyFill="1" applyBorder="1"/>
    <xf numFmtId="10" fontId="5" fillId="0" borderId="8" xfId="4" applyNumberFormat="1" applyFont="1" applyBorder="1"/>
    <xf numFmtId="0" fontId="5" fillId="0" borderId="10" xfId="4" applyFont="1" applyBorder="1"/>
  </cellXfs>
  <cellStyles count="5">
    <cellStyle name="Comma" xfId="1" builtinId="3"/>
    <cellStyle name="Currency" xfId="2" builtinId="4"/>
    <cellStyle name="Normal" xfId="0" builtinId="0"/>
    <cellStyle name="Normal_OR Blocking 98 No Forecast" xfId="4" xr:uid="{68403EDD-C04F-47C2-8A99-6955886BA88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MM-2,%20RMM-3,%20and%20RMM-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GRC%202020/Settlement/COS%20WA%20Jun%202020-Settle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2)pg1"/>
      <sheetName val="Exhibit No.__(RMM-2)pg2"/>
      <sheetName val="Exhibit No.__(RMM-3)"/>
      <sheetName val="Exhibit No.__(RMM-4) p1"/>
      <sheetName val="Exhibit No.__(RMM-4) p2"/>
      <sheetName val="Exhibit No.__(RMM-4) p3"/>
      <sheetName val="Exhibit No.__(RMM-4) p4"/>
      <sheetName val="Exhibit No.__(RMM-4) p5"/>
      <sheetName val="Exhibit No.__(RMM-4) p6"/>
      <sheetName val="Exhibit No.__(RMM-4) p7"/>
      <sheetName val="Not Exhibit &gt;&gt;&gt;&gt;"/>
      <sheetName val="G+T+D+C+CO (GRC Settlement)"/>
      <sheetName val="Rate Design Work-Res NM"/>
      <sheetName val="Table A by class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F2" t="str">
            <v>PacifiCorp</v>
          </cell>
        </row>
        <row r="3">
          <cell r="F3" t="str">
            <v>Cost Of Service By Rate Schedule</v>
          </cell>
        </row>
        <row r="4">
          <cell r="F4" t="str">
            <v>State of Washington</v>
          </cell>
          <cell r="Z4" t="str">
            <v xml:space="preserve"> </v>
          </cell>
        </row>
        <row r="5">
          <cell r="F5" t="str">
            <v>WCA</v>
          </cell>
        </row>
        <row r="6">
          <cell r="F6" t="str">
            <v>12 Months Ending June 2019</v>
          </cell>
        </row>
        <row r="8"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N8" t="str">
            <v>Generation</v>
          </cell>
          <cell r="Q8" t="str">
            <v>Transmission</v>
          </cell>
          <cell r="T8" t="str">
            <v>Distribution</v>
          </cell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N9" t="str">
            <v>DEMAND</v>
          </cell>
          <cell r="O9" t="str">
            <v>ENERGY</v>
          </cell>
          <cell r="Q9" t="str">
            <v>DEMAND</v>
          </cell>
          <cell r="R9" t="str">
            <v>ENERGY</v>
          </cell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</row>
        <row r="12">
          <cell r="A12" t="str">
            <v xml:space="preserve">  General Business Revenues</v>
          </cell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</row>
        <row r="13">
          <cell r="A13" t="str">
            <v xml:space="preserve">  Special Sales</v>
          </cell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 xml:space="preserve">  Other Operating Revenues</v>
          </cell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</row>
        <row r="15">
          <cell r="A15" t="str">
            <v>Total Operating Revenues</v>
          </cell>
          <cell r="D15">
            <v>382591356.44323885</v>
          </cell>
          <cell r="E15">
            <v>382591356.3649506</v>
          </cell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Q15">
            <v>67071845.344203159</v>
          </cell>
          <cell r="R15">
            <v>0</v>
          </cell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Z15">
            <v>0</v>
          </cell>
          <cell r="AA15">
            <v>0</v>
          </cell>
          <cell r="AB15">
            <v>0</v>
          </cell>
        </row>
        <row r="17">
          <cell r="A17" t="str">
            <v>Operating Expenses</v>
          </cell>
        </row>
        <row r="18">
          <cell r="A18" t="str">
            <v xml:space="preserve">  Operation &amp; Maintenance Expenses</v>
          </cell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9">
          <cell r="A29" t="str">
            <v>Operating Revenue For Return</v>
          </cell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Z29">
            <v>0</v>
          </cell>
          <cell r="AA29">
            <v>-5.0032067377969724E-10</v>
          </cell>
          <cell r="AB29">
            <v>0</v>
          </cell>
        </row>
        <row r="32">
          <cell r="A32" t="str">
            <v>Rate Base :</v>
          </cell>
        </row>
        <row r="33">
          <cell r="A33" t="str">
            <v xml:space="preserve">  Electric Plant In Service</v>
          </cell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7">
          <cell r="A47" t="str">
            <v>Rate Base Deductions :</v>
          </cell>
        </row>
        <row r="48">
          <cell r="A48" t="str">
            <v xml:space="preserve">  Accum Provision For Depreciation</v>
          </cell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N54">
            <v>-30871756.277845763</v>
          </cell>
          <cell r="O54">
            <v>-21083909.953660723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7">
          <cell r="A57" t="str">
            <v>Total Rate Base</v>
          </cell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A59" t="str">
            <v>Return On Rate Base</v>
          </cell>
          <cell r="D59">
            <v>7.1839213594582146E-2</v>
          </cell>
          <cell r="E59">
            <v>7.1839213523092416E-2</v>
          </cell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</row>
        <row r="61">
          <cell r="A61" t="str">
            <v>Return On Equity</v>
          </cell>
          <cell r="D61">
            <v>9.5300923817886227E-2</v>
          </cell>
          <cell r="E61">
            <v>9.5300923672285973E-2</v>
          </cell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</row>
        <row r="65">
          <cell r="A65" t="str">
            <v>Total Rate Base</v>
          </cell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N65">
            <v>261503237.3290478</v>
          </cell>
          <cell r="O65">
            <v>178594008.67300284</v>
          </cell>
          <cell r="Q65">
            <v>394253874.88004029</v>
          </cell>
          <cell r="R65">
            <v>0</v>
          </cell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7">
          <cell r="A67" t="str">
            <v>Return On RateBase ($$)</v>
          </cell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N67">
            <v>18786186.922156174</v>
          </cell>
          <cell r="O67">
            <v>12830053.135772508</v>
          </cell>
          <cell r="Q67">
            <v>28322888.32799888</v>
          </cell>
          <cell r="R67">
            <v>0</v>
          </cell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N68">
            <v>15478048.012142694</v>
          </cell>
          <cell r="O68">
            <v>106725885.24333036</v>
          </cell>
          <cell r="Q68">
            <v>16190074.62429798</v>
          </cell>
          <cell r="R68">
            <v>1.3403379539612539</v>
          </cell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</row>
        <row r="70">
          <cell r="A70" t="str">
            <v>Depreciation Expense</v>
          </cell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N70">
            <v>53259974.569804043</v>
          </cell>
          <cell r="O70">
            <v>36373975.547670603</v>
          </cell>
          <cell r="Q70">
            <v>12969504.15561736</v>
          </cell>
          <cell r="R70">
            <v>0</v>
          </cell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N71">
            <v>3144560.2765410133</v>
          </cell>
          <cell r="O71">
            <v>2147581.9230286949</v>
          </cell>
          <cell r="Q71">
            <v>259488.69823683376</v>
          </cell>
          <cell r="R71">
            <v>0</v>
          </cell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N72">
            <v>6983172.0560298748</v>
          </cell>
          <cell r="O72">
            <v>4769167.3092765044</v>
          </cell>
          <cell r="Q72">
            <v>6057423.7619394055</v>
          </cell>
          <cell r="R72">
            <v>0</v>
          </cell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N73">
            <v>736378.19719765161</v>
          </cell>
          <cell r="O73">
            <v>502910.5393882597</v>
          </cell>
          <cell r="Q73">
            <v>2770844.34656577</v>
          </cell>
          <cell r="R73">
            <v>0</v>
          </cell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</row>
        <row r="75">
          <cell r="A75" t="str">
            <v>State Income Taxes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</row>
        <row r="77">
          <cell r="A77" t="str">
            <v>Deferred Income Taxes</v>
          </cell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N77">
            <v>-7686653.140260648</v>
          </cell>
          <cell r="O77">
            <v>-5249610.7184734447</v>
          </cell>
          <cell r="Q77">
            <v>501539.11156033166</v>
          </cell>
          <cell r="R77">
            <v>0</v>
          </cell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N79">
            <v>3533.7659215870081</v>
          </cell>
          <cell r="O79">
            <v>2413.3904730752947</v>
          </cell>
          <cell r="Q79">
            <v>81.005833750026895</v>
          </cell>
          <cell r="R79">
            <v>0</v>
          </cell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N80">
            <v>-8291783.5474166404</v>
          </cell>
          <cell r="O80">
            <v>-7832520.3117440883</v>
          </cell>
          <cell r="Q80">
            <v>-13079010.274923081</v>
          </cell>
          <cell r="R80">
            <v>0</v>
          </cell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2">
          <cell r="A82" t="str">
            <v>Total Revenue Requirements</v>
          </cell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N82">
            <v>82413417.112115741</v>
          </cell>
          <cell r="O82">
            <v>150269856.0587225</v>
          </cell>
          <cell r="Q82">
            <v>53992833.757127233</v>
          </cell>
          <cell r="R82">
            <v>1.3403379539612539</v>
          </cell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D83">
            <v>348293800.15478849</v>
          </cell>
        </row>
        <row r="88">
          <cell r="A88" t="str">
            <v>12 Months Ending June 2019</v>
          </cell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90"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S92" t="str">
            <v>Option2</v>
          </cell>
          <cell r="AN92" t="str">
            <v>Check Total</v>
          </cell>
        </row>
        <row r="93">
          <cell r="B93">
            <v>440</v>
          </cell>
          <cell r="C93" t="str">
            <v>Residential Sales</v>
          </cell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AD95">
            <v>440</v>
          </cell>
          <cell r="AE95" t="str">
            <v>NA</v>
          </cell>
          <cell r="AF95" t="str">
            <v>440.NA1</v>
          </cell>
        </row>
        <row r="96">
          <cell r="A96">
            <v>96</v>
          </cell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D105" t="str">
            <v>S</v>
          </cell>
          <cell r="E105" t="str">
            <v>NONE</v>
          </cell>
          <cell r="F105">
            <v>1354705.2587733048</v>
          </cell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D109" t="str">
            <v>S</v>
          </cell>
          <cell r="E109" t="str">
            <v>NONE</v>
          </cell>
          <cell r="F109">
            <v>0</v>
          </cell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Q139">
            <v>60146511.461558267</v>
          </cell>
          <cell r="R139">
            <v>0</v>
          </cell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N156">
            <v>1694.5367526030873</v>
          </cell>
          <cell r="O156">
            <v>1157.2862905338152</v>
          </cell>
          <cell r="Q156">
            <v>0</v>
          </cell>
          <cell r="R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Q223">
            <v>81.005833750026895</v>
          </cell>
          <cell r="R223">
            <v>0</v>
          </cell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C241" t="str">
            <v>Total Fuel Related</v>
          </cell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C256" t="str">
            <v>Total Steam From Other Sources</v>
          </cell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Q300">
            <v>0</v>
          </cell>
          <cell r="R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Q399">
            <v>0</v>
          </cell>
          <cell r="R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0.59419421435740905</v>
          </cell>
          <cell r="N429">
            <v>238790.44302478159</v>
          </cell>
          <cell r="O429">
            <v>163082.27342874592</v>
          </cell>
          <cell r="Q429">
            <v>0</v>
          </cell>
          <cell r="R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0.59419421435740905</v>
          </cell>
          <cell r="N430">
            <v>1833.2615024986142</v>
          </cell>
          <cell r="O430">
            <v>1252.0285562092001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N431">
            <v>240623.70452728021</v>
          </cell>
          <cell r="O431">
            <v>164334.30198495512</v>
          </cell>
          <cell r="Q431">
            <v>0</v>
          </cell>
          <cell r="R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M435">
            <v>0.59419421435740905</v>
          </cell>
          <cell r="N435">
            <v>3324.3567259600409</v>
          </cell>
          <cell r="O435">
            <v>2270.3741644360639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Q449">
            <v>0</v>
          </cell>
          <cell r="R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N483">
            <v>1706954.5949819896</v>
          </cell>
          <cell r="O483">
            <v>26409520.400179967</v>
          </cell>
          <cell r="Q483">
            <v>0</v>
          </cell>
          <cell r="R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P488">
            <v>0.99999899999999997</v>
          </cell>
          <cell r="Q488">
            <v>1340336.6135847575</v>
          </cell>
          <cell r="R488">
            <v>1.3403379539612539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P489">
            <v>1</v>
          </cell>
          <cell r="Q489">
            <v>-481918.39905870054</v>
          </cell>
          <cell r="R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Q521">
            <v>10605749.640665827</v>
          </cell>
          <cell r="R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AA539">
            <v>0</v>
          </cell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Q563">
            <v>16190074.62429798</v>
          </cell>
          <cell r="R563">
            <v>1.3403379539612539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Q661">
            <v>0</v>
          </cell>
          <cell r="R661">
            <v>0</v>
          </cell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Q689">
            <v>0</v>
          </cell>
          <cell r="R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Q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Q734">
            <v>0</v>
          </cell>
          <cell r="R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Q816">
            <v>0</v>
          </cell>
          <cell r="R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N819">
            <v>15478048.012142694</v>
          </cell>
          <cell r="O819">
            <v>106725885.24333036</v>
          </cell>
          <cell r="Q819">
            <v>16190074.62429798</v>
          </cell>
          <cell r="R819">
            <v>1.3403379539612539</v>
          </cell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P849">
            <v>1</v>
          </cell>
          <cell r="Q849">
            <v>0</v>
          </cell>
          <cell r="R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P850">
            <v>1</v>
          </cell>
          <cell r="Q850">
            <v>11066964.164807312</v>
          </cell>
          <cell r="R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P851">
            <v>1</v>
          </cell>
          <cell r="Q851">
            <v>815981.19002637104</v>
          </cell>
          <cell r="R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P852">
            <v>1</v>
          </cell>
          <cell r="Q852">
            <v>94743.192104611546</v>
          </cell>
          <cell r="R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Q898">
            <v>12969504.15561736</v>
          </cell>
          <cell r="R898">
            <v>0</v>
          </cell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D948" t="str">
            <v>DGP</v>
          </cell>
          <cell r="E948" t="str">
            <v>P</v>
          </cell>
          <cell r="F948">
            <v>0</v>
          </cell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D949" t="str">
            <v>DGU</v>
          </cell>
          <cell r="E949" t="str">
            <v>P</v>
          </cell>
          <cell r="F949">
            <v>0</v>
          </cell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Q986">
            <v>0</v>
          </cell>
          <cell r="R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Q1003">
            <v>332070.37859414122</v>
          </cell>
          <cell r="R1003">
            <v>0</v>
          </cell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C1009" t="str">
            <v>Electric Interest Deductions for Tax</v>
          </cell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C1011" t="str">
            <v>Total Electric Interest Deductions for Tax</v>
          </cell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N1016">
            <v>-847039.01221456903</v>
          </cell>
          <cell r="O1016">
            <v>-578486.50073677942</v>
          </cell>
          <cell r="Q1016">
            <v>-748111.29743112263</v>
          </cell>
          <cell r="R1016">
            <v>0</v>
          </cell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N1047">
            <v>0</v>
          </cell>
          <cell r="O1047">
            <v>0</v>
          </cell>
          <cell r="Q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N1124">
            <v>85859698.084969729</v>
          </cell>
          <cell r="O1124">
            <v>58638003.189053357</v>
          </cell>
          <cell r="Q1124">
            <v>4595344.605593211</v>
          </cell>
          <cell r="R1124">
            <v>0</v>
          </cell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N1164">
            <v>44628836.577516235</v>
          </cell>
          <cell r="O1164">
            <v>30479327.553263903</v>
          </cell>
          <cell r="Q1164">
            <v>16995369.94934142</v>
          </cell>
          <cell r="R1164">
            <v>0</v>
          </cell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N1166">
            <v>41230861.507453494</v>
          </cell>
          <cell r="O1166">
            <v>28158675.635789454</v>
          </cell>
          <cell r="Q1166">
            <v>-12400025.343748208</v>
          </cell>
          <cell r="R1166">
            <v>0</v>
          </cell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F1189">
            <v>0</v>
          </cell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F1198">
            <v>0.21</v>
          </cell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F1210">
            <v>0</v>
          </cell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Q1265">
            <v>0</v>
          </cell>
          <cell r="R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Q1297">
            <v>0</v>
          </cell>
          <cell r="R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Q1342">
            <v>0</v>
          </cell>
          <cell r="R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Q1389">
            <v>0</v>
          </cell>
          <cell r="R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Q1396">
            <v>0</v>
          </cell>
          <cell r="R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Q1463">
            <v>592388088.58270538</v>
          </cell>
          <cell r="R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D1538" t="str">
            <v>S</v>
          </cell>
          <cell r="F1538">
            <v>0</v>
          </cell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Q1559">
            <v>0</v>
          </cell>
          <cell r="R1559">
            <v>0</v>
          </cell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Q1601">
            <v>2783534.1909942869</v>
          </cell>
          <cell r="R1601">
            <v>0</v>
          </cell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Q1610">
            <v>426139.42939850467</v>
          </cell>
          <cell r="R1610">
            <v>0</v>
          </cell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F1623">
            <v>0</v>
          </cell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C1680" t="str">
            <v>Remove Remaining Capital Leases</v>
          </cell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C1690" t="str">
            <v>Remove Capital Leases</v>
          </cell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F1691" t="str">
            <v xml:space="preserve"> </v>
          </cell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C1697" t="str">
            <v>Remove Capital Leases</v>
          </cell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Q1717">
            <v>31854837.88346969</v>
          </cell>
          <cell r="R1717">
            <v>0</v>
          </cell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Q1752">
            <v>9903723.9716603681</v>
          </cell>
          <cell r="R1752">
            <v>0</v>
          </cell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Q1755">
            <v>634146650.43783545</v>
          </cell>
          <cell r="R1755">
            <v>0</v>
          </cell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N1779">
            <v>0</v>
          </cell>
          <cell r="O1779">
            <v>0</v>
          </cell>
          <cell r="Q1779">
            <v>0</v>
          </cell>
          <cell r="R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C1796" t="str">
            <v>Total Weatherization</v>
          </cell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N1796">
            <v>0</v>
          </cell>
          <cell r="O1796">
            <v>0</v>
          </cell>
          <cell r="Q1796">
            <v>0</v>
          </cell>
          <cell r="R1796">
            <v>0</v>
          </cell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C1820" t="str">
            <v>Total Fuel Stock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C1848" t="str">
            <v>Total Materials &amp; Supplies</v>
          </cell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I2000">
            <v>0.12146695571251656</v>
          </cell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N2039">
            <v>-93331105.459590197</v>
          </cell>
          <cell r="O2039">
            <v>-63740611.505077757</v>
          </cell>
          <cell r="Q2039">
            <v>-61869725.641669735</v>
          </cell>
          <cell r="R2039">
            <v>0</v>
          </cell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Q2048">
            <v>0</v>
          </cell>
          <cell r="R2048">
            <v>0</v>
          </cell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Q2080">
            <v>0</v>
          </cell>
          <cell r="R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Q2154">
            <v>0</v>
          </cell>
          <cell r="R2154">
            <v>0</v>
          </cell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C2183" t="str">
            <v>Remove Capital Leases</v>
          </cell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Q2195">
            <v>-14550707.244112609</v>
          </cell>
          <cell r="R2195">
            <v>0</v>
          </cell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Q2198">
            <v>-168609032.0894928</v>
          </cell>
          <cell r="R2198">
            <v>0</v>
          </cell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Q2244">
            <v>-649588.76228873781</v>
          </cell>
          <cell r="R2244">
            <v>-216529.58742957929</v>
          </cell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B2246" t="str">
            <v>TOTAL ACCUM PROV FOR AMORTIZATION</v>
          </cell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51"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4038-6261-4C61-9195-52701D9449B3}">
  <sheetPr>
    <pageSetUpPr fitToPage="1"/>
  </sheetPr>
  <dimension ref="A1:Z47"/>
  <sheetViews>
    <sheetView tabSelected="1" view="pageBreakPreview" zoomScale="60" zoomScaleNormal="100" workbookViewId="0"/>
  </sheetViews>
  <sheetFormatPr defaultColWidth="8.5" defaultRowHeight="15" x14ac:dyDescent="0.25"/>
  <cols>
    <col min="1" max="1" width="4.625" style="1" customWidth="1"/>
    <col min="2" max="2" width="8.5" style="1"/>
    <col min="3" max="3" width="2.75" style="1" customWidth="1"/>
    <col min="4" max="4" width="8.875" style="1" bestFit="1" customWidth="1"/>
    <col min="5" max="5" width="2.625" style="1" customWidth="1"/>
    <col min="6" max="6" width="11.75" style="1" customWidth="1"/>
    <col min="7" max="7" width="2.625" style="1" customWidth="1"/>
    <col min="8" max="8" width="10.625" style="1" customWidth="1"/>
    <col min="9" max="9" width="2.875" style="1" customWidth="1"/>
    <col min="10" max="10" width="9.625" style="1" customWidth="1"/>
    <col min="11" max="11" width="4.875" style="1" customWidth="1"/>
    <col min="12" max="12" width="18.25" style="1" customWidth="1"/>
    <col min="13" max="13" width="15.25" style="1" customWidth="1"/>
    <col min="14" max="14" width="11.125" style="1" customWidth="1"/>
    <col min="15" max="15" width="8.25" style="1" customWidth="1"/>
    <col min="16" max="16" width="1.625" style="1" customWidth="1"/>
    <col min="17" max="16384" width="8.5" style="1"/>
  </cols>
  <sheetData>
    <row r="1" spans="1:20" ht="18.75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20" ht="18.75" x14ac:dyDescent="0.3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20" ht="18.75" x14ac:dyDescent="0.3">
      <c r="A3" s="3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20" ht="18.75" x14ac:dyDescent="0.3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</row>
    <row r="6" spans="1:20" ht="18.75" thickBot="1" x14ac:dyDescent="0.3">
      <c r="D6" s="4" t="s">
        <v>4</v>
      </c>
      <c r="E6" s="4"/>
      <c r="F6" s="4"/>
      <c r="G6" s="4"/>
      <c r="H6" s="4"/>
      <c r="I6" s="4"/>
      <c r="J6" s="4"/>
      <c r="K6" s="5"/>
    </row>
    <row r="7" spans="1:20" x14ac:dyDescent="0.25">
      <c r="D7" s="5" t="s">
        <v>3</v>
      </c>
      <c r="E7" s="3"/>
      <c r="F7" s="3" t="s">
        <v>3</v>
      </c>
      <c r="H7" s="4" t="s">
        <v>5</v>
      </c>
      <c r="I7" s="4"/>
      <c r="J7" s="4"/>
      <c r="K7" s="5"/>
      <c r="L7" s="6" t="s">
        <v>6</v>
      </c>
      <c r="M7" s="7"/>
      <c r="N7" s="6" t="s">
        <v>7</v>
      </c>
      <c r="O7" s="7"/>
    </row>
    <row r="8" spans="1:20" ht="18" x14ac:dyDescent="0.25">
      <c r="B8" s="8" t="s">
        <v>8</v>
      </c>
      <c r="D8" s="9" t="s">
        <v>9</v>
      </c>
      <c r="E8" s="10" t="s">
        <v>3</v>
      </c>
      <c r="F8" s="9" t="s">
        <v>10</v>
      </c>
      <c r="G8" s="10" t="s">
        <v>3</v>
      </c>
      <c r="H8" s="8" t="s">
        <v>11</v>
      </c>
      <c r="J8" s="11" t="s">
        <v>12</v>
      </c>
      <c r="K8" s="5"/>
      <c r="L8" s="12" t="s">
        <v>13</v>
      </c>
      <c r="M8" s="13">
        <v>7.75</v>
      </c>
      <c r="N8" s="12"/>
      <c r="O8" s="13">
        <v>7.75</v>
      </c>
      <c r="R8" s="14" t="s">
        <v>14</v>
      </c>
      <c r="S8" s="15"/>
      <c r="T8" s="3"/>
    </row>
    <row r="9" spans="1:20" x14ac:dyDescent="0.25">
      <c r="B9" s="16"/>
      <c r="D9" s="16"/>
      <c r="E9" s="16"/>
      <c r="F9" s="16"/>
      <c r="L9" s="12" t="s">
        <v>15</v>
      </c>
      <c r="M9" s="17">
        <v>7.21</v>
      </c>
      <c r="N9" s="12"/>
      <c r="O9" s="17">
        <v>7.0780000000000003</v>
      </c>
      <c r="P9" s="18"/>
      <c r="Q9" s="19">
        <f>(O9-M9)/M9</f>
        <v>-1.830790568654642E-2</v>
      </c>
      <c r="R9" s="20" t="s">
        <v>16</v>
      </c>
      <c r="S9" s="20" t="s">
        <v>10</v>
      </c>
      <c r="T9" s="20"/>
    </row>
    <row r="10" spans="1:20" ht="15.75" thickBot="1" x14ac:dyDescent="0.3">
      <c r="B10" s="21">
        <v>50</v>
      </c>
      <c r="D10" s="22">
        <f>ROUND($M$8+(($B10*M$9/100))+((B10*$O$14)/100),2)+$O$16</f>
        <v>11.73</v>
      </c>
      <c r="F10" s="22">
        <f>ROUND($O$8+(($B10*O$9/100))+((B10*$O$15)/100),2)+$O$17</f>
        <v>11.67</v>
      </c>
      <c r="H10" s="22">
        <f>F10-D10</f>
        <v>-6.0000000000000497E-2</v>
      </c>
      <c r="J10" s="23">
        <f>H10/D10</f>
        <v>-5.1150895140665382E-3</v>
      </c>
      <c r="K10" s="23"/>
      <c r="L10" s="24" t="s">
        <v>17</v>
      </c>
      <c r="M10" s="25">
        <v>10.132</v>
      </c>
      <c r="N10" s="24"/>
      <c r="O10" s="25">
        <v>10</v>
      </c>
      <c r="Q10" s="19">
        <f>(O10-M10)/M10</f>
        <v>-1.3028030003947855E-2</v>
      </c>
      <c r="R10" s="26">
        <f>D10/B10*100</f>
        <v>23.46</v>
      </c>
      <c r="S10" s="26">
        <f>F10/B10*100</f>
        <v>23.34</v>
      </c>
      <c r="T10" s="26"/>
    </row>
    <row r="11" spans="1:20" x14ac:dyDescent="0.25">
      <c r="B11" s="21">
        <v>100</v>
      </c>
      <c r="D11" s="22">
        <f>ROUND($M$8+(($B11*M$9/100))+((B11*$O$14)/100),2)+$O$16</f>
        <v>14.97</v>
      </c>
      <c r="F11" s="22">
        <f>ROUND($O$8+(($B11*O$9/100))+((B11*$O$15)/100),2)+$O$17</f>
        <v>14.84</v>
      </c>
      <c r="H11" s="22">
        <f>F11-D11</f>
        <v>-0.13000000000000078</v>
      </c>
      <c r="J11" s="23">
        <f t="shared" ref="J11:J33" si="0">H11/D11</f>
        <v>-8.6840347361389972E-3</v>
      </c>
      <c r="K11" s="23"/>
      <c r="L11" s="27"/>
      <c r="M11" s="27" t="s">
        <v>18</v>
      </c>
      <c r="N11" s="27"/>
      <c r="O11" s="26">
        <v>0.29299999999999998</v>
      </c>
      <c r="R11" s="26">
        <f t="shared" ref="R11:R33" si="1">D11/B11*100</f>
        <v>14.97</v>
      </c>
      <c r="S11" s="26">
        <f t="shared" ref="S11:S33" si="2">F11/B11*100</f>
        <v>14.84</v>
      </c>
      <c r="T11" s="26"/>
    </row>
    <row r="12" spans="1:20" x14ac:dyDescent="0.25">
      <c r="B12" s="21">
        <v>150</v>
      </c>
      <c r="D12" s="22">
        <f>ROUND($M$8+(($B12*M$9/100))+((B12*$O$14)/100),2)+$O$16</f>
        <v>18.209999999999997</v>
      </c>
      <c r="F12" s="22">
        <f>ROUND($O$8+(($B12*O$9/100))+((B12*$O$15)/100),2)+$O$17</f>
        <v>18.02</v>
      </c>
      <c r="H12" s="22">
        <f>F12-D12</f>
        <v>-0.18999999999999773</v>
      </c>
      <c r="J12" s="23">
        <f t="shared" si="0"/>
        <v>-1.0433827567270607E-2</v>
      </c>
      <c r="K12" s="23"/>
      <c r="L12" s="27"/>
      <c r="M12" s="27"/>
      <c r="N12" s="27"/>
      <c r="O12" s="26">
        <v>0.29299999999999998</v>
      </c>
      <c r="R12" s="26">
        <f t="shared" si="1"/>
        <v>12.139999999999999</v>
      </c>
      <c r="S12" s="26">
        <f t="shared" si="2"/>
        <v>12.013333333333334</v>
      </c>
      <c r="T12" s="26"/>
    </row>
    <row r="13" spans="1:20" x14ac:dyDescent="0.25">
      <c r="D13" s="22"/>
      <c r="F13" s="22"/>
      <c r="L13" s="27"/>
      <c r="M13" s="27"/>
      <c r="N13" s="27"/>
      <c r="O13" s="28"/>
      <c r="R13" s="29"/>
      <c r="S13" s="29"/>
      <c r="T13" s="26"/>
    </row>
    <row r="14" spans="1:20" x14ac:dyDescent="0.25">
      <c r="B14" s="21">
        <v>200</v>
      </c>
      <c r="D14" s="22">
        <f>ROUND($M$8+(($B14*M$9/100))+((B14*$O$14)/100),2)+$O$16</f>
        <v>21.45</v>
      </c>
      <c r="F14" s="22">
        <f>ROUND($O$8+(($B14*O$9/100))+((B14*$O$15)/100),2)+$O$17</f>
        <v>21.189999999999998</v>
      </c>
      <c r="H14" s="22">
        <f>F14-D14</f>
        <v>-0.26000000000000156</v>
      </c>
      <c r="J14" s="23">
        <f t="shared" si="0"/>
        <v>-1.2121212121212194E-2</v>
      </c>
      <c r="K14" s="23"/>
      <c r="L14" s="27"/>
      <c r="M14" s="27" t="s">
        <v>19</v>
      </c>
      <c r="N14" s="27"/>
      <c r="O14" s="26">
        <v>-0.72799999999999998</v>
      </c>
      <c r="Q14" s="1" t="s">
        <v>3</v>
      </c>
      <c r="R14" s="26">
        <f t="shared" si="1"/>
        <v>10.725</v>
      </c>
      <c r="S14" s="26">
        <f t="shared" si="2"/>
        <v>10.594999999999999</v>
      </c>
      <c r="T14" s="26"/>
    </row>
    <row r="15" spans="1:20" x14ac:dyDescent="0.25">
      <c r="B15" s="21">
        <v>300</v>
      </c>
      <c r="D15" s="22">
        <f>ROUND($M$8+(($B15*M$9/100))+((B15*$O$14)/100),2)+$O$16</f>
        <v>27.939999999999998</v>
      </c>
      <c r="F15" s="22">
        <f>ROUND($O$8+(($B15*O$9/100))+((B15*$O$15)/100),2)+$O$17</f>
        <v>27.54</v>
      </c>
      <c r="H15" s="22">
        <f>F15-D15</f>
        <v>-0.39999999999999858</v>
      </c>
      <c r="J15" s="23">
        <f t="shared" si="0"/>
        <v>-1.4316392269148125E-2</v>
      </c>
      <c r="K15" s="23"/>
      <c r="L15" s="27"/>
      <c r="M15" s="1" t="s">
        <v>3</v>
      </c>
      <c r="N15" s="1" t="s">
        <v>3</v>
      </c>
      <c r="O15" s="26">
        <f>O14</f>
        <v>-0.72799999999999998</v>
      </c>
      <c r="R15" s="26">
        <f t="shared" si="1"/>
        <v>9.3133333333333326</v>
      </c>
      <c r="S15" s="26">
        <f t="shared" si="2"/>
        <v>9.18</v>
      </c>
      <c r="T15" s="26"/>
    </row>
    <row r="16" spans="1:20" x14ac:dyDescent="0.25">
      <c r="B16" s="21">
        <v>400</v>
      </c>
      <c r="D16" s="22">
        <f>ROUND($M$8+(($B16*M$9/100))+((B16*$O$14)/100),2)+$O$16</f>
        <v>34.42</v>
      </c>
      <c r="F16" s="22">
        <f>ROUND($O$8+(($B16*O$9/100))+((B16*$O$15)/100),2)+$O$17</f>
        <v>33.89</v>
      </c>
      <c r="H16" s="22">
        <f>F16-D16</f>
        <v>-0.53000000000000114</v>
      </c>
      <c r="J16" s="23">
        <f t="shared" si="0"/>
        <v>-1.539802440441607E-2</v>
      </c>
      <c r="K16" s="23"/>
      <c r="M16" s="1" t="s">
        <v>20</v>
      </c>
      <c r="O16" s="22">
        <v>0.74</v>
      </c>
      <c r="P16" s="1" t="s">
        <v>3</v>
      </c>
      <c r="R16" s="26">
        <f t="shared" si="1"/>
        <v>8.6050000000000004</v>
      </c>
      <c r="S16" s="26">
        <f t="shared" si="2"/>
        <v>8.4725000000000001</v>
      </c>
      <c r="T16" s="26"/>
    </row>
    <row r="17" spans="2:20" x14ac:dyDescent="0.25">
      <c r="B17" s="21">
        <v>500</v>
      </c>
      <c r="D17" s="22">
        <f>ROUND($M$8+(($B17*M$9/100))+((B17*$O$14)/100),2)+$O$16</f>
        <v>40.9</v>
      </c>
      <c r="F17" s="22">
        <f>ROUND($O$8+(($B17*O$9/100))+((B17*$O$15)/100),2)+$O$17</f>
        <v>40.24</v>
      </c>
      <c r="H17" s="22">
        <f>F17-D17</f>
        <v>-0.65999999999999659</v>
      </c>
      <c r="J17" s="23">
        <f t="shared" si="0"/>
        <v>-1.6136919315403338E-2</v>
      </c>
      <c r="K17" s="23"/>
      <c r="M17" s="1" t="s">
        <v>21</v>
      </c>
      <c r="O17" s="22">
        <f>O16</f>
        <v>0.74</v>
      </c>
      <c r="R17" s="26">
        <f t="shared" si="1"/>
        <v>8.18</v>
      </c>
      <c r="S17" s="26">
        <f t="shared" si="2"/>
        <v>8.0480000000000018</v>
      </c>
      <c r="T17" s="26"/>
    </row>
    <row r="18" spans="2:20" x14ac:dyDescent="0.25">
      <c r="D18" s="22"/>
      <c r="F18" s="22"/>
      <c r="R18" s="29"/>
      <c r="S18" s="29"/>
      <c r="T18" s="26"/>
    </row>
    <row r="19" spans="2:20" x14ac:dyDescent="0.25">
      <c r="B19" s="21">
        <v>600</v>
      </c>
      <c r="D19" s="22">
        <f>ROUND($M$8+(($B19*M$9/100))+((B19*$O$14)/100),2)+$O$16</f>
        <v>47.38</v>
      </c>
      <c r="F19" s="22">
        <f>ROUND($O$8+(($B19*O$9/100))+((B19*$O$15)/100),2)+$O$17</f>
        <v>46.59</v>
      </c>
      <c r="H19" s="22">
        <f>F19-D19</f>
        <v>-0.78999999999999915</v>
      </c>
      <c r="J19" s="23">
        <f t="shared" si="0"/>
        <v>-1.6673701983959458E-2</v>
      </c>
      <c r="K19" s="23"/>
      <c r="M19" s="1" t="s">
        <v>22</v>
      </c>
      <c r="O19" s="30">
        <v>-0.35899999999999999</v>
      </c>
      <c r="R19" s="26">
        <f t="shared" si="1"/>
        <v>7.8966666666666674</v>
      </c>
      <c r="S19" s="26">
        <f t="shared" si="2"/>
        <v>7.7650000000000015</v>
      </c>
      <c r="T19" s="26"/>
    </row>
    <row r="20" spans="2:20" x14ac:dyDescent="0.25">
      <c r="B20" s="21">
        <v>700</v>
      </c>
      <c r="D20" s="22">
        <f>ROUND($M$8+(((600*M$9/100)+(($B20-600)*M$10/100)))+((B20*$O$14)/100),2)+$O$16</f>
        <v>56.79</v>
      </c>
      <c r="F20" s="22">
        <f>ROUND($O$8+(((600*O$9/100)+(($B20-600)*O$10/100)))+((B20*$O$15)/100),2)+$O$17</f>
        <v>55.86</v>
      </c>
      <c r="H20" s="22">
        <f>F20-D20</f>
        <v>-0.92999999999999972</v>
      </c>
      <c r="J20" s="23">
        <f t="shared" si="0"/>
        <v>-1.6376122556788161E-2</v>
      </c>
      <c r="K20" s="23"/>
      <c r="M20" s="1" t="s">
        <v>23</v>
      </c>
      <c r="O20" s="30">
        <v>-0.35899999999999999</v>
      </c>
      <c r="R20" s="26">
        <f t="shared" si="1"/>
        <v>8.112857142857143</v>
      </c>
      <c r="S20" s="26">
        <f t="shared" si="2"/>
        <v>7.9799999999999995</v>
      </c>
      <c r="T20" s="26"/>
    </row>
    <row r="21" spans="2:20" x14ac:dyDescent="0.25">
      <c r="B21" s="21">
        <v>800</v>
      </c>
      <c r="D21" s="22">
        <f>ROUND($M$8+(((600*M$9/100)+(($B21-600)*M$10/100)))+((B21*$O$14)/100),2)+$O$16</f>
        <v>66.19</v>
      </c>
      <c r="F21" s="22">
        <f>ROUND($O$8+(((600*O$9/100)+(($B21-600)*O$10/100)))+((B21*$O$15)/100),2)+$O$17</f>
        <v>65.13</v>
      </c>
      <c r="H21" s="22">
        <f>F21-D21</f>
        <v>-1.0600000000000023</v>
      </c>
      <c r="J21" s="23">
        <f t="shared" si="0"/>
        <v>-1.6014503701465514E-2</v>
      </c>
      <c r="K21" s="23"/>
      <c r="O21" s="23"/>
      <c r="R21" s="26">
        <f t="shared" si="1"/>
        <v>8.2737499999999997</v>
      </c>
      <c r="S21" s="26">
        <f t="shared" si="2"/>
        <v>8.1412499999999994</v>
      </c>
      <c r="T21" s="26"/>
    </row>
    <row r="22" spans="2:20" x14ac:dyDescent="0.25">
      <c r="B22" s="21">
        <v>900</v>
      </c>
      <c r="D22" s="22">
        <f>ROUND($M$8+(((600*M$9/100)+(($B22-600)*M$10/100)))+((B22*$O$14)/100),2)+$O$16</f>
        <v>75.589999999999989</v>
      </c>
      <c r="F22" s="22">
        <f>ROUND($O$8+(((600*O$9/100)+(($B22-600)*O$10/100)))+((B22*$O$15)/100),2)+$O$17</f>
        <v>74.41</v>
      </c>
      <c r="H22" s="22">
        <f>F22-D22</f>
        <v>-1.1799999999999926</v>
      </c>
      <c r="J22" s="23">
        <f t="shared" si="0"/>
        <v>-1.561053049345142E-2</v>
      </c>
      <c r="K22" s="23"/>
      <c r="M22" s="31" t="s">
        <v>24</v>
      </c>
      <c r="O22" s="1">
        <v>-0.08</v>
      </c>
      <c r="R22" s="26">
        <f t="shared" si="1"/>
        <v>8.3988888888888873</v>
      </c>
      <c r="S22" s="26">
        <f t="shared" si="2"/>
        <v>8.2677777777777788</v>
      </c>
      <c r="T22" s="26"/>
    </row>
    <row r="23" spans="2:20" x14ac:dyDescent="0.25">
      <c r="B23" s="21">
        <v>1000</v>
      </c>
      <c r="D23" s="22">
        <f>ROUND($M$8+(((600*M$9/100)+(($B23-600)*M$10/100)))+((B23*$O$14)/100),2)+$O$16</f>
        <v>85</v>
      </c>
      <c r="F23" s="22">
        <f>ROUND($O$8+(((600*O$9/100)+(($B23-600)*O$10/100)))+((B23*$O$15)/100),2)+$O$17</f>
        <v>83.679999999999993</v>
      </c>
      <c r="H23" s="22">
        <f>F23-D23</f>
        <v>-1.3200000000000074</v>
      </c>
      <c r="J23" s="23">
        <f t="shared" si="0"/>
        <v>-1.5529411764705969E-2</v>
      </c>
      <c r="K23" s="23"/>
      <c r="R23" s="26">
        <f t="shared" si="1"/>
        <v>8.5</v>
      </c>
      <c r="S23" s="26">
        <f t="shared" si="2"/>
        <v>8.3679999999999986</v>
      </c>
      <c r="T23" s="26"/>
    </row>
    <row r="24" spans="2:20" x14ac:dyDescent="0.25">
      <c r="D24" s="22"/>
      <c r="F24" s="22"/>
      <c r="J24" s="32"/>
      <c r="K24" s="32"/>
      <c r="R24" s="29"/>
      <c r="S24" s="29"/>
      <c r="T24" s="26"/>
    </row>
    <row r="25" spans="2:20" x14ac:dyDescent="0.25">
      <c r="B25" s="21">
        <v>1100</v>
      </c>
      <c r="D25" s="22">
        <f>ROUND($M$8+(((600*M$9/100)+(($B25-600)*M$10/100)))+((B25*$O$14)/100),2)+$O$16</f>
        <v>94.399999999999991</v>
      </c>
      <c r="F25" s="22">
        <f>ROUND($O$8+(((600*O$9/100)+(($B25-600)*O$10/100)))+((B25*$O$15)/100),2)+$O$17</f>
        <v>92.949999999999989</v>
      </c>
      <c r="H25" s="22">
        <f>F25-D25</f>
        <v>-1.4500000000000028</v>
      </c>
      <c r="J25" s="23">
        <f t="shared" si="0"/>
        <v>-1.5360169491525456E-2</v>
      </c>
      <c r="K25" s="23"/>
      <c r="L25" s="1" t="s">
        <v>25</v>
      </c>
      <c r="M25" s="33">
        <v>-1.3665058741082294E-2</v>
      </c>
      <c r="R25" s="26">
        <f t="shared" si="1"/>
        <v>8.5818181818181802</v>
      </c>
      <c r="S25" s="26">
        <f t="shared" si="2"/>
        <v>8.4499999999999993</v>
      </c>
      <c r="T25" s="26"/>
    </row>
    <row r="26" spans="2:20" x14ac:dyDescent="0.25">
      <c r="B26" s="21">
        <v>1200</v>
      </c>
      <c r="C26" s="1" t="s">
        <v>26</v>
      </c>
      <c r="D26" s="22">
        <f>ROUND($M$8+(((600*M$9/100)+(($B26-600)*M$10/100)))+((B26*$O$14)/100),2)+$O$16</f>
        <v>103.80999999999999</v>
      </c>
      <c r="F26" s="22">
        <f>ROUND($O$8+(((600*O$9/100)+(($B26-600)*O$10/100)))+((B26*$O$15)/100),2)+$O$17</f>
        <v>102.22</v>
      </c>
      <c r="H26" s="22">
        <f>F26-D26</f>
        <v>-1.5899999999999892</v>
      </c>
      <c r="J26" s="23">
        <f t="shared" si="0"/>
        <v>-1.5316443502552639E-2</v>
      </c>
      <c r="K26" s="23"/>
      <c r="R26" s="26">
        <f t="shared" si="1"/>
        <v>8.6508333333333329</v>
      </c>
      <c r="S26" s="26">
        <f t="shared" si="2"/>
        <v>8.5183333333333326</v>
      </c>
      <c r="T26" s="26"/>
    </row>
    <row r="27" spans="2:20" x14ac:dyDescent="0.25">
      <c r="B27" s="21">
        <v>1300</v>
      </c>
      <c r="C27" s="1" t="s">
        <v>3</v>
      </c>
      <c r="D27" s="22">
        <f>ROUND($M$8+(((600*M$9/100)+(($B27-600)*M$10/100)))+((B27*$O$14)/100),2)+$O$16</f>
        <v>113.21</v>
      </c>
      <c r="F27" s="22">
        <f>ROUND($O$8+(((600*O$9/100)+(($B27-600)*O$10/100)))+((B27*$O$15)/100),2)+$O$17</f>
        <v>111.49</v>
      </c>
      <c r="H27" s="22">
        <f>F27-D27</f>
        <v>-1.7199999999999989</v>
      </c>
      <c r="J27" s="23">
        <f t="shared" si="0"/>
        <v>-1.5193004151576707E-2</v>
      </c>
      <c r="K27" s="23"/>
      <c r="L27" s="22"/>
      <c r="R27" s="26">
        <f t="shared" si="1"/>
        <v>8.7084615384615383</v>
      </c>
      <c r="S27" s="26">
        <f t="shared" si="2"/>
        <v>8.5761538461538454</v>
      </c>
      <c r="T27" s="26"/>
    </row>
    <row r="28" spans="2:20" x14ac:dyDescent="0.25">
      <c r="B28" s="21">
        <v>1400</v>
      </c>
      <c r="D28" s="22">
        <f>ROUND($M$8+(((600*M$9/100)+(($B28-600)*M$10/100)))+((B28*$O$14)/100),2)+$O$16</f>
        <v>122.61</v>
      </c>
      <c r="F28" s="22">
        <f>ROUND($O$8+(((600*O$9/100)+(($B28-600)*O$10/100)))+((B28*$O$15)/100),2)+$O$17</f>
        <v>120.77</v>
      </c>
      <c r="H28" s="22">
        <f>F28-D28</f>
        <v>-1.8400000000000034</v>
      </c>
      <c r="J28" s="23">
        <f t="shared" si="0"/>
        <v>-1.5006932550362968E-2</v>
      </c>
      <c r="K28" s="23"/>
      <c r="R28" s="26">
        <f t="shared" si="1"/>
        <v>8.7578571428571426</v>
      </c>
      <c r="S28" s="26">
        <f t="shared" si="2"/>
        <v>8.6264285714285709</v>
      </c>
      <c r="T28" s="26"/>
    </row>
    <row r="29" spans="2:20" x14ac:dyDescent="0.25">
      <c r="B29" s="21">
        <v>1500</v>
      </c>
      <c r="D29" s="22">
        <f>ROUND($M$8+(((600*M$9/100)+(($B29-600)*M$10/100)))+((B29*$O$14)/100),2)+$O$16</f>
        <v>132.02000000000001</v>
      </c>
      <c r="F29" s="22">
        <f>ROUND($O$8+(((600*O$9/100)+(($B29-600)*O$10/100)))+((B29*$O$15)/100),2)+$O$17</f>
        <v>130.04000000000002</v>
      </c>
      <c r="H29" s="22">
        <f>F29-D29</f>
        <v>-1.9799999999999898</v>
      </c>
      <c r="J29" s="23">
        <f t="shared" si="0"/>
        <v>-1.4997727617027645E-2</v>
      </c>
      <c r="K29" s="23"/>
      <c r="R29" s="26">
        <f t="shared" si="1"/>
        <v>8.8013333333333339</v>
      </c>
      <c r="S29" s="26">
        <f t="shared" si="2"/>
        <v>8.6693333333333342</v>
      </c>
      <c r="T29" s="26"/>
    </row>
    <row r="30" spans="2:20" x14ac:dyDescent="0.25">
      <c r="D30" s="22"/>
      <c r="F30" s="22"/>
      <c r="R30" s="29"/>
      <c r="S30" s="29"/>
      <c r="T30" s="26"/>
    </row>
    <row r="31" spans="2:20" x14ac:dyDescent="0.25">
      <c r="B31" s="21">
        <v>1600</v>
      </c>
      <c r="D31" s="22">
        <f>ROUND($M$8+(((600*M$9/100)+(($B31-600)*M$10/100)))+((B31*$O$14)/100),2)+$O$16</f>
        <v>141.42000000000002</v>
      </c>
      <c r="F31" s="22">
        <f>ROUND($O$8+(((600*O$9/100)+(($B31-600)*O$10/100)))+((B31*$O$15)/100),2)+$O$17</f>
        <v>139.31</v>
      </c>
      <c r="H31" s="22">
        <f>F31-D31</f>
        <v>-2.1100000000000136</v>
      </c>
      <c r="J31" s="23">
        <f t="shared" si="0"/>
        <v>-1.4920096167444587E-2</v>
      </c>
      <c r="K31" s="23"/>
      <c r="R31" s="26">
        <f t="shared" si="1"/>
        <v>8.838750000000001</v>
      </c>
      <c r="S31" s="26">
        <f t="shared" si="2"/>
        <v>8.7068750000000001</v>
      </c>
      <c r="T31" s="26"/>
    </row>
    <row r="32" spans="2:20" x14ac:dyDescent="0.25">
      <c r="B32" s="21">
        <v>2000</v>
      </c>
      <c r="D32" s="22">
        <f>ROUND($M$8+(((600*M$9/100)+(($B32-600)*M$10/100)))+((B32*$O$14)/100),2)+$O$16</f>
        <v>179.04000000000002</v>
      </c>
      <c r="F32" s="22">
        <f>ROUND($O$8+(((600*O$9/100)+(($B32-600)*O$10/100)))+((B32*$O$15)/100),2)+$O$17</f>
        <v>176.4</v>
      </c>
      <c r="H32" s="22">
        <f>F32-D32</f>
        <v>-2.6400000000000148</v>
      </c>
      <c r="J32" s="23">
        <f t="shared" si="0"/>
        <v>-1.4745308310992038E-2</v>
      </c>
      <c r="K32" s="23"/>
      <c r="R32" s="26">
        <f t="shared" si="1"/>
        <v>8.9520000000000017</v>
      </c>
      <c r="S32" s="26">
        <f t="shared" si="2"/>
        <v>8.82</v>
      </c>
      <c r="T32" s="26"/>
    </row>
    <row r="33" spans="2:26" x14ac:dyDescent="0.25">
      <c r="B33" s="21">
        <v>2600</v>
      </c>
      <c r="D33" s="22">
        <f>ROUND($M$8+(((600*M$9/100)+(($B33-600)*M$10/100)))+((B33*$O$14)/100),2)+$O$16</f>
        <v>235.46</v>
      </c>
      <c r="F33" s="22">
        <f>ROUND($O$8+(((600*O$9/100)+(($B33-600)*O$10/100)))+((B33*$O$15)/100),2)+$O$17</f>
        <v>232.03</v>
      </c>
      <c r="H33" s="22">
        <f>F33-D33</f>
        <v>-3.4300000000000068</v>
      </c>
      <c r="J33" s="23">
        <f t="shared" si="0"/>
        <v>-1.456723010277757E-2</v>
      </c>
      <c r="K33" s="23"/>
      <c r="R33" s="26">
        <f t="shared" si="1"/>
        <v>9.0561538461538476</v>
      </c>
      <c r="S33" s="26">
        <f t="shared" si="2"/>
        <v>8.9242307692307694</v>
      </c>
      <c r="T33" s="26"/>
    </row>
    <row r="34" spans="2:26" x14ac:dyDescent="0.25">
      <c r="B34" s="34"/>
      <c r="C34" s="35"/>
      <c r="D34" s="36"/>
      <c r="E34" s="35"/>
      <c r="F34" s="36"/>
      <c r="G34" s="35"/>
      <c r="H34" s="35"/>
      <c r="I34" s="35"/>
      <c r="J34" s="37"/>
      <c r="K34" s="37"/>
      <c r="S34" s="22"/>
    </row>
    <row r="35" spans="2:26" x14ac:dyDescent="0.25">
      <c r="B35" s="38"/>
      <c r="N35" s="1" t="s">
        <v>3</v>
      </c>
    </row>
    <row r="36" spans="2:26" x14ac:dyDescent="0.25">
      <c r="B36" s="1" t="s">
        <v>27</v>
      </c>
      <c r="Z36" s="1" t="s">
        <v>3</v>
      </c>
    </row>
    <row r="37" spans="2:26" x14ac:dyDescent="0.25">
      <c r="B37" s="1" t="s">
        <v>28</v>
      </c>
    </row>
    <row r="38" spans="2:26" ht="16.5" x14ac:dyDescent="0.25">
      <c r="B38" s="39" t="s">
        <v>29</v>
      </c>
    </row>
    <row r="39" spans="2:26" x14ac:dyDescent="0.25">
      <c r="B39" s="39" t="s">
        <v>3</v>
      </c>
    </row>
    <row r="47" spans="2:26" x14ac:dyDescent="0.25">
      <c r="O47" s="31"/>
    </row>
  </sheetData>
  <mergeCells count="2">
    <mergeCell ref="D6:J6"/>
    <mergeCell ref="H7:J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F11A-1627-44E4-8419-3878EE5E1603}">
  <sheetPr>
    <pageSetUpPr fitToPage="1"/>
  </sheetPr>
  <dimension ref="A1:AA37"/>
  <sheetViews>
    <sheetView view="pageBreakPreview" zoomScale="60" zoomScaleNormal="100" workbookViewId="0"/>
  </sheetViews>
  <sheetFormatPr defaultColWidth="8.5" defaultRowHeight="15" x14ac:dyDescent="0.25"/>
  <cols>
    <col min="1" max="1" width="1.5" style="1" customWidth="1"/>
    <col min="2" max="2" width="9.75" style="1" customWidth="1"/>
    <col min="3" max="3" width="2.875" style="1" customWidth="1"/>
    <col min="4" max="4" width="0.625" style="1" customWidth="1"/>
    <col min="5" max="5" width="8.875" style="1" bestFit="1" customWidth="1"/>
    <col min="6" max="6" width="0.875" style="1" customWidth="1"/>
    <col min="7" max="7" width="11" style="1" bestFit="1" customWidth="1"/>
    <col min="8" max="8" width="1.75" style="1" customWidth="1"/>
    <col min="9" max="9" width="11" style="1" bestFit="1" customWidth="1"/>
    <col min="10" max="10" width="2.375" style="1" customWidth="1"/>
    <col min="11" max="11" width="11" style="1" bestFit="1" customWidth="1"/>
    <col min="12" max="12" width="2" style="1" customWidth="1"/>
    <col min="13" max="13" width="11" style="1" bestFit="1" customWidth="1"/>
    <col min="14" max="14" width="2.875" style="1" customWidth="1"/>
    <col min="15" max="15" width="11" style="1" bestFit="1" customWidth="1"/>
    <col min="16" max="16" width="2" style="1" customWidth="1"/>
    <col min="17" max="17" width="11" style="1" bestFit="1" customWidth="1"/>
    <col min="18" max="19" width="2.75" style="1" customWidth="1"/>
    <col min="20" max="20" width="12.5" style="1" customWidth="1"/>
    <col min="21" max="21" width="13.5" style="1" customWidth="1"/>
    <col min="22" max="22" width="10.875" style="1" customWidth="1"/>
    <col min="23" max="23" width="16.25" style="1" customWidth="1"/>
    <col min="24" max="24" width="12.75" style="1" bestFit="1" customWidth="1"/>
    <col min="25" max="25" width="8.5" style="1" customWidth="1"/>
    <col min="26" max="26" width="2.625" style="41" customWidth="1"/>
    <col min="27" max="16384" width="8.5" style="1"/>
  </cols>
  <sheetData>
    <row r="1" spans="1:27" x14ac:dyDescent="0.25">
      <c r="A1" s="40"/>
      <c r="B1" s="40"/>
    </row>
    <row r="2" spans="1:27" x14ac:dyDescent="0.25">
      <c r="A2" s="40"/>
      <c r="B2" s="40"/>
    </row>
    <row r="3" spans="1:27" ht="18.75" x14ac:dyDescent="0.3">
      <c r="A3" s="40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" t="s">
        <v>3</v>
      </c>
      <c r="Q3" s="44"/>
      <c r="S3" s="44"/>
    </row>
    <row r="4" spans="1:27" ht="20.25" x14ac:dyDescent="0.3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7" ht="20.25" x14ac:dyDescent="0.3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27" ht="20.25" x14ac:dyDescent="0.3">
      <c r="B6" s="45" t="s">
        <v>30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7" ht="20.25" x14ac:dyDescent="0.3">
      <c r="B7" s="45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7" ht="18.75" x14ac:dyDescent="0.3">
      <c r="B8" s="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7" x14ac:dyDescent="0.25">
      <c r="B9" s="40"/>
    </row>
    <row r="10" spans="1:27" ht="15.75" x14ac:dyDescent="0.25">
      <c r="B10" s="47" t="s">
        <v>31</v>
      </c>
      <c r="C10" s="48"/>
      <c r="D10" s="48"/>
      <c r="E10" s="48"/>
      <c r="F10" s="48"/>
      <c r="G10" s="49" t="s">
        <v>32</v>
      </c>
      <c r="H10" s="49"/>
      <c r="I10" s="49"/>
      <c r="J10" s="49"/>
      <c r="K10" s="49"/>
      <c r="L10" s="49"/>
      <c r="M10" s="49"/>
      <c r="N10" s="48"/>
      <c r="O10" s="50" t="s">
        <v>33</v>
      </c>
      <c r="P10" s="50"/>
      <c r="Q10" s="50"/>
      <c r="R10" s="48"/>
      <c r="S10" s="50"/>
    </row>
    <row r="11" spans="1:27" ht="16.5" thickBot="1" x14ac:dyDescent="0.3">
      <c r="B11" s="47" t="s">
        <v>34</v>
      </c>
      <c r="C11" s="50"/>
      <c r="D11" s="51" t="s">
        <v>35</v>
      </c>
      <c r="E11" s="48"/>
      <c r="F11" s="48"/>
      <c r="G11" s="52" t="s">
        <v>36</v>
      </c>
      <c r="H11" s="52"/>
      <c r="I11" s="52"/>
      <c r="J11" s="48"/>
      <c r="K11" s="52" t="s">
        <v>37</v>
      </c>
      <c r="L11" s="52"/>
      <c r="M11" s="52"/>
      <c r="N11" s="48"/>
      <c r="O11" s="52" t="s">
        <v>38</v>
      </c>
      <c r="P11" s="52"/>
      <c r="Q11" s="52"/>
      <c r="R11" s="48"/>
      <c r="S11" s="50"/>
    </row>
    <row r="12" spans="1:27" ht="15.75" x14ac:dyDescent="0.25">
      <c r="B12" s="53" t="s">
        <v>39</v>
      </c>
      <c r="C12" s="54"/>
      <c r="D12" s="55" t="s">
        <v>40</v>
      </c>
      <c r="E12" s="53" t="s">
        <v>8</v>
      </c>
      <c r="F12" s="48"/>
      <c r="G12" s="56" t="s">
        <v>41</v>
      </c>
      <c r="H12" s="48"/>
      <c r="I12" s="56" t="s">
        <v>42</v>
      </c>
      <c r="J12" s="48"/>
      <c r="K12" s="56" t="s">
        <v>41</v>
      </c>
      <c r="L12" s="48"/>
      <c r="M12" s="56" t="s">
        <v>42</v>
      </c>
      <c r="N12" s="48"/>
      <c r="O12" s="56" t="s">
        <v>41</v>
      </c>
      <c r="P12" s="48"/>
      <c r="Q12" s="56" t="s">
        <v>42</v>
      </c>
      <c r="R12" s="48"/>
      <c r="S12" s="47"/>
      <c r="T12" s="57"/>
      <c r="U12" s="58" t="s">
        <v>6</v>
      </c>
      <c r="V12" s="59"/>
      <c r="W12" s="58"/>
      <c r="X12" s="58" t="s">
        <v>7</v>
      </c>
      <c r="Y12" s="59"/>
    </row>
    <row r="13" spans="1:27" ht="15.75" x14ac:dyDescent="0.25">
      <c r="B13" s="48"/>
      <c r="C13" s="48"/>
      <c r="D13" s="48"/>
      <c r="E13" s="48"/>
      <c r="F13" s="48"/>
      <c r="G13" s="54"/>
      <c r="H13" s="54"/>
      <c r="I13" s="54"/>
      <c r="J13" s="54"/>
      <c r="K13" s="54"/>
      <c r="L13" s="54"/>
      <c r="M13" s="54"/>
      <c r="N13" s="48"/>
      <c r="O13" s="48"/>
      <c r="P13" s="48"/>
      <c r="Q13" s="48"/>
      <c r="R13" s="48"/>
      <c r="S13" s="48"/>
      <c r="T13" s="60" t="s">
        <v>43</v>
      </c>
      <c r="U13" s="1" t="s">
        <v>44</v>
      </c>
      <c r="V13" s="61" t="s">
        <v>45</v>
      </c>
      <c r="X13" s="1" t="s">
        <v>44</v>
      </c>
      <c r="Y13" s="61" t="s">
        <v>45</v>
      </c>
    </row>
    <row r="14" spans="1:27" ht="15.75" x14ac:dyDescent="0.25">
      <c r="B14" s="48">
        <v>15</v>
      </c>
      <c r="C14" s="48"/>
      <c r="D14" s="48">
        <v>100</v>
      </c>
      <c r="E14" s="62">
        <v>5000</v>
      </c>
      <c r="F14" s="63">
        <f>E14/($B$14*730)</f>
        <v>0.45662100456621002</v>
      </c>
      <c r="G14" s="64">
        <f>ROUND($U$15+IF($E14&gt;1000,IF($E14&gt;9000,(1000*U$21/100)+(8000*U$22/100)+(($E14-(9000))*U$23/100),(1000*U$21/100)+(($E14-1000)*U$22/100)),($E14*$U$21)/100)+IF(B$14&gt;T$18,$U$18*($B$14-T$18),0)+IF(B$14&gt;T$20,$U$20*($B$14-T$20),0),2)+X$29</f>
        <v>414.57</v>
      </c>
      <c r="H14" s="64"/>
      <c r="I14" s="64">
        <f>ROUND($V$15+IF($E14&gt;1000,IF($E14&gt;9000,(1000*V$21/100)+(8000*V$22/100)+(($E14-(9000))*V$23/100),(1000*V$21/100)+(($E14-1000)*V$22/100)),($E14*$V$21)/100)+IF(B$14&gt;T$18,$V$18*($B$14-T$18),0)+IF(B$14&gt;T$20,$V$20*($B$14-T$20),0),2)+X$29</f>
        <v>419.41</v>
      </c>
      <c r="J14" s="64"/>
      <c r="K14" s="64">
        <f>ROUND($X$15+IF($E14&gt;1000,IF($E14&gt;9000,(1000*X$21/100)+(8000*X$22/100)+(($E14-9000)*X$23/100),(1000*X$21/100)+(($E14-1000)*X$22/100)),($E14*$X$21)/100)+IF(B$14&gt;W$18,$X$18*($B$14-W$18),0)+IF(B$14&gt;W$20,$X$20*($B$14-W$20),0),2)+X30</f>
        <v>408.92</v>
      </c>
      <c r="L14" s="64"/>
      <c r="M14" s="64">
        <f>ROUND($Y$15+IF($E14&gt;1000,IF($E14&gt;9000,(1000*Y$21/100)+(8000*Y$22/100)+(($E14-9000)*Y$23/100),(1000*Y$21/100)+(($E14-1000)*Y$22/100)),($E14*$Y$21)/100)+IF(B$14&gt;W$18,$Y$18*($B$14-W$18),0)+IF(B$14&gt;W$20,$Y$20*($B$14-W$20),0),2)+X30</f>
        <v>413.76</v>
      </c>
      <c r="N14" s="48"/>
      <c r="O14" s="65">
        <f>ROUND(K14/G14-1,4)</f>
        <v>-1.3599999999999999E-2</v>
      </c>
      <c r="P14" s="48"/>
      <c r="Q14" s="65">
        <f>ROUND(M14/I14-1,4)</f>
        <v>-1.35E-2</v>
      </c>
      <c r="R14" s="48"/>
      <c r="S14" s="65"/>
      <c r="T14" s="60" t="s">
        <v>46</v>
      </c>
      <c r="U14" s="66">
        <v>9.86</v>
      </c>
      <c r="V14" s="13">
        <v>14.7</v>
      </c>
      <c r="W14" s="67"/>
      <c r="X14" s="66">
        <v>9.86</v>
      </c>
      <c r="Y14" s="13">
        <v>14.7</v>
      </c>
      <c r="Z14" s="68"/>
      <c r="AA14" s="22"/>
    </row>
    <row r="15" spans="1:27" ht="15.75" x14ac:dyDescent="0.25">
      <c r="B15" s="48"/>
      <c r="C15" s="48"/>
      <c r="D15" s="48">
        <v>200</v>
      </c>
      <c r="E15" s="62">
        <v>7500</v>
      </c>
      <c r="F15" s="63">
        <f>E15/($B$14*730)</f>
        <v>0.68493150684931503</v>
      </c>
      <c r="G15" s="64">
        <f>ROUND($U$15+IF($E15&gt;1000,IF($E15&gt;9000,(1000*U$21/100)+(8000*U$22/100)+(($E15-(9000))*U$23/100),(1000*U$21/100)+(($E15-1000)*U$22/100)),($E15*$U$21)/100)+IF(B$14&gt;T$18,$U$18*($B$14-T$18),0)+IF(B$14&gt;T$20,$U$20*($B$14-T$20),0),2)+X$29</f>
        <v>598.52</v>
      </c>
      <c r="H15" s="64"/>
      <c r="I15" s="64">
        <f>ROUND($V$15+IF($E15&gt;1000,IF($E15&gt;9000,(1000*V$21/100)+(8000*V$22/100)+(($E15-(9000))*V$23/100),(1000*V$21/100)+(($E15-1000)*V$22/100)),($E15*$V$21)/100)+IF(B$14&gt;T$18,$V$18*($B$14-T$18),0)+IF(B$14&gt;T$20,$V$20*($B$14-T$20),0),2)+X$29</f>
        <v>603.3599999999999</v>
      </c>
      <c r="J15" s="64"/>
      <c r="K15" s="64">
        <f>ROUND($X$15+IF($E15&gt;1000,IF($E15&gt;9000,(1000*X$21/100)+(8000*X$22/100)+(($E15-9000)*X$23/100),(1000*X$21/100)+(($E15-1000)*X$22/100)),($E15*$X$21)/100)+IF(B$14&gt;W$18,$X$18*($B$14-W$18),0)+IF(B$14&gt;W$20,$X$20*($B$14-W$20),0),2)+X30</f>
        <v>590.04999999999995</v>
      </c>
      <c r="L15" s="64"/>
      <c r="M15" s="64">
        <f>ROUND($Y$15+IF($E15&gt;1000,IF($E15&gt;9000,(1000*Y$21/100)+(8000*Y$22/100)+(($E15-9000)*Y$23/100),(1000*Y$21/100)+(($E15-1000)*Y$22/100)),($E15*$Y$21)/100)+IF(B$14&gt;W$18,$Y$18*($B$14-W$18),0)+IF(B$14&gt;W$20,$Y$20*($B$14-W$20),0),2)+X30</f>
        <v>594.89</v>
      </c>
      <c r="N15" s="48"/>
      <c r="O15" s="65">
        <f t="shared" ref="O15:O16" si="0">ROUND(K15/G15-1,4)</f>
        <v>-1.4200000000000001E-2</v>
      </c>
      <c r="P15" s="48"/>
      <c r="Q15" s="65">
        <f t="shared" ref="Q15:Q32" si="1">ROUND(M15/I15-1,4)</f>
        <v>-1.4E-2</v>
      </c>
      <c r="R15" s="48"/>
      <c r="S15" s="65"/>
      <c r="T15" s="60" t="s">
        <v>47</v>
      </c>
      <c r="U15" s="66">
        <f>U14</f>
        <v>9.86</v>
      </c>
      <c r="V15" s="13">
        <f>V14</f>
        <v>14.7</v>
      </c>
      <c r="W15" s="67"/>
      <c r="X15" s="66">
        <f>X14</f>
        <v>9.86</v>
      </c>
      <c r="Y15" s="13">
        <f>Y14</f>
        <v>14.7</v>
      </c>
    </row>
    <row r="16" spans="1:27" ht="15.75" x14ac:dyDescent="0.25">
      <c r="B16" s="48"/>
      <c r="C16" s="48"/>
      <c r="D16" s="48">
        <v>300</v>
      </c>
      <c r="E16" s="62">
        <v>10000</v>
      </c>
      <c r="F16" s="63">
        <f>E16/($B$14*730)</f>
        <v>0.91324200913242004</v>
      </c>
      <c r="G16" s="64">
        <f>ROUND($U$15+IF($E16&gt;1000,IF($E16&gt;9000,(1000*U$21/100)+(8000*U$22/100)+(($E16-(9000))*U$23/100),(1000*U$21/100)+(($E16-1000)*U$22/100)),($E16*$U$21)/100)+IF(B$14&gt;T$18,$U$18*($B$14-T$18),0)+IF(B$14&gt;T$20,$U$20*($B$14-T$20),0),2)+X$29</f>
        <v>777.26</v>
      </c>
      <c r="H16" s="64"/>
      <c r="I16" s="64">
        <f>ROUND($V$15+IF($E16&gt;1000,IF($E16&gt;9000,(1000*V$21/100)+(8000*V$22/100)+(($E16-(9000))*V$23/100),(1000*V$21/100)+(($E16-1000)*V$22/100)),($E16*$V$21)/100)+IF(B$14&gt;T$18,$V$18*($B$14-T$18),0)+IF(B$14&gt;T$20,$V$20*($B$14-T$20),0),2)+X$29</f>
        <v>782.09999999999991</v>
      </c>
      <c r="J16" s="64"/>
      <c r="K16" s="64">
        <f>ROUND($X$15+IF($E16&gt;1000,IF($E16&gt;9000,(1000*X$21/100)+(8000*X$22/100)+(($E16-9000)*X$23/100),(1000*X$21/100)+(($E16-1000)*X$22/100)),($E16*$X$21)/100)+IF(B$14&gt;W$18,$X$18*($B$14-W$18),0)+IF(B$14&gt;W$20,$X$20*($B$14-W$20),0),2)+X30</f>
        <v>765.95999999999992</v>
      </c>
      <c r="L16" s="64"/>
      <c r="M16" s="64">
        <f>ROUND($Y$15+IF($E16&gt;1000,IF($E16&gt;9000,(1000*Y$21/100)+(8000*Y$22/100)+(($E16-9000)*Y$23/100),(1000*Y$21/100)+(($E16-1000)*Y$22/100)),($E16*$Y$21)/100)+IF(B$14&gt;W$18,$Y$18*($B$14-W$18),0)+IF(B$14&gt;W$20,$Y$20*($B$14-W$20),0),2)+X30</f>
        <v>770.8</v>
      </c>
      <c r="N16" s="48"/>
      <c r="O16" s="65">
        <f t="shared" si="0"/>
        <v>-1.4500000000000001E-2</v>
      </c>
      <c r="P16" s="48"/>
      <c r="Q16" s="65">
        <f t="shared" si="1"/>
        <v>-1.44E-2</v>
      </c>
      <c r="R16" s="48"/>
      <c r="S16" s="65"/>
      <c r="T16" s="60"/>
      <c r="V16" s="61"/>
      <c r="X16" s="66"/>
      <c r="Y16" s="13"/>
    </row>
    <row r="17" spans="2:27" ht="15.75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60" t="s">
        <v>43</v>
      </c>
      <c r="U17" s="66"/>
      <c r="V17" s="13"/>
      <c r="W17" s="69" t="s">
        <v>43</v>
      </c>
      <c r="X17" s="66"/>
      <c r="Y17" s="13"/>
    </row>
    <row r="18" spans="2:27" ht="15.75" x14ac:dyDescent="0.25">
      <c r="B18" s="48">
        <v>25</v>
      </c>
      <c r="C18" s="48"/>
      <c r="D18" s="48">
        <v>150</v>
      </c>
      <c r="E18" s="62">
        <f>ROUND((B$18*D18),0)</f>
        <v>3750</v>
      </c>
      <c r="F18" s="63">
        <f>E18/($B$18*730)</f>
        <v>0.20547945205479451</v>
      </c>
      <c r="G18" s="64">
        <f>ROUND($U$15+IF($E18&gt;1000,IF($E18&gt;9000,(1000*U$21/100)+(8000*U$22/100)+(($E18-9000)*U$23/100),(1000*U$21/100)+(($E18-1000)*U$22/100)),($E18*$U$21)/100)+IF(B$18&gt;T$18,$U$18*($B$18-T$18),0)+IF(B$18&gt;T$20,$U$20*($B$18-T$20),0),2)+X29</f>
        <v>371.1</v>
      </c>
      <c r="H18" s="64"/>
      <c r="I18" s="64">
        <f>ROUND($V$15+IF($E18&gt;1000,IF($E18&gt;9000,(1000*V$21/100)+(8000*V$22/100)+(($E18-9000)*V$23/100),(1000*V$21/100)+(($E18-1000)*V$22/100)),($E18*$V$21)/100)+IF(B$18&gt;T$18,$V$18*($B$18-T$18),0)+IF(B$18&gt;T$20,$V$20*($B$18-T$20),0),2)+X29</f>
        <v>375.94</v>
      </c>
      <c r="J18" s="64"/>
      <c r="K18" s="64">
        <f>ROUND($X$15+IF($E18&gt;1000,IF($E18&gt;9000,(1000*X$21/100)+(8000*X$22/100)+(($E18-9000)*X$23/100),(1000*X$21/100)+(($E18-1000)*X$22/100)),($E18*$X$21)/100)+IF(B$18&gt;W$18,$X$18*($B$18-W$18),0)+IF(B$18&gt;W$20,$X$20*($B$18-W$20),0),2)+X30</f>
        <v>366.86</v>
      </c>
      <c r="L18" s="64"/>
      <c r="M18" s="64">
        <f>ROUND($Y$15+IF($E18&gt;1000,IF($E18&gt;9000,(1000*Y$21/100)+(8000*Y$22/100)+(($E18-9000)*Y$23/100),(1000*Y$21/100)+(($E18-1000)*Y$22/100)),($E18*$Y$21)/100)+IF(B$18&gt;W$18,$Y$18*($B$18-W$18),0)+IF(B$18&gt;W$20,$Y$20*($B$18-W$20),0),2)+X30</f>
        <v>371.7</v>
      </c>
      <c r="N18" s="48"/>
      <c r="O18" s="65">
        <f t="shared" ref="O18:O20" si="2">ROUND(K18/G18-1,4)</f>
        <v>-1.14E-2</v>
      </c>
      <c r="P18" s="48"/>
      <c r="Q18" s="65">
        <f t="shared" si="1"/>
        <v>-1.1299999999999999E-2</v>
      </c>
      <c r="R18" s="48"/>
      <c r="S18" s="65"/>
      <c r="T18" s="70">
        <v>15</v>
      </c>
      <c r="U18" s="66">
        <v>1.04</v>
      </c>
      <c r="V18" s="13">
        <f>U18</f>
        <v>1.04</v>
      </c>
      <c r="W18" s="71">
        <v>15</v>
      </c>
      <c r="X18" s="66">
        <v>1.04</v>
      </c>
      <c r="Y18" s="13">
        <f>X18</f>
        <v>1.04</v>
      </c>
      <c r="AA18" s="22"/>
    </row>
    <row r="19" spans="2:27" ht="15.75" x14ac:dyDescent="0.25">
      <c r="B19" s="48"/>
      <c r="C19" s="48"/>
      <c r="D19" s="48">
        <v>200</v>
      </c>
      <c r="E19" s="62">
        <f>ROUND((B$18*D19),0)</f>
        <v>5000</v>
      </c>
      <c r="F19" s="63">
        <f>E19/($B$18*730)</f>
        <v>0.27397260273972601</v>
      </c>
      <c r="G19" s="64">
        <f>ROUND($U$15+IF($E19&gt;1000,IF($E19&gt;9000,(1000*U$21/100)+(8000*U$22/100)+(($E19-9000)*U$23/100),(1000*U$21/100)+(($E19-1000)*U$22/100)),($E19*$U$21)/100)+IF(B$18&gt;T$18,$U$18*($B$18-T$18),0)+IF(B$18&gt;T$20,$U$20*($B$18-T$20),0),2)+X29</f>
        <v>463.07</v>
      </c>
      <c r="H19" s="64"/>
      <c r="I19" s="64">
        <f>ROUND($V$15+IF($E19&gt;1000,IF($E19&gt;9000,(1000*V$21/100)+(8000*V$22/100)+(($E19-9000)*V$23/100),(1000*V$21/100)+(($E19-1000)*V$22/100)),($E19*$V$21)/100)+IF(B$18&gt;T$18,$V$18*($B$18-T$18),0)+IF(B$18&gt;T$20,$V$20*($B$18-T$20),0),2)+X29</f>
        <v>467.91</v>
      </c>
      <c r="J19" s="64"/>
      <c r="K19" s="64">
        <f>ROUND($X$15+IF($E19&gt;1000,IF($E19&gt;9000,(1000*X$21/100)+(8000*X$22/100)+(($E19-9000)*X$23/100),(1000*X$21/100)+(($E19-1000)*X$22/100)),($E19*$X$21)/100)+IF(B$18&gt;W$18,$X$18*($B$18-W$18),0)+IF(B$18&gt;W$20,$X$20*($B$18-W$20),0),2)+X30</f>
        <v>457.42</v>
      </c>
      <c r="L19" s="64"/>
      <c r="M19" s="64">
        <f>ROUND($Y$15+IF($E19&gt;1000,IF($E19&gt;9000,(1000*Y$21/100)+(8000*Y$22/100)+(($E19-9000)*Y$23/100),(1000*Y$21/100)+(($E19-1000)*Y$22/100)),($E19*$Y$21)/100)+IF(B$18&gt;W$18,$Y$18*($B$18-W$18),0)+IF(B$18&gt;W$20,$Y$20*($B$18-W$20),0),2)+X30</f>
        <v>462.26</v>
      </c>
      <c r="N19" s="48"/>
      <c r="O19" s="65">
        <f t="shared" si="2"/>
        <v>-1.2200000000000001E-2</v>
      </c>
      <c r="P19" s="48"/>
      <c r="Q19" s="65">
        <f t="shared" si="1"/>
        <v>-1.21E-2</v>
      </c>
      <c r="R19" s="48"/>
      <c r="S19" s="65"/>
      <c r="T19" s="60" t="s">
        <v>39</v>
      </c>
      <c r="V19" s="72"/>
      <c r="W19" s="1" t="s">
        <v>39</v>
      </c>
      <c r="X19" s="66"/>
      <c r="Y19" s="13"/>
    </row>
    <row r="20" spans="2:27" ht="15.75" x14ac:dyDescent="0.25">
      <c r="B20" s="48"/>
      <c r="C20" s="48"/>
      <c r="D20" s="48">
        <v>400</v>
      </c>
      <c r="E20" s="62">
        <f>ROUND((B$18*D20),0)</f>
        <v>10000</v>
      </c>
      <c r="F20" s="63">
        <f>E20/($B$18*730)</f>
        <v>0.54794520547945202</v>
      </c>
      <c r="G20" s="64">
        <f>ROUND($U$15+IF($E20&gt;1000,IF($E20&gt;9000,(1000*U$21/100)+(8000*U$22/100)+(($E20-9000)*U$23/100),(1000*U$21/100)+(($E20-1000)*U$22/100)),($E20*$U$21)/100)+IF(B$18&gt;T$18,$U$18*($B$18-T$18),0)+IF(B$18&gt;T$20,$U$20*($B$18-T$20),0),2)+X29</f>
        <v>825.76</v>
      </c>
      <c r="H20" s="64"/>
      <c r="I20" s="64">
        <f>ROUND($V$15+IF($E20&gt;1000,IF($E20&gt;9000,(1000*V$21/100)+(8000*V$22/100)+(($E20-9000)*V$23/100),(1000*V$21/100)+(($E20-1000)*V$22/100)),($E20*$V$21)/100)+IF(B$18&gt;T$18,$V$18*($B$18-T$18),0)+IF(B$18&gt;T$20,$V$20*($B$18-T$20),0),2)+X29</f>
        <v>830.59999999999991</v>
      </c>
      <c r="J20" s="64"/>
      <c r="K20" s="64">
        <f>ROUND($X$15+IF($E20&gt;1000,IF($E20&gt;9000,(1000*X$21/100)+(8000*X$22/100)+(($E20-9000)*X$23/100),(1000*X$21/100)+(($E20-1000)*X$22/100)),($E20*$X$21)/100)+IF(B$18&gt;W$18,$X$18*($B$18-W$18),0)+IF(B$18&gt;W$20,$X$20*($B$18-W$20),0),2)+X30</f>
        <v>814.45999999999992</v>
      </c>
      <c r="L20" s="64"/>
      <c r="M20" s="64">
        <f>ROUND($Y$15+IF($E20&gt;1000,IF($E20&gt;9000,(1000*Y$21/100)+(8000*Y$22/100)+(($E20-9000)*Y$23/100),(1000*Y$21/100)+(($E20-1000)*Y$22/100)),($E20*$Y$21)/100)+IF(B$18&gt;W$18,$Y$18*($B$18-W$18),0)+IF(B$18&gt;W$20,$Y$20*($B$18-W$20),0),2)+X30</f>
        <v>819.3</v>
      </c>
      <c r="N20" s="48"/>
      <c r="O20" s="65">
        <f t="shared" si="2"/>
        <v>-1.37E-2</v>
      </c>
      <c r="P20" s="48"/>
      <c r="Q20" s="65">
        <f t="shared" si="1"/>
        <v>-1.3599999999999999E-2</v>
      </c>
      <c r="R20" s="48"/>
      <c r="S20" s="65"/>
      <c r="T20" s="70">
        <v>15</v>
      </c>
      <c r="U20" s="66">
        <v>3.81</v>
      </c>
      <c r="V20" s="13">
        <f>U20</f>
        <v>3.81</v>
      </c>
      <c r="W20" s="73">
        <v>15</v>
      </c>
      <c r="X20" s="66">
        <v>3.81</v>
      </c>
      <c r="Y20" s="13">
        <f>X20</f>
        <v>3.81</v>
      </c>
      <c r="AA20" s="22"/>
    </row>
    <row r="21" spans="2:27" ht="15.75" x14ac:dyDescent="0.25">
      <c r="B21" s="48"/>
      <c r="C21" s="48"/>
      <c r="D21" s="48"/>
      <c r="E21" s="48"/>
      <c r="F21" s="63"/>
      <c r="G21" s="64"/>
      <c r="H21" s="64"/>
      <c r="I21" s="64"/>
      <c r="J21" s="64"/>
      <c r="K21" s="64"/>
      <c r="L21" s="64"/>
      <c r="M21" s="64"/>
      <c r="N21" s="48"/>
      <c r="O21" s="65"/>
      <c r="P21" s="48"/>
      <c r="Q21" s="48"/>
      <c r="R21" s="48"/>
      <c r="S21" s="48"/>
      <c r="T21" s="60" t="s">
        <v>48</v>
      </c>
      <c r="U21" s="74">
        <v>10.882999999999999</v>
      </c>
      <c r="V21" s="17">
        <f>U21</f>
        <v>10.882999999999999</v>
      </c>
      <c r="W21" s="1" t="s">
        <v>48</v>
      </c>
      <c r="X21" s="74">
        <v>10.77</v>
      </c>
      <c r="Y21" s="75">
        <f>X21</f>
        <v>10.77</v>
      </c>
      <c r="AA21" s="18"/>
    </row>
    <row r="22" spans="2:27" ht="15.75" x14ac:dyDescent="0.25">
      <c r="B22" s="48">
        <v>50</v>
      </c>
      <c r="C22" s="48"/>
      <c r="D22" s="48">
        <f>D18</f>
        <v>150</v>
      </c>
      <c r="E22" s="62">
        <f>ROUND((B$22*D22),0)</f>
        <v>7500</v>
      </c>
      <c r="F22" s="63">
        <f>E22/($B$22*730)</f>
        <v>0.20547945205479451</v>
      </c>
      <c r="G22" s="64">
        <f>ROUND($U$15+IF($E22&gt;1000,IF($E22&gt;9000,(1000*U$21/100)+(8000*U$22/100)+(($E22-9000)*U$23/100),(1000*U$21/100)+(($E22-1000)*U$22/100)),($E22*$U$21)/100)+IF(B$22&gt;T$18,$U$18*($B$22-T$18),0)+IF(B$22&gt;T$20,$U$20*($B$22-T$20),0),2)+X29</f>
        <v>768.27</v>
      </c>
      <c r="H22" s="64"/>
      <c r="I22" s="64">
        <f>ROUND($V$15+IF($E22&gt;1000,IF($E22&gt;9000,(1000*V$21/100)+(8000*V$22/100)+(($E22-9000)*V$23/100),(1000*V$21/100)+(($E22-1000)*V$22/100)),($E22*$V$21)/100)+IF(B$22&gt;T$18,$V$18*($B$22-T$18),0)+IF(B$22&gt;T$20,$V$20*($B$22-T$20),0),2)+X29</f>
        <v>773.1099999999999</v>
      </c>
      <c r="J22" s="64"/>
      <c r="K22" s="64">
        <f>ROUND($X$15+IF($E22&gt;1000,IF($E22&gt;9000,(1000*X$21/100)+(8000*X$22/100)+(($E22-9000)*X$23/100),(1000*X$21/100)+(($E22-1000)*X$22/100)),($E22*$X$21)/100)+IF(B$22&gt;W$18,$X$18*($B$22-W$18),0)+IF(B$22&gt;W$20,$X$20*($B$22-W$20),0),2)+X30</f>
        <v>759.8</v>
      </c>
      <c r="L22" s="64"/>
      <c r="M22" s="64">
        <f>ROUND($Y$15+IF($E22&gt;1000,IF($E22&gt;9000,(1000*Y$21/100)+(8000*Y$22/100)+(($E22-9000)*Y$23/100),(1000*Y$21/100)+(($E22-1000)*Y$22/100)),($E22*$Y$21)/100)+IF(B$22&gt;W$18,$Y$18*($B$22-W$18),0)+IF(B$22&gt;W$20,$Y$20*($B$22-W$20),0),2)+X30</f>
        <v>764.64</v>
      </c>
      <c r="N22" s="48"/>
      <c r="O22" s="65">
        <f t="shared" ref="O22:O24" si="3">ROUND(K22/G22-1,4)</f>
        <v>-1.0999999999999999E-2</v>
      </c>
      <c r="P22" s="48"/>
      <c r="Q22" s="65">
        <f t="shared" si="1"/>
        <v>-1.0999999999999999E-2</v>
      </c>
      <c r="R22" s="48"/>
      <c r="S22" s="65"/>
      <c r="T22" s="60" t="s">
        <v>49</v>
      </c>
      <c r="U22" s="74">
        <v>7.3579999999999997</v>
      </c>
      <c r="V22" s="17">
        <f>U22</f>
        <v>7.3579999999999997</v>
      </c>
      <c r="W22" s="60" t="s">
        <v>49</v>
      </c>
      <c r="X22" s="74">
        <v>7.2450000000000001</v>
      </c>
      <c r="Y22" s="75">
        <f>X22</f>
        <v>7.2450000000000001</v>
      </c>
      <c r="AA22" s="18"/>
    </row>
    <row r="23" spans="2:27" ht="15.75" x14ac:dyDescent="0.25">
      <c r="B23" s="48"/>
      <c r="C23" s="48"/>
      <c r="D23" s="48">
        <f>D19</f>
        <v>200</v>
      </c>
      <c r="E23" s="62">
        <f>ROUND((B$22*D23),0)</f>
        <v>10000</v>
      </c>
      <c r="F23" s="63">
        <f>E23/($B$22*730)</f>
        <v>0.27397260273972601</v>
      </c>
      <c r="G23" s="64">
        <f>ROUND($U$15+IF($E23&gt;1000,IF($E23&gt;9000,(1000*U$21/100)+(8000*U$22/100)+(($E23-9000)*U$23/100),(1000*U$21/100)+(($E23-1000)*U$22/100)),($E23*$U$21)/100)+IF(B$22&gt;T$18,$U$18*($B$22-T$18),0)+IF(B$22&gt;T$20,$U$20*($B$22-T$20),0),2)+X29</f>
        <v>947.01</v>
      </c>
      <c r="H23" s="64"/>
      <c r="I23" s="64">
        <f>ROUND($V$15+IF($E23&gt;1000,IF($E23&gt;9000,(1000*V$21/100)+(8000*V$22/100)+(($E23-9000)*V$23/100),(1000*V$21/100)+(($E23-1000)*V$22/100)),($E23*$V$21)/100)+IF(B$22&gt;T$18,$V$18*($B$22-T$18),0)+IF(B$22&gt;T$20,$V$20*($B$22-T$20),0),2)+X29</f>
        <v>951.84999999999991</v>
      </c>
      <c r="J23" s="64"/>
      <c r="K23" s="64">
        <f>ROUND($X$15+IF($E23&gt;1000,IF($E23&gt;9000,(1000*X$21/100)+(8000*X$22/100)+(($E23-9000)*X$23/100),(1000*X$21/100)+(($E23-1000)*X$22/100)),($E23*$X$21)/100)+IF(B$22&gt;W$18,$X$18*($B$22-W$18),0)+IF(B$22&gt;W$20,$X$20*($B$22-W$20),0),2)+X30</f>
        <v>935.70999999999992</v>
      </c>
      <c r="L23" s="64"/>
      <c r="M23" s="64">
        <f>ROUND($Y$15+IF($E23&gt;1000,IF($E23&gt;9000,(1000*Y$21/100)+(8000*Y$22/100)+(($E23-9000)*Y$23/100),(1000*Y$21/100)+(($E23-1000)*Y$22/100)),($E23*$Y$21)/100)+IF(B$22&gt;W$18,$Y$18*($B$22-W$18),0)+IF(B$22&gt;W$20,$Y$20*($B$22-W$20),0),2)+X30</f>
        <v>940.55</v>
      </c>
      <c r="N23" s="48"/>
      <c r="O23" s="65">
        <f t="shared" si="3"/>
        <v>-1.1900000000000001E-2</v>
      </c>
      <c r="P23" s="48"/>
      <c r="Q23" s="65">
        <f t="shared" si="1"/>
        <v>-1.1900000000000001E-2</v>
      </c>
      <c r="R23" s="48"/>
      <c r="S23" s="65"/>
      <c r="T23" s="60" t="s">
        <v>50</v>
      </c>
      <c r="U23" s="74">
        <v>6.8369999999999997</v>
      </c>
      <c r="V23" s="17">
        <f>U23</f>
        <v>6.8369999999999997</v>
      </c>
      <c r="W23" s="60" t="s">
        <v>50</v>
      </c>
      <c r="X23" s="74">
        <v>6.7240000000000002</v>
      </c>
      <c r="Y23" s="75">
        <f>X23</f>
        <v>6.7240000000000002</v>
      </c>
      <c r="Z23" s="68"/>
      <c r="AA23" s="22"/>
    </row>
    <row r="24" spans="2:27" ht="16.5" thickBot="1" x14ac:dyDescent="0.3">
      <c r="B24" s="48"/>
      <c r="C24" s="48"/>
      <c r="D24" s="48">
        <f>D20</f>
        <v>400</v>
      </c>
      <c r="E24" s="62">
        <f>ROUND((B$22*D24),0)</f>
        <v>20000</v>
      </c>
      <c r="F24" s="63">
        <f>E24/($B$22*730)</f>
        <v>0.54794520547945202</v>
      </c>
      <c r="G24" s="64">
        <f>ROUND($U$15+IF($E24&gt;1000,IF($E24&gt;9000,(1000*U$21/100)+(8000*U$22/100)+(($E24-9000)*U$23/100),(1000*U$21/100)+(($E24-1000)*U$22/100)),($E24*$U$21)/100)+IF(B$22&gt;T$18,$U$18*($B$22-T$18),0)+IF(B$22&gt;T$20,$U$20*($B$22-T$20),0),2)+X29</f>
        <v>1630.71</v>
      </c>
      <c r="H24" s="64"/>
      <c r="I24" s="64">
        <f>ROUND($V$15+IF($E24&gt;1000,IF($E24&gt;9000,(1000*V$21/100)+(8000*V$22/100)+(($E24-9000)*V$23/100),(1000*V$21/100)+(($E24-1000)*V$22/100)),($E24*$V$21)/100)+IF(B$22&gt;T$18,$V$18*($B$22-T$18),0)+IF(B$22&gt;T$20,$V$20*($B$22-T$20),0),2)+X29</f>
        <v>1635.55</v>
      </c>
      <c r="J24" s="64"/>
      <c r="K24" s="64">
        <f>ROUND($X$15+IF($E24&gt;1000,IF($E24&gt;9000,(1000*X$21/100)+(8000*X$22/100)+(($E24-9000)*X$23/100),(1000*X$21/100)+(($E24-1000)*X$22/100)),($E24*$X$21)/100)+IF(B$22&gt;W$18,$X$18*($B$22-W$18),0)+IF(B$22&gt;W$20,$X$20*($B$22-W$20),0),2)+X30</f>
        <v>1608.11</v>
      </c>
      <c r="L24" s="64"/>
      <c r="M24" s="64">
        <f>ROUND($Y$15+IF($E24&gt;1000,IF($E24&gt;9000,(1000*Y$21/100)+(8000*Y$22/100)+(($E24-9000)*Y$23/100),(1000*Y$21/100)+(($E24-1000)*Y$22/100)),($E24*$Y$21)/100)+IF(B$22&gt;W$18,$Y$18*($B$22-W$18),0)+IF(B$22&gt;W$20,$Y$20*($B$22-W$20),0),2)+X30</f>
        <v>1612.95</v>
      </c>
      <c r="N24" s="48"/>
      <c r="O24" s="65">
        <f t="shared" si="3"/>
        <v>-1.3899999999999999E-2</v>
      </c>
      <c r="P24" s="48"/>
      <c r="Q24" s="65">
        <f t="shared" si="1"/>
        <v>-1.38E-2</v>
      </c>
      <c r="R24" s="48"/>
      <c r="S24" s="65"/>
      <c r="T24" s="24" t="s">
        <v>3</v>
      </c>
      <c r="U24" s="76" t="s">
        <v>3</v>
      </c>
      <c r="V24" s="77" t="s">
        <v>3</v>
      </c>
      <c r="W24" s="24" t="s">
        <v>3</v>
      </c>
      <c r="X24" s="76" t="s">
        <v>3</v>
      </c>
      <c r="Y24" s="77" t="s">
        <v>3</v>
      </c>
    </row>
    <row r="25" spans="2:27" ht="15.75" x14ac:dyDescent="0.25">
      <c r="B25" s="48"/>
      <c r="C25" s="48"/>
      <c r="D25" s="48"/>
      <c r="E25" s="48"/>
      <c r="F25" s="63"/>
      <c r="G25" s="64"/>
      <c r="H25" s="64"/>
      <c r="I25" s="64"/>
      <c r="J25" s="64"/>
      <c r="K25" s="64"/>
      <c r="L25" s="64"/>
      <c r="M25" s="64"/>
      <c r="N25" s="48"/>
      <c r="O25" s="65"/>
      <c r="P25" s="48"/>
      <c r="Q25" s="48"/>
      <c r="R25" s="48"/>
      <c r="S25" s="48"/>
      <c r="V25" s="27" t="s">
        <v>18</v>
      </c>
      <c r="W25" s="27"/>
      <c r="X25" s="26">
        <v>0.28499999999999998</v>
      </c>
      <c r="Y25" s="30" t="s">
        <v>3</v>
      </c>
    </row>
    <row r="26" spans="2:27" ht="15.75" x14ac:dyDescent="0.25">
      <c r="B26" s="48">
        <v>75</v>
      </c>
      <c r="C26" s="48"/>
      <c r="D26" s="48">
        <v>333.33300000000003</v>
      </c>
      <c r="E26" s="62">
        <f>ROUND((B$26*D26),0)</f>
        <v>25000</v>
      </c>
      <c r="F26" s="63">
        <f>E26/($B$26*730)</f>
        <v>0.45662100456621002</v>
      </c>
      <c r="G26" s="64">
        <f>ROUND($U$15+IF($E26&gt;1000,IF($E26&gt;9000,(1000*U$21/100)+(8000*U$22/100)+(($E26-9000)*U$23/100),(1000*U$21/100)+(($E26-1000)*U$22/100)),($E26*$U$21)/100)+IF(B$26&gt;T$18,$U$18*($B$26-T$18),0)+IF(B$26&gt;T$20,$U$20*($B$26-T$20),0),2)+X29</f>
        <v>2093.81</v>
      </c>
      <c r="H26" s="64"/>
      <c r="I26" s="64">
        <f>ROUND($V$15+IF($E26&gt;1000,IF($E26&gt;9000,(1000*V$21/100)+(8000*V$22/100)+(($E26-9000)*V$23/100),(1000*V$21/100)+(($E26-1000)*V$22/100)),($E26*$V$21)/100)+IF(B$26&gt;T$18,$V$18*($B$26-T$18),0)+IF(B$26&gt;T$20,$V$20*($B$26-T$20),0),2)+X29</f>
        <v>2098.65</v>
      </c>
      <c r="J26" s="78"/>
      <c r="K26" s="64">
        <f>ROUND($X$15+IF($E26&gt;1000,IF($E26&gt;9000,(1000*X$21/100)+(8000*X$22/100)+(($E26-9000)*X$23/100),(1000*X$21/100)+(($E26-1000)*X$22/100)),($E26*$X$21)/100)+IF(B$26&gt;W$18,$X$18*($B$26-W$18),0)+IF(B$26&gt;W$20,$X$20*($B$26-W$20),0),2)+X30</f>
        <v>2065.56</v>
      </c>
      <c r="L26" s="64"/>
      <c r="M26" s="64">
        <f>ROUND($Y$15+IF($E26&gt;1000,IF($E26&gt;9000,(1000*Y$21/100)+(8000*Y$22/100)+(($E26-9000)*Y$23/100),(1000*Y$21/100)+(($E26-1000)*Y$22/100)),($E26*$Y$21)/100)+IF(B$26&gt;W$18,$Y$18*($B$26-W$18),0)+IF(B$26&gt;W$20,$Y$20*($B$26-W$20),0),2)+X30</f>
        <v>2070.4</v>
      </c>
      <c r="N26" s="48"/>
      <c r="O26" s="65">
        <f t="shared" ref="O26:O28" si="4">ROUND(K26/G26-1,4)</f>
        <v>-1.35E-2</v>
      </c>
      <c r="P26" s="48"/>
      <c r="Q26" s="65">
        <f t="shared" si="1"/>
        <v>-1.35E-2</v>
      </c>
      <c r="R26" s="48"/>
      <c r="S26" s="65"/>
      <c r="V26" s="27"/>
      <c r="W26" s="27"/>
      <c r="X26" s="26">
        <v>0.28499999999999998</v>
      </c>
      <c r="Y26" s="30" t="s">
        <v>3</v>
      </c>
    </row>
    <row r="27" spans="2:27" ht="15.75" x14ac:dyDescent="0.25">
      <c r="B27" s="48"/>
      <c r="C27" s="48"/>
      <c r="D27" s="48">
        <v>500</v>
      </c>
      <c r="E27" s="62">
        <f>ROUND((B$26*D27),0)</f>
        <v>37500</v>
      </c>
      <c r="F27" s="63">
        <f>E27/($B$26*730)</f>
        <v>0.68493150684931503</v>
      </c>
      <c r="G27" s="64">
        <f>ROUND($U$15+IF($E27&gt;1000,IF($E27&gt;9000,(1000*U$21/100)+(8000*U$22/100)+(($E27-9000)*U$23/100),(1000*U$21/100)+(($E27-1000)*U$22/100)),($E27*$U$21)/100)+IF(B$26&gt;T$18,$U$18*($B$26-T$18),0)+IF(B$26&gt;T$20,$U$20*($B$26-T$20),0),2)+X29</f>
        <v>2948.44</v>
      </c>
      <c r="H27" s="64"/>
      <c r="I27" s="64">
        <f>ROUND($V$15+IF($E27&gt;1000,IF($E27&gt;9000,(1000*V$21/100)+(8000*V$22/100)+(($E27-9000)*V$23/100),(1000*V$21/100)+(($E27-1000)*V$22/100)),($E27*$V$21)/100)+IF(B$26&gt;T$18,$V$18*($B$26-T$18),0)+IF(B$26&gt;T$20,$V$20*($B$26-T$20),0),2)+X29</f>
        <v>2953.2799999999997</v>
      </c>
      <c r="J27" s="78"/>
      <c r="K27" s="64">
        <f>ROUND($X$15+IF($E27&gt;1000,IF($E27&gt;9000,(1000*X$21/100)+(8000*X$22/100)+(($E27-9000)*X$23/100),(1000*X$21/100)+(($E27-1000)*X$22/100)),($E27*$X$21)/100)+IF(B$26&gt;W$18,$X$18*($B$26-W$18),0)+IF(B$26&gt;W$20,$X$20*($B$26-W$20),0),2)+X30</f>
        <v>2906.06</v>
      </c>
      <c r="L27" s="64"/>
      <c r="M27" s="64">
        <f>ROUND($Y$15+IF($E27&gt;1000,IF($E27&gt;9000,(1000*Y$21/100)+(8000*Y$22/100)+(($E27-9000)*Y$23/100),(1000*Y$21/100)+(($E27-1000)*Y$22/100)),($E27*$Y$21)/100)+IF(B$26&gt;W$18,$Y$18*($B$26-W$18),0)+IF(B$26&gt;W$20,$Y$20*($B$26-W$20),0),2)+X30</f>
        <v>2910.9</v>
      </c>
      <c r="N27" s="48"/>
      <c r="O27" s="65">
        <f t="shared" si="4"/>
        <v>-1.44E-2</v>
      </c>
      <c r="P27" s="48"/>
      <c r="Q27" s="65">
        <f t="shared" si="1"/>
        <v>-1.44E-2</v>
      </c>
      <c r="R27" s="48"/>
      <c r="S27" s="65"/>
      <c r="V27" s="27"/>
      <c r="W27" s="27"/>
      <c r="X27" s="28"/>
    </row>
    <row r="28" spans="2:27" ht="15.75" x14ac:dyDescent="0.25">
      <c r="B28" s="48"/>
      <c r="C28" s="48"/>
      <c r="D28" s="48">
        <v>666.66600000000005</v>
      </c>
      <c r="E28" s="62">
        <f>ROUND((B$26*D28),0)</f>
        <v>50000</v>
      </c>
      <c r="F28" s="63">
        <f>E28/($B$26*730)</f>
        <v>0.91324200913242004</v>
      </c>
      <c r="G28" s="64">
        <f>ROUND($U$15+IF($E28&gt;1000,IF($E28&gt;9000,(1000*U$21/100)+(8000*U$22/100)+(($E28-9000)*U$23/100),(1000*U$21/100)+(($E28-1000)*U$22/100)),($E28*$U$21)/100)+IF(B$26&gt;T$18,$U$18*($B$26-T$18),0)+IF(B$26&gt;T$20,$U$20*($B$26-T$20),0),2)+X29</f>
        <v>3803.06</v>
      </c>
      <c r="H28" s="64"/>
      <c r="I28" s="64">
        <f>ROUND($V$15+IF($E28&gt;1000,IF($E28&gt;9000,(1000*V$21/100)+(8000*V$22/100)+(($E28-9000)*V$23/100),(1000*V$21/100)+(($E28-1000)*V$22/100)),($E28*$V$21)/100)+IF(B$26&gt;T$18,$V$18*($B$26-T$18),0)+IF(B$26&gt;T$20,$V$20*($B$26-T$20),0),2)+X29</f>
        <v>3807.9</v>
      </c>
      <c r="J28" s="78"/>
      <c r="K28" s="64">
        <f>ROUND($X$15+IF($E28&gt;1000,IF($E28&gt;9000,(1000*X$21/100)+(8000*X$22/100)+(($E28-9000)*X$23/100),(1000*X$21/100)+(($E28-1000)*X$22/100)),($E28*$X$21)/100)+IF(B$26&gt;W$18,$X$18*($B$26-W$18),0)+IF(B$26&gt;W$20,$X$20*($B$26-W$20),0),2)+X30</f>
        <v>3746.56</v>
      </c>
      <c r="L28" s="64"/>
      <c r="M28" s="64">
        <f>ROUND($Y$15+IF($E28&gt;1000,IF($E28&gt;9000,(1000*Y$21/100)+(8000*Y$22/100)+(($E28-9000)*Y$23/100),(1000*Y$21/100)+(($E28-1000)*Y$22/100)),($E28*$Y$21)/100)+IF(B$26&gt;W$18,$Y$18*($B$26-W$18),0)+IF(B$26&gt;W$20,$Y$20*($B$26-W$20),0),2)+X30</f>
        <v>3751.4</v>
      </c>
      <c r="N28" s="48"/>
      <c r="O28" s="65">
        <f t="shared" si="4"/>
        <v>-1.49E-2</v>
      </c>
      <c r="P28" s="48"/>
      <c r="Q28" s="65">
        <f t="shared" si="1"/>
        <v>-1.4800000000000001E-2</v>
      </c>
      <c r="R28" s="48"/>
      <c r="S28" s="65"/>
      <c r="V28" s="1" t="s">
        <v>3</v>
      </c>
      <c r="X28" s="1" t="s">
        <v>3</v>
      </c>
    </row>
    <row r="29" spans="2:27" ht="15.75" x14ac:dyDescent="0.25">
      <c r="B29" s="48"/>
      <c r="C29" s="48"/>
      <c r="D29" s="48"/>
      <c r="E29" s="48"/>
      <c r="F29" s="7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V29" s="1" t="s">
        <v>20</v>
      </c>
      <c r="X29" s="22">
        <v>1.56</v>
      </c>
      <c r="Y29" s="1" t="s">
        <v>3</v>
      </c>
    </row>
    <row r="30" spans="2:27" ht="15.75" x14ac:dyDescent="0.25">
      <c r="B30" s="48">
        <v>100</v>
      </c>
      <c r="C30" s="48"/>
      <c r="D30" s="48">
        <v>333.33300000000003</v>
      </c>
      <c r="E30" s="62">
        <f>ROUND((B$26*D30),0)</f>
        <v>25000</v>
      </c>
      <c r="F30" s="63">
        <f>E30/($B$30*730)</f>
        <v>0.34246575342465752</v>
      </c>
      <c r="G30" s="64">
        <f>ROUND($U$15+IF($E30&gt;1000,IF($E30&gt;9000,(1000*U$21/100)+(8000*U$22/100)+(($E30-9000)*U$23/100),(1000*U$21/100)+(($E30-1000)*U$22/100)),($E30*$U$21)/100)+IF(B$30&gt;T$18,$U$18*($B$30-T$18),0)+IF(B$30&gt;T$20,$U$20*($B$30-T$20),0),2)+X29</f>
        <v>2215.06</v>
      </c>
      <c r="H30" s="64"/>
      <c r="I30" s="64">
        <f>ROUND($V$15+IF($E30&gt;1000,IF($E30&gt;9000,(1000*V$21/100)+(8000*V$22/100)+(($E30-9000)*V$23/100),(1000*V$21/100)+(($E30-1000)*V$22/100)),($E30*$V$21)/100)+IF(B$30&gt;T$18,$V$18*($B$30-T$18),0)+IF(B$30&gt;T$20,$V$20*($B$30-T$20),0),2)+X29</f>
        <v>2219.9</v>
      </c>
      <c r="J30" s="78"/>
      <c r="K30" s="64">
        <f>ROUND($X$15+IF($E30&gt;1000,IF($E30&gt;9000,(1000*X$21/100)+(8000*X$22/100)+(($E30-9000)*X$23/100),(1000*X$21/100)+(($E30-1000)*X$22/100)),($E30*$X$21)/100)+IF(B$30&gt;W$18,$X$18*($B$30-W$18),0)+IF(B$30&gt;W$20,$X$20*($B$30-W$20),0),2)+X30</f>
        <v>2186.81</v>
      </c>
      <c r="L30" s="64"/>
      <c r="M30" s="64">
        <f>ROUND($Y$15+IF($E30&gt;1000,IF($E30&gt;9000,(1000*Y$21/100)+(8000*Y$22/100)+(($E30-9000)*Y$23/100),(1000*Y$21/100)+(($E30-1000)*Y$22/100)),($E30*$Y$21)/100)+IF(B$30&gt;W$18,$Y$18*($B$30-W$18),0)+IF(B$30&gt;W$20,$Y$20*($B$30-W$20),0),2)+X30</f>
        <v>2191.65</v>
      </c>
      <c r="N30" s="48"/>
      <c r="O30" s="65">
        <f t="shared" ref="O30:O32" si="5">ROUND(K30/G30-1,4)</f>
        <v>-1.2800000000000001E-2</v>
      </c>
      <c r="P30" s="48"/>
      <c r="Q30" s="65">
        <f t="shared" si="1"/>
        <v>-1.2699999999999999E-2</v>
      </c>
      <c r="R30" s="48"/>
      <c r="S30" s="65"/>
      <c r="V30" s="1" t="s">
        <v>51</v>
      </c>
      <c r="W30" s="18"/>
      <c r="X30" s="22">
        <f>X29</f>
        <v>1.56</v>
      </c>
    </row>
    <row r="31" spans="2:27" ht="15.75" x14ac:dyDescent="0.25">
      <c r="B31" s="48"/>
      <c r="C31" s="48"/>
      <c r="D31" s="48">
        <v>500</v>
      </c>
      <c r="E31" s="62">
        <f>ROUND((B$26*D31),0)</f>
        <v>37500</v>
      </c>
      <c r="F31" s="63">
        <f>E31/($B$30*730)</f>
        <v>0.51369863013698636</v>
      </c>
      <c r="G31" s="64">
        <f>ROUND($U$15+IF($E31&gt;1000,IF($E31&gt;9000,(1000*U$21/100)+(8000*U$22/100)+(($E31-9000)*U$23/100),(1000*U$21/100)+(($E31-1000)*U$22/100)),($E31*$U$21)/100)+IF(B$30&gt;T$18,$U$18*($B$30-T$18),0)+IF(B$30&gt;T$20,$U$20*($B$30-T$20),0),2)+X29</f>
        <v>3069.69</v>
      </c>
      <c r="H31" s="64"/>
      <c r="I31" s="64">
        <f>ROUND($V$15+IF($E31&gt;1000,IF($E31&gt;9000,(1000*V$21/100)+(8000*V$22/100)+(($E31-9000)*V$23/100),(1000*V$21/100)+(($E31-1000)*V$22/100)),($E31*$V$21)/100)+IF(B$30&gt;T$18,$V$18*($B$30-T$18),0)+IF(B$30&gt;T$20,$V$20*($B$30-T$20),0),2)+X29</f>
        <v>3074.5299999999997</v>
      </c>
      <c r="J31" s="78"/>
      <c r="K31" s="64">
        <f>ROUND($X$15+IF($E31&gt;1000,IF($E31&gt;9000,(1000*X$21/100)+(8000*X$22/100)+(($E31-9000)*X$23/100),(1000*X$21/100)+(($E31-1000)*X$22/100)),($E31*$X$21)/100)+IF(B$30&gt;W$18,$X$18*($B$30-W$18),0)+IF(B$30&gt;W$20,$X$20*($B$30-W$20),0),2)+X30</f>
        <v>3027.31</v>
      </c>
      <c r="L31" s="64"/>
      <c r="M31" s="64">
        <f>ROUND($Y$15+IF($E31&gt;1000,IF($E31&gt;9000,(1000*Y$21/100)+(8000*Y$22/100)+(($E31-9000)*Y$23/100),(1000*Y$21/100)+(($E31-1000)*Y$22/100)),($E31*$Y$21)/100)+IF(B$30&gt;W$18,$Y$18*($B$30-W$18),0)+IF(B$30&gt;W$20,$Y$20*($B$30-W$20),0),2)+X30</f>
        <v>3032.15</v>
      </c>
      <c r="N31" s="48"/>
      <c r="O31" s="65">
        <f t="shared" si="5"/>
        <v>-1.38E-2</v>
      </c>
      <c r="P31" s="48"/>
      <c r="Q31" s="65">
        <f t="shared" si="1"/>
        <v>-1.38E-2</v>
      </c>
      <c r="R31" s="48"/>
      <c r="S31" s="65"/>
      <c r="V31" s="22"/>
      <c r="W31" s="22"/>
    </row>
    <row r="32" spans="2:27" ht="15.75" x14ac:dyDescent="0.25">
      <c r="B32" s="48"/>
      <c r="C32" s="48"/>
      <c r="D32" s="48">
        <v>666.66600000000005</v>
      </c>
      <c r="E32" s="62">
        <f>ROUND((B$26*D32),0)</f>
        <v>50000</v>
      </c>
      <c r="F32" s="63">
        <f>E32/($B$30*730)</f>
        <v>0.68493150684931503</v>
      </c>
      <c r="G32" s="64">
        <f>ROUND($U$15+IF($E32&gt;1000,IF($E32&gt;9000,(1000*U$21/100)+(8000*U$22/100)+(($E32-9000)*U$23/100),(1000*U$21/100)+(($E32-1000)*U$22/100)),($E32*$U$21)/100)+IF(B$30&gt;T$18,$U$18*($B$30-T$18),0)+IF(B$30&gt;T$20,$U$20*($B$30-T$20),0),2)+X29</f>
        <v>3924.31</v>
      </c>
      <c r="H32" s="64"/>
      <c r="I32" s="64">
        <f>ROUND($V$15+IF($E32&gt;1000,IF($E32&gt;9000,(1000*V$21/100)+(8000*V$22/100)+(($E32-9000)*V$23/100),(1000*V$21/100)+(($E32-1000)*V$22/100)),($E32*$V$21)/100)+IF(B$30&gt;T$18,$V$18*($B$30-T$18),0)+IF(B$30&gt;T$20,$V$20*($B$30-T$20),0),2)+X29</f>
        <v>3929.15</v>
      </c>
      <c r="J32" s="78"/>
      <c r="K32" s="64">
        <f>ROUND($X$15+IF($E32&gt;1000,IF($E32&gt;9000,(1000*X$21/100)+(8000*X$22/100)+(($E32-9000)*X$23/100),(1000*X$21/100)+(($E32-1000)*X$22/100)),($E32*$X$21)/100)+IF(B$30&gt;W$18,$X$18*($B$30-W$18),0)+IF(B$30&gt;W$20,$X$20*($B$30-W$20),0),2)+X30</f>
        <v>3867.81</v>
      </c>
      <c r="L32" s="64"/>
      <c r="M32" s="64">
        <f>ROUND($Y$15+IF($E32&gt;1000,IF($E32&gt;9000,(1000*Y$21/100)+(8000*Y$22/100)+(($E32-9000)*Y$23/100),(1000*Y$21/100)+(($E32-1000)*Y$22/100)),($E32*$Y$21)/100)+IF(B$30&gt;W$18,$Y$18*($B$30-W$18),0)+IF(B$30&gt;W$20,$Y$20*($B$30-W$20),0),2)+X30</f>
        <v>3872.65</v>
      </c>
      <c r="N32" s="48"/>
      <c r="O32" s="65">
        <f t="shared" si="5"/>
        <v>-1.44E-2</v>
      </c>
      <c r="P32" s="48"/>
      <c r="Q32" s="65">
        <f t="shared" si="1"/>
        <v>-1.44E-2</v>
      </c>
      <c r="R32" s="48"/>
      <c r="S32" s="65"/>
      <c r="V32" s="1" t="s">
        <v>22</v>
      </c>
      <c r="X32" s="30">
        <v>-0.30099999999999999</v>
      </c>
    </row>
    <row r="33" spans="2:24" ht="15.75" x14ac:dyDescent="0.25">
      <c r="B33" s="48"/>
      <c r="C33" s="48"/>
      <c r="D33" s="48"/>
      <c r="E33" s="48"/>
      <c r="F33" s="6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V33" s="1" t="s">
        <v>23</v>
      </c>
      <c r="X33" s="30">
        <v>-0.30099999999999999</v>
      </c>
    </row>
    <row r="34" spans="2:24" ht="15.75" x14ac:dyDescent="0.25">
      <c r="B34" s="48" t="s">
        <v>27</v>
      </c>
      <c r="C34" s="48"/>
      <c r="D34" s="48"/>
      <c r="E34" s="48"/>
      <c r="F34" s="63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X34" s="23"/>
    </row>
    <row r="35" spans="2:24" ht="15.75" x14ac:dyDescent="0.25">
      <c r="B35" s="80" t="s">
        <v>52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U35" s="31" t="s">
        <v>3</v>
      </c>
      <c r="V35" s="1" t="s">
        <v>24</v>
      </c>
      <c r="X35" s="1">
        <v>-6.8000000000000005E-2</v>
      </c>
    </row>
    <row r="37" spans="2:24" x14ac:dyDescent="0.25">
      <c r="T37" s="73" t="s">
        <v>53</v>
      </c>
      <c r="U37" s="33">
        <v>-1.1920214789349797E-2</v>
      </c>
    </row>
  </sheetData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A017-2B40-4ED6-B2E0-E5A6BB3BD737}">
  <sheetPr>
    <pageSetUpPr fitToPage="1"/>
  </sheetPr>
  <dimension ref="A1:U50"/>
  <sheetViews>
    <sheetView view="pageBreakPreview" zoomScale="60" zoomScaleNormal="100" workbookViewId="0"/>
  </sheetViews>
  <sheetFormatPr defaultColWidth="8.5" defaultRowHeight="15" x14ac:dyDescent="0.25"/>
  <cols>
    <col min="1" max="1" width="1.625" style="1" customWidth="1"/>
    <col min="2" max="2" width="10.375" style="1" customWidth="1"/>
    <col min="3" max="3" width="2.375" style="1" customWidth="1"/>
    <col min="4" max="4" width="10.875" style="1" hidden="1" customWidth="1"/>
    <col min="5" max="5" width="10.125" style="1" bestFit="1" customWidth="1"/>
    <col min="6" max="6" width="3.5" style="1" customWidth="1"/>
    <col min="7" max="7" width="11.75" style="1" bestFit="1" customWidth="1"/>
    <col min="8" max="8" width="3.625" style="1" customWidth="1"/>
    <col min="9" max="9" width="12.875" style="1" bestFit="1" customWidth="1"/>
    <col min="10" max="10" width="4.5" style="1" customWidth="1"/>
    <col min="11" max="11" width="12.375" style="1" customWidth="1"/>
    <col min="12" max="12" width="3.25" style="1" customWidth="1"/>
    <col min="13" max="13" width="2.375" style="1" customWidth="1"/>
    <col min="14" max="14" width="9.5" style="1" customWidth="1"/>
    <col min="15" max="15" width="10.75" style="1" bestFit="1" customWidth="1"/>
    <col min="16" max="16" width="17.25" style="1" customWidth="1"/>
    <col min="17" max="17" width="9.875" style="1" customWidth="1"/>
    <col min="18" max="18" width="8.5" style="1"/>
    <col min="19" max="19" width="7.75" style="1" customWidth="1"/>
    <col min="20" max="20" width="2.25" style="1" customWidth="1"/>
    <col min="21" max="16384" width="8.5" style="1"/>
  </cols>
  <sheetData>
    <row r="1" spans="1:19" x14ac:dyDescent="0.25">
      <c r="A1" s="40"/>
      <c r="B1" s="40"/>
    </row>
    <row r="2" spans="1:19" x14ac:dyDescent="0.25">
      <c r="A2" s="40"/>
      <c r="B2" s="40"/>
    </row>
    <row r="3" spans="1:19" ht="18.75" x14ac:dyDescent="0.3">
      <c r="A3" s="40"/>
      <c r="B3" s="42"/>
      <c r="C3" s="43"/>
      <c r="D3" s="43"/>
      <c r="E3" s="43"/>
      <c r="F3" s="43"/>
      <c r="G3" s="43"/>
      <c r="H3" s="43"/>
      <c r="I3" s="43"/>
      <c r="J3" s="2" t="s">
        <v>3</v>
      </c>
      <c r="K3" s="2"/>
      <c r="L3" s="2"/>
    </row>
    <row r="4" spans="1:19" ht="20.25" x14ac:dyDescent="0.3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9" ht="20.25" x14ac:dyDescent="0.3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9" ht="20.25" x14ac:dyDescent="0.3">
      <c r="B6" s="45" t="s">
        <v>54</v>
      </c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9" ht="20.25" x14ac:dyDescent="0.3">
      <c r="B7" s="45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9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  <c r="M8" s="3"/>
    </row>
    <row r="9" spans="1:19" x14ac:dyDescent="0.25">
      <c r="B9" s="40"/>
    </row>
    <row r="10" spans="1:19" ht="15.75" x14ac:dyDescent="0.25">
      <c r="B10" s="47" t="s">
        <v>31</v>
      </c>
      <c r="C10" s="48"/>
      <c r="D10" s="48"/>
      <c r="E10" s="48"/>
      <c r="F10" s="48"/>
      <c r="G10" s="49" t="s">
        <v>32</v>
      </c>
      <c r="H10" s="49"/>
      <c r="I10" s="49"/>
      <c r="J10" s="48"/>
      <c r="K10" s="48"/>
      <c r="L10" s="48"/>
    </row>
    <row r="11" spans="1:19" ht="16.5" thickBot="1" x14ac:dyDescent="0.3">
      <c r="B11" s="47" t="s">
        <v>34</v>
      </c>
      <c r="C11" s="50"/>
      <c r="D11" s="47" t="s">
        <v>35</v>
      </c>
      <c r="E11" s="48"/>
      <c r="F11" s="48"/>
      <c r="G11" s="47" t="s">
        <v>55</v>
      </c>
      <c r="H11" s="48"/>
      <c r="I11" s="47" t="s">
        <v>10</v>
      </c>
      <c r="J11" s="48"/>
      <c r="K11" s="47" t="s">
        <v>33</v>
      </c>
      <c r="L11" s="50"/>
      <c r="O11" s="81"/>
    </row>
    <row r="12" spans="1:19" ht="15.75" x14ac:dyDescent="0.25">
      <c r="B12" s="53" t="s">
        <v>39</v>
      </c>
      <c r="C12" s="54"/>
      <c r="D12" s="82" t="s">
        <v>40</v>
      </c>
      <c r="E12" s="53" t="s">
        <v>8</v>
      </c>
      <c r="F12" s="48"/>
      <c r="G12" s="53" t="s">
        <v>56</v>
      </c>
      <c r="H12" s="83"/>
      <c r="I12" s="53" t="s">
        <v>57</v>
      </c>
      <c r="J12" s="48"/>
      <c r="K12" s="53" t="s">
        <v>38</v>
      </c>
      <c r="L12" s="50"/>
      <c r="N12" s="84" t="s">
        <v>6</v>
      </c>
      <c r="P12" s="85"/>
      <c r="Q12" s="86"/>
      <c r="R12" s="85" t="s">
        <v>7</v>
      </c>
      <c r="S12" s="86"/>
    </row>
    <row r="13" spans="1:19" ht="15.75" x14ac:dyDescent="0.25">
      <c r="B13" s="48"/>
      <c r="C13" s="48"/>
      <c r="D13" s="48"/>
      <c r="E13" s="48"/>
      <c r="F13" s="48"/>
      <c r="G13" s="54"/>
      <c r="H13" s="54"/>
      <c r="I13" s="54"/>
      <c r="J13" s="48"/>
      <c r="K13" s="48"/>
      <c r="L13" s="48"/>
      <c r="N13" s="60" t="s">
        <v>43</v>
      </c>
      <c r="O13" s="5" t="s">
        <v>58</v>
      </c>
      <c r="P13" s="5" t="s">
        <v>59</v>
      </c>
      <c r="Q13" s="61"/>
      <c r="R13" s="5" t="s">
        <v>58</v>
      </c>
      <c r="S13" s="87" t="s">
        <v>59</v>
      </c>
    </row>
    <row r="14" spans="1:19" ht="15.75" x14ac:dyDescent="0.25">
      <c r="B14" s="48">
        <v>100</v>
      </c>
      <c r="C14" s="48"/>
      <c r="D14" s="48">
        <v>300</v>
      </c>
      <c r="E14" s="62">
        <v>25000</v>
      </c>
      <c r="F14" s="48"/>
      <c r="G14" s="88">
        <f>ROUND(IF($E14&lt;40001,$E14*$O$19/100,40000*$O$19/100+($E14-40000)*$O$20/100)+MAX(100, $B$14)*$O$18+IF($B$14&lt;101,$O$14,IF($B$14&lt;301,$O$15+$B$14*$P$15,$O$16+$B$14*$P$16)),2)+R26</f>
        <v>2350.39</v>
      </c>
      <c r="H14" s="64"/>
      <c r="I14" s="88">
        <f>ROUND(IF($E14&lt;40001,$E14*$R$19/100,40000*$R$19/100+($E14-40000)*$R$20/100)+MAX(100, $B$14)*$R$18+IF($B$14&lt;101,$R$14,IF($B$14&lt;301,$R$15+$B$14*$S$15,$R$16+$B$14*$S$16)),2)+R27</f>
        <v>2322.89</v>
      </c>
      <c r="J14" s="48"/>
      <c r="K14" s="65">
        <f>ROUND(I14/G14-1,4)</f>
        <v>-1.17E-2</v>
      </c>
      <c r="L14" s="65"/>
      <c r="N14" s="60" t="s">
        <v>60</v>
      </c>
      <c r="O14" s="89">
        <v>248</v>
      </c>
      <c r="P14" s="67"/>
      <c r="Q14" s="61"/>
      <c r="R14" s="89">
        <v>248</v>
      </c>
      <c r="S14" s="72"/>
    </row>
    <row r="15" spans="1:19" ht="15.75" x14ac:dyDescent="0.25">
      <c r="B15" s="48"/>
      <c r="C15" s="48"/>
      <c r="D15" s="48">
        <v>500</v>
      </c>
      <c r="E15" s="62">
        <v>37500</v>
      </c>
      <c r="F15" s="48"/>
      <c r="G15" s="64">
        <f>ROUND(IF($E15&lt;40001,$E15*$O$19/100,40000*$O$19/100+($E15-40000)*$O$20/100)+MAX(100, $B$14)*$O$18+IF($B$14&lt;101,$O$14,IF($B$14&lt;301,$O$15+$B$14*$P$15,$O$16+$B$14*$P$16)),2)+R26</f>
        <v>3067.64</v>
      </c>
      <c r="H15" s="64"/>
      <c r="I15" s="64">
        <f>ROUND(IF($E15&lt;40001,$E15*$R$19/100,40000*$R$19/100+($E15-40000)*$R$20/100)+MAX(100, $B$14)*$R$18+IF($B$14&lt;101,$R$14,IF($B$14&lt;301,$R$15+$B$14*$S$15,$R$16+$B$14*$S$16)),2)+R27</f>
        <v>3026.39</v>
      </c>
      <c r="J15" s="48"/>
      <c r="K15" s="65">
        <f>ROUND(I15/G15-1,4)</f>
        <v>-1.34E-2</v>
      </c>
      <c r="L15" s="65"/>
      <c r="N15" s="60" t="s">
        <v>61</v>
      </c>
      <c r="O15" s="89">
        <v>93</v>
      </c>
      <c r="P15" s="66">
        <v>1.8</v>
      </c>
      <c r="Q15" s="87"/>
      <c r="R15" s="89">
        <v>93</v>
      </c>
      <c r="S15" s="13">
        <v>1.8</v>
      </c>
    </row>
    <row r="16" spans="1:19" ht="15.75" x14ac:dyDescent="0.25">
      <c r="B16" s="48"/>
      <c r="C16" s="48"/>
      <c r="D16" s="48">
        <v>700</v>
      </c>
      <c r="E16" s="62">
        <v>50000</v>
      </c>
      <c r="F16" s="48"/>
      <c r="G16" s="64">
        <f>ROUND(IF($E16&lt;40001,$E16*$O$19/100,40000*$O$19/100+($E16-40000)*$O$20/100)+MAX(100, $B$14)*$O$18+IF($B$14&lt;101,$O$14,IF($B$14&lt;301,$O$15+$B$14*$P$15,$O$16+$B$14*$P$16)),2)+R26</f>
        <v>3734.69</v>
      </c>
      <c r="H16" s="64"/>
      <c r="I16" s="64">
        <f>ROUND(IF($E16&lt;40001,$E16*$R$19/100,40000*$R$19/100+($E16-40000)*$R$20/100)+MAX(100, $B$14)*$R$18+IF($B$14&lt;101,$R$14,IF($B$14&lt;301,$R$15+$B$14*$S$15,$R$16+$B$14*$S$16)),2)+R27</f>
        <v>3679.69</v>
      </c>
      <c r="J16" s="48"/>
      <c r="K16" s="65">
        <f>ROUND(I16/G16-1,4)</f>
        <v>-1.47E-2</v>
      </c>
      <c r="L16" s="65"/>
      <c r="N16" s="60" t="s">
        <v>62</v>
      </c>
      <c r="O16" s="89">
        <v>185</v>
      </c>
      <c r="P16" s="66">
        <v>1.48</v>
      </c>
      <c r="Q16" s="61"/>
      <c r="R16" s="89">
        <v>185</v>
      </c>
      <c r="S16" s="13">
        <v>1.48</v>
      </c>
    </row>
    <row r="17" spans="2:21" ht="15.75" x14ac:dyDescent="0.25">
      <c r="B17" s="48"/>
      <c r="C17" s="48"/>
      <c r="D17" s="48"/>
      <c r="E17" s="48"/>
      <c r="F17" s="48"/>
      <c r="G17" s="64"/>
      <c r="H17" s="64"/>
      <c r="I17" s="64"/>
      <c r="J17" s="48"/>
      <c r="K17" s="65"/>
      <c r="L17" s="65"/>
      <c r="N17" s="60"/>
      <c r="O17" s="67"/>
      <c r="P17" s="67"/>
      <c r="Q17" s="61"/>
      <c r="R17" s="67"/>
      <c r="S17" s="72"/>
    </row>
    <row r="18" spans="2:21" ht="15.75" x14ac:dyDescent="0.25">
      <c r="B18" s="48">
        <v>200</v>
      </c>
      <c r="C18" s="48"/>
      <c r="D18" s="48">
        <v>300</v>
      </c>
      <c r="E18" s="62">
        <f>ROUND((B$18*D18),0)</f>
        <v>60000</v>
      </c>
      <c r="F18" s="48"/>
      <c r="G18" s="64">
        <f>ROUND(IF($E18&lt;40001,$E18*$O$19/100,40000*$O$19/100+($E18-40000)*$O$20/100)+MAX(100, $B$18)*$O$18+IF($B$18&lt;101,$O$14,IF($B$18&lt;301,$O$15+$B$18*$P$15,$O$16+$B$18*$P$16)),2)+R26</f>
        <v>5093.29</v>
      </c>
      <c r="H18" s="64"/>
      <c r="I18" s="64">
        <f>ROUND(IF($E18&lt;40001,$E18*$R$19/100,40000*$R$19/100+($E18-40000)*$R$20/100)+MAX(100, $B$18)*$R$18+IF($B$18&lt;101,$R$14,IF($B$18&lt;301,$R$15+$B$18*$S$15,$R$16+$B$18*$S$16)),2)+R27</f>
        <v>5027.29</v>
      </c>
      <c r="J18" s="48"/>
      <c r="K18" s="65">
        <f>ROUND(I18/G18-1,4)</f>
        <v>-1.2999999999999999E-2</v>
      </c>
      <c r="L18" s="65"/>
      <c r="N18" s="60" t="s">
        <v>39</v>
      </c>
      <c r="O18" s="66">
        <v>6.3</v>
      </c>
      <c r="P18" s="67"/>
      <c r="Q18" s="61"/>
      <c r="R18" s="66">
        <v>6.3</v>
      </c>
      <c r="S18" s="72"/>
      <c r="U18" s="19">
        <f>(R18-O18)/O18</f>
        <v>0</v>
      </c>
    </row>
    <row r="19" spans="2:21" ht="15.75" x14ac:dyDescent="0.25">
      <c r="B19" s="48"/>
      <c r="C19" s="48"/>
      <c r="D19" s="48">
        <v>500</v>
      </c>
      <c r="E19" s="62">
        <f>ROUND((B$18*D19),0)</f>
        <v>100000</v>
      </c>
      <c r="F19" s="48"/>
      <c r="G19" s="64">
        <f>ROUND(IF($E19&lt;40001,$E19*$O$19/100,40000*$O$19/100+($E19-40000)*$O$20/100)+MAX(100, $B$18)*$O$18+IF($B$18&lt;101,$O$14,IF($B$18&lt;301,$O$15+$B$18*$P$15,$O$16+$B$18*$P$16)),2)+R26</f>
        <v>7187.6900000000005</v>
      </c>
      <c r="H19" s="64"/>
      <c r="I19" s="64">
        <f>ROUND(IF($E19&lt;40001,$E19*$R$19/100,40000*$R$19/100+($E19-40000)*$R$20/100)+MAX(100, $B$18)*$R$18+IF($B$18&lt;101,$R$14,IF($B$18&lt;301,$R$15+$B$18*$S$15,$R$16+$B$18*$S$16)),2)+R27</f>
        <v>7077.6900000000005</v>
      </c>
      <c r="J19" s="48"/>
      <c r="K19" s="65">
        <f>ROUND(I19/G19-1,4)</f>
        <v>-1.5299999999999999E-2</v>
      </c>
      <c r="L19" s="65"/>
      <c r="N19" s="60" t="s">
        <v>63</v>
      </c>
      <c r="O19" s="90">
        <v>5.7380000000000004</v>
      </c>
      <c r="P19" s="90"/>
      <c r="Q19" s="91"/>
      <c r="R19" s="90">
        <v>5.6280000000000001</v>
      </c>
      <c r="S19" s="72"/>
      <c r="U19" s="19">
        <f>(R19-O19)/O19</f>
        <v>-1.9170442662948817E-2</v>
      </c>
    </row>
    <row r="20" spans="2:21" ht="15.75" x14ac:dyDescent="0.25">
      <c r="B20" s="48"/>
      <c r="C20" s="48"/>
      <c r="D20" s="48">
        <v>700</v>
      </c>
      <c r="E20" s="62">
        <f>ROUND((B$18*D20),0)</f>
        <v>140000</v>
      </c>
      <c r="F20" s="48"/>
      <c r="G20" s="64">
        <f>ROUND(IF($E20&lt;40001,$E20*$O$19/100,40000*$O$19/100+($E20-40000)*$O$20/100)+MAX(100, $B$18)*$O$18+IF($B$18&lt;101,$O$14,IF($B$18&lt;301,$O$15+$B$18*$P$15,$O$16+$B$18*$P$16)),2)+R26</f>
        <v>9282.09</v>
      </c>
      <c r="H20" s="64"/>
      <c r="I20" s="64">
        <f>ROUND(IF($E20&lt;40001,$E20*$R$19/100,40000*$R$19/100+($E20-40000)*$R$20/100)+MAX(100, $B$18)*$R$18+IF($B$18&lt;101,$R$14,IF($B$18&lt;301,$R$15+$B$18*$S$15,$R$16+$B$18*$S$16)),2)+R27</f>
        <v>9128.09</v>
      </c>
      <c r="J20" s="48"/>
      <c r="K20" s="65">
        <f>ROUND(I20/G20-1,4)</f>
        <v>-1.66E-2</v>
      </c>
      <c r="L20" s="65"/>
      <c r="N20" s="60" t="s">
        <v>64</v>
      </c>
      <c r="O20" s="90">
        <v>5.2360000000000007</v>
      </c>
      <c r="P20" s="90"/>
      <c r="Q20" s="91"/>
      <c r="R20" s="90">
        <v>5.1260000000000003</v>
      </c>
      <c r="S20" s="72"/>
      <c r="U20" s="19">
        <f>(R20-O20)/O20</f>
        <v>-2.1008403361344595E-2</v>
      </c>
    </row>
    <row r="21" spans="2:21" ht="16.5" thickBot="1" x14ac:dyDescent="0.3">
      <c r="B21" s="48"/>
      <c r="C21" s="48"/>
      <c r="D21" s="48"/>
      <c r="E21" s="48"/>
      <c r="F21" s="48"/>
      <c r="G21" s="64"/>
      <c r="H21" s="64"/>
      <c r="I21" s="64"/>
      <c r="J21" s="48"/>
      <c r="K21" s="65"/>
      <c r="L21" s="65"/>
      <c r="N21" s="92" t="s">
        <v>3</v>
      </c>
      <c r="O21" s="93" t="s">
        <v>3</v>
      </c>
      <c r="P21" s="76" t="s">
        <v>3</v>
      </c>
      <c r="Q21" s="77"/>
      <c r="R21" s="93" t="s">
        <v>3</v>
      </c>
      <c r="S21" s="94"/>
    </row>
    <row r="22" spans="2:21" ht="15.75" x14ac:dyDescent="0.25">
      <c r="B22" s="48">
        <v>300</v>
      </c>
      <c r="C22" s="48"/>
      <c r="D22" s="48">
        <v>300</v>
      </c>
      <c r="E22" s="62">
        <f>ROUND((B$22*D22),0)</f>
        <v>90000</v>
      </c>
      <c r="F22" s="48"/>
      <c r="G22" s="64">
        <f>ROUND(IF($E22&lt;40001,$E22*$O$19/100,40000*$O$19/100+($E22-40000)*$O$20/100)+MAX(100, $B$22)*$O$18+IF($B$22&lt;101,$O$14,IF($B$22&lt;301,$O$15+$B$22*$P$15,$O$16+$B$22*$P$16)),2)+R26</f>
        <v>7474.09</v>
      </c>
      <c r="H22" s="64"/>
      <c r="I22" s="64">
        <f>ROUND(IF($E22&lt;40001,$E22*$R$19/100,40000*$R$19/100+($E22-40000)*$R$20/100)+MAX(100, $B$22)*$R$18+IF($B$22&lt;101,$R$14,IF($B$22&lt;301,$R$15+$B$22*$S$15,$R$16+$B$22*$S$16)),2)+R27</f>
        <v>7375.09</v>
      </c>
      <c r="J22" s="48"/>
      <c r="K22" s="65">
        <f>ROUND(I22/G22-1,4)</f>
        <v>-1.32E-2</v>
      </c>
      <c r="L22" s="65"/>
      <c r="P22" s="27" t="s">
        <v>18</v>
      </c>
      <c r="Q22" s="27"/>
      <c r="R22" s="26">
        <v>0.245</v>
      </c>
      <c r="U22" s="1" t="s">
        <v>3</v>
      </c>
    </row>
    <row r="23" spans="2:21" ht="15.75" x14ac:dyDescent="0.25">
      <c r="B23" s="48"/>
      <c r="C23" s="48"/>
      <c r="D23" s="48">
        <v>500</v>
      </c>
      <c r="E23" s="62">
        <f>ROUND((B$22*D23),0)</f>
        <v>150000</v>
      </c>
      <c r="F23" s="48"/>
      <c r="G23" s="64">
        <f>ROUND(IF($E23&lt;40001,$E23*$O$19/100,40000*$O$19/100+($E23-40000)*$O$20/100)+MAX(100, $B$22)*$O$18+IF($B$22&lt;101,$O$14,IF($B$22&lt;301,$O$15+$B$22*$P$15,$O$16+$B$22*$P$16)),2)+R26</f>
        <v>10615.689999999999</v>
      </c>
      <c r="H23" s="64"/>
      <c r="I23" s="64">
        <f>ROUND(IF($E23&lt;40001,$E23*$R$19/100,40000*$R$19/100+($E23-40000)*$R$20/100)+MAX(100, $B$22)*$R$18+IF($B$22&lt;101,$R$14,IF($B$22&lt;301,$R$15+$B$22*$S$15,$R$16+$B$22*$S$16)),2)+R27</f>
        <v>10450.689999999999</v>
      </c>
      <c r="J23" s="48"/>
      <c r="K23" s="65">
        <f>ROUND(I23/G23-1,4)</f>
        <v>-1.55E-2</v>
      </c>
      <c r="L23" s="65"/>
      <c r="P23" s="27"/>
      <c r="Q23" s="27"/>
      <c r="R23" s="26">
        <v>0.245</v>
      </c>
    </row>
    <row r="24" spans="2:21" ht="15.75" x14ac:dyDescent="0.25">
      <c r="B24" s="48"/>
      <c r="C24" s="48"/>
      <c r="D24" s="48">
        <v>700</v>
      </c>
      <c r="E24" s="62">
        <f>ROUND((B$22*D24),0)</f>
        <v>210000</v>
      </c>
      <c r="F24" s="48"/>
      <c r="G24" s="64">
        <f>ROUND(IF($E24&lt;40001,$E24*$O$19/100,40000*$O$19/100+($E24-40000)*$O$20/100)+MAX(100, $B$22)*$O$18+IF($B$22&lt;101,$O$14,IF($B$22&lt;301,$O$15+$B$22*$P$15,$O$16+$B$22*$P$16)),2)+R26</f>
        <v>13757.289999999999</v>
      </c>
      <c r="H24" s="64"/>
      <c r="I24" s="64">
        <f>ROUND(IF($E24&lt;40001,$E24*$R$19/100,40000*$R$19/100+($E24-40000)*$R$20/100)+MAX(100, $B$22)*$R$18+IF($B$22&lt;101,$R$14,IF($B$22&lt;301,$R$15+$B$22*$S$15,$R$16+$B$22*$S$16)),2)+R27</f>
        <v>13526.289999999999</v>
      </c>
      <c r="J24" s="48"/>
      <c r="K24" s="65">
        <f>ROUND(I24/G24-1,4)</f>
        <v>-1.6799999999999999E-2</v>
      </c>
      <c r="L24" s="65"/>
      <c r="P24" s="27"/>
      <c r="Q24" s="27"/>
      <c r="R24" s="28"/>
    </row>
    <row r="25" spans="2:21" ht="15.75" x14ac:dyDescent="0.25">
      <c r="B25" s="48"/>
      <c r="C25" s="48"/>
      <c r="D25" s="48"/>
      <c r="E25" s="48"/>
      <c r="F25" s="48"/>
      <c r="G25" s="64"/>
      <c r="H25" s="64"/>
      <c r="I25" s="64"/>
      <c r="J25" s="48"/>
      <c r="K25" s="65"/>
      <c r="L25" s="65"/>
      <c r="P25" s="1" t="s">
        <v>3</v>
      </c>
      <c r="Q25" s="1" t="s">
        <v>3</v>
      </c>
      <c r="R25" s="1" t="s">
        <v>3</v>
      </c>
    </row>
    <row r="26" spans="2:21" ht="15.75" x14ac:dyDescent="0.25">
      <c r="B26" s="48">
        <v>400</v>
      </c>
      <c r="C26" s="48"/>
      <c r="D26" s="48">
        <v>300</v>
      </c>
      <c r="E26" s="62">
        <f>ROUND((B$26*D26),0)</f>
        <v>120000</v>
      </c>
      <c r="F26" s="48"/>
      <c r="G26" s="64">
        <f>ROUND(IF($E26&lt;40001,$E26*$O$19/100,40000*$O$19/100+($E26-40000)*$O$20/100)+MAX(100, $B$26)*$O$18+IF($B$26&lt;101,$O$14,IF($B$26&lt;301,$O$15+$B$26*$P$15,$O$16+$B$26*$P$16)),2)+R26</f>
        <v>9818.89</v>
      </c>
      <c r="H26" s="64"/>
      <c r="I26" s="64">
        <f>ROUND(IF($E26&lt;40001,$E26*$R$19/100,40000*$R$19/100+($E26-40000)*$R$20/100)+MAX(100, $B$26)*$R$18+IF($B$26&lt;101,$R$14,IF($B$26&lt;301,$R$15+$B$26*$S$15,$R$16+$B$26*$S$16)),2)+R27</f>
        <v>9686.89</v>
      </c>
      <c r="J26" s="48"/>
      <c r="K26" s="65">
        <f>ROUND(I26/G26-1,4)</f>
        <v>-1.34E-2</v>
      </c>
      <c r="L26" s="65"/>
      <c r="P26" s="1" t="s">
        <v>65</v>
      </c>
      <c r="R26" s="68">
        <v>37.89</v>
      </c>
      <c r="S26" s="1" t="s">
        <v>3</v>
      </c>
    </row>
    <row r="27" spans="2:21" ht="15.75" x14ac:dyDescent="0.25">
      <c r="B27" s="48"/>
      <c r="C27" s="48"/>
      <c r="D27" s="48">
        <v>500</v>
      </c>
      <c r="E27" s="62">
        <f>ROUND((B$26*D27),0)</f>
        <v>200000</v>
      </c>
      <c r="F27" s="48"/>
      <c r="G27" s="64">
        <f>ROUND(IF($E27&lt;40001,$E27*$O$19/100,40000*$O$19/100+($E27-40000)*$O$20/100)+MAX(100, $B$26)*$O$18+IF($B$26&lt;101,$O$14,IF($B$26&lt;301,$O$15+$B$26*$P$15,$O$16+$B$26*$P$16)),2)+R26</f>
        <v>14007.689999999999</v>
      </c>
      <c r="H27" s="64"/>
      <c r="I27" s="64">
        <f>ROUND(IF($E27&lt;40001,$E27*$R$19/100,40000*$R$19/100+($E27-40000)*$R$20/100)+MAX(100, $B$26)*$R$18+IF($B$26&lt;101,$R$14,IF($B$26&lt;301,$R$15+$B$26*$S$15,$R$16+$B$26*$S$16)),2)+R27</f>
        <v>13787.689999999999</v>
      </c>
      <c r="J27" s="48"/>
      <c r="K27" s="65">
        <f>ROUND(I27/G27-1,4)</f>
        <v>-1.5699999999999999E-2</v>
      </c>
      <c r="L27" s="65"/>
      <c r="P27" s="1" t="s">
        <v>51</v>
      </c>
      <c r="R27" s="68">
        <f>R26</f>
        <v>37.89</v>
      </c>
    </row>
    <row r="28" spans="2:21" ht="15.75" x14ac:dyDescent="0.25">
      <c r="B28" s="48"/>
      <c r="C28" s="48"/>
      <c r="D28" s="48">
        <v>700</v>
      </c>
      <c r="E28" s="62">
        <f>ROUND((B$26*D28),0)</f>
        <v>280000</v>
      </c>
      <c r="F28" s="48"/>
      <c r="G28" s="64">
        <f>ROUND(IF($E28&lt;40001,$E28*$O$19/100,40000*$O$19/100+($E28-40000)*$O$20/100)+MAX(100, $B$26)*$O$18+IF($B$26&lt;101,$O$14,IF($B$26&lt;301,$O$15+$B$26*$P$15,$O$16+$B$26*$P$16)),2)+R26</f>
        <v>18196.489999999998</v>
      </c>
      <c r="H28" s="64"/>
      <c r="I28" s="64">
        <f>ROUND(IF($E28&lt;40001,$E28*$R$19/100,40000*$R$19/100+($E28-40000)*$R$20/100)+MAX(100, $B$26)*$R$18+IF($B$26&lt;101,$R$14,IF($B$26&lt;301,$R$15+$B$26*$S$15,$R$16+$B$26*$S$16)),2)+R27</f>
        <v>17888.489999999998</v>
      </c>
      <c r="J28" s="48"/>
      <c r="K28" s="65">
        <f>ROUND(I28/G28-1,4)</f>
        <v>-1.6899999999999998E-2</v>
      </c>
      <c r="L28" s="65"/>
    </row>
    <row r="29" spans="2:21" ht="15.75" x14ac:dyDescent="0.25">
      <c r="B29" s="48"/>
      <c r="C29" s="48"/>
      <c r="D29" s="48"/>
      <c r="E29" s="48"/>
      <c r="F29" s="48"/>
      <c r="G29" s="64"/>
      <c r="H29" s="64"/>
      <c r="I29" s="64"/>
      <c r="J29" s="48"/>
      <c r="K29" s="65"/>
      <c r="L29" s="65"/>
      <c r="P29" s="1" t="s">
        <v>22</v>
      </c>
      <c r="R29" s="1">
        <v>-0.255</v>
      </c>
    </row>
    <row r="30" spans="2:21" ht="15.75" x14ac:dyDescent="0.25">
      <c r="B30" s="48">
        <v>600</v>
      </c>
      <c r="C30" s="48"/>
      <c r="D30" s="48">
        <v>300</v>
      </c>
      <c r="E30" s="62">
        <f>ROUND((B$30*D30),0)</f>
        <v>180000</v>
      </c>
      <c r="F30" s="48"/>
      <c r="G30" s="64">
        <f>ROUND(IF($E30&lt;40001,$E30*$O$19/100,40000*$O$19/100+($E30-40000)*$O$20/100)+MAX(100, $B$30)*$O$18+IF($B$30&lt;101,$O$14,IF($B$30&lt;301,$O$15+$B$30*$P$15,$O$16+$B$30*$P$16)),2)+R26</f>
        <v>14516.49</v>
      </c>
      <c r="H30" s="64"/>
      <c r="I30" s="64">
        <f>ROUND(IF($E30&lt;40001,$E30*$R$19/100,40000*$R$19/100+($E30-40000)*$R$20/100)+MAX(100, $B$30)*$R$18+IF($B$30&lt;101,$R$14,IF($B$30&lt;301,$R$15+$B$30*$S$15,$R$16+$B$30*$S$16)),2)+R27</f>
        <v>14318.49</v>
      </c>
      <c r="J30" s="48"/>
      <c r="K30" s="65">
        <f>ROUND(I30/G30-1,4)</f>
        <v>-1.3599999999999999E-2</v>
      </c>
      <c r="L30" s="65"/>
      <c r="P30" s="1" t="s">
        <v>23</v>
      </c>
      <c r="R30" s="1">
        <v>-0.255</v>
      </c>
    </row>
    <row r="31" spans="2:21" ht="15.75" x14ac:dyDescent="0.25">
      <c r="B31" s="48"/>
      <c r="C31" s="48"/>
      <c r="D31" s="48">
        <v>500</v>
      </c>
      <c r="E31" s="62">
        <f>ROUND((B$30*D31),0)</f>
        <v>300000</v>
      </c>
      <c r="F31" s="48"/>
      <c r="G31" s="64">
        <f>ROUND(IF($E31&lt;40001,$E31*$O$19/100,40000*$O$19/100+($E31-40000)*$O$20/100)+MAX(100, $B$30)*$O$18+IF($B$30&lt;101,$O$14,IF($B$30&lt;301,$O$15+$B$30*$P$15,$O$16+$B$30*$P$16)),2)+R26</f>
        <v>20799.689999999999</v>
      </c>
      <c r="H31" s="64"/>
      <c r="I31" s="64">
        <f>ROUND(IF($E31&lt;40001,$E31*$R$19/100,40000*$R$19/100+($E31-40000)*$R$20/100)+MAX(100, $B$30)*$R$18+IF($B$30&lt;101,$R$14,IF($B$30&lt;301,$R$15+$B$30*$S$15,$R$16+$B$30*$S$16)),2)+R27</f>
        <v>20469.689999999999</v>
      </c>
      <c r="J31" s="48"/>
      <c r="K31" s="65">
        <f>ROUND(I31/G31-1,4)</f>
        <v>-1.5900000000000001E-2</v>
      </c>
      <c r="L31" s="65"/>
      <c r="R31" s="23"/>
    </row>
    <row r="32" spans="2:21" ht="15.75" x14ac:dyDescent="0.25">
      <c r="B32" s="48"/>
      <c r="C32" s="48"/>
      <c r="D32" s="48">
        <v>700</v>
      </c>
      <c r="E32" s="62">
        <f>ROUND((B$30*D32),0)</f>
        <v>420000</v>
      </c>
      <c r="F32" s="48"/>
      <c r="G32" s="64">
        <f>ROUND(IF($E32&lt;40001,$E32*$O$19/100,40000*$O$19/100+($E32-40000)*$O$20/100)+MAX(100, $B$30)*$O$18+IF($B$30&lt;101,$O$14,IF($B$30&lt;301,$O$15+$B$30*$P$15,$O$16+$B$30*$P$16)),2)+R26</f>
        <v>27082.89</v>
      </c>
      <c r="H32" s="64"/>
      <c r="I32" s="64">
        <f>ROUND(IF($E32&lt;40001,$E32*$R$19/100,40000*$R$19/100+($E32-40000)*$R$20/100)+MAX(100, $B$30)*$R$18+IF($B$30&lt;101,$R$14,IF($B$30&lt;301,$R$15+$B$30*$S$15,$R$16+$B$30*$S$16)),2)+R27</f>
        <v>26620.89</v>
      </c>
      <c r="J32" s="48"/>
      <c r="K32" s="65">
        <f>ROUND(I32/G32-1,4)</f>
        <v>-1.7100000000000001E-2</v>
      </c>
      <c r="L32" s="65"/>
      <c r="P32" s="1" t="s">
        <v>24</v>
      </c>
      <c r="R32" s="1">
        <v>-6.6000000000000003E-2</v>
      </c>
    </row>
    <row r="33" spans="2:18" ht="15.75" x14ac:dyDescent="0.25">
      <c r="B33" s="48"/>
      <c r="C33" s="48"/>
      <c r="D33" s="48"/>
      <c r="E33" s="48"/>
      <c r="F33" s="48"/>
      <c r="G33" s="64"/>
      <c r="H33" s="64"/>
      <c r="I33" s="64"/>
      <c r="J33" s="48"/>
      <c r="K33" s="65"/>
      <c r="L33" s="65"/>
      <c r="R33" s="1" t="s">
        <v>3</v>
      </c>
    </row>
    <row r="34" spans="2:18" ht="15.75" x14ac:dyDescent="0.25">
      <c r="B34" s="48">
        <v>800</v>
      </c>
      <c r="C34" s="48"/>
      <c r="D34" s="48">
        <v>300</v>
      </c>
      <c r="E34" s="62">
        <f>ROUND((B$34*D34),0)</f>
        <v>240000</v>
      </c>
      <c r="F34" s="48"/>
      <c r="G34" s="64">
        <f>ROUND(IF($E34&lt;40001,$E34*$O$19/100,40000*$O$19/100+($E34-40000)*$O$20/100)+MAX(100, $B$34)*$O$18+IF($B$34&lt;101,$O$14,IF($B$34&lt;301,$O$15+$B$34*$P$15,$O$16+$B$34*$P$16)),2)+R26</f>
        <v>19214.09</v>
      </c>
      <c r="H34" s="64"/>
      <c r="I34" s="64">
        <f>ROUND(IF($E34&lt;40001,$E34*$R$19/100,40000*$R$19/100+($E34-40000)*$R$20/100)+MAX(100, $B$34)*$R$18+IF($B$34&lt;101,$R$14,IF($B$34&lt;301,$R$15+$B$34*$S$15,$R$16+$B$34*$S$16)),2)+R27</f>
        <v>18950.09</v>
      </c>
      <c r="J34" s="48"/>
      <c r="K34" s="65">
        <f>ROUND(I34/G34-1,4)</f>
        <v>-1.37E-2</v>
      </c>
      <c r="L34" s="65"/>
      <c r="N34" s="73" t="s">
        <v>53</v>
      </c>
      <c r="O34" s="95">
        <v>-1.3641957278766752E-2</v>
      </c>
    </row>
    <row r="35" spans="2:18" ht="15.75" x14ac:dyDescent="0.25">
      <c r="B35" s="48"/>
      <c r="C35" s="48"/>
      <c r="D35" s="48">
        <v>500</v>
      </c>
      <c r="E35" s="62">
        <f>ROUND((B$34*D35),0)</f>
        <v>400000</v>
      </c>
      <c r="F35" s="48"/>
      <c r="G35" s="64">
        <f>ROUND(IF($E35&lt;40001,$E35*$O$19/100,40000*$O$19/100+($E35-40000)*$O$20/100)+MAX(100, $B$34)*$O$18+IF($B$34&lt;101,$O$14,IF($B$34&lt;301,$O$15+$B$34*$P$15,$O$16+$B$34*$P$16)),2)+R26</f>
        <v>27591.69</v>
      </c>
      <c r="H35" s="64"/>
      <c r="I35" s="64">
        <f>ROUND(IF($E35&lt;40001,$E35*$R$19/100,40000*$R$19/100+($E35-40000)*$R$20/100)+MAX(100, $B$34)*$R$18+IF($B$34&lt;101,$R$14,IF($B$34&lt;301,$R$15+$B$34*$S$15,$R$16+$B$34*$S$16)),2)+R27</f>
        <v>27151.69</v>
      </c>
      <c r="J35" s="48"/>
      <c r="K35" s="65">
        <f>ROUND(I35/G35-1,4)</f>
        <v>-1.5900000000000001E-2</v>
      </c>
      <c r="L35" s="65"/>
    </row>
    <row r="36" spans="2:18" ht="15.75" x14ac:dyDescent="0.25">
      <c r="B36" s="48"/>
      <c r="C36" s="48"/>
      <c r="D36" s="48">
        <v>700</v>
      </c>
      <c r="E36" s="62">
        <f>ROUND((B$34*D36),0)</f>
        <v>560000</v>
      </c>
      <c r="F36" s="48"/>
      <c r="G36" s="64">
        <f>ROUND(IF($E36&lt;40001,$E36*$O$19/100,40000*$O$19/100+($E36-40000)*$O$20/100)+MAX(100, $B$34)*$O$18+IF($B$34&lt;101,$O$14,IF($B$34&lt;301,$O$15+$B$34*$P$15,$O$16+$B$34*$P$16)),2)+R26</f>
        <v>35969.29</v>
      </c>
      <c r="H36" s="64"/>
      <c r="I36" s="64">
        <f>ROUND(IF($E36&lt;40001,$E36*$R$19/100,40000*$R$19/100+($E36-40000)*$R$20/100)+MAX(100, $B$34)*$R$18+IF($B$34&lt;101,$R$14,IF($B$34&lt;301,$R$15+$B$34*$S$15,$R$16+$B$34*$S$16)),2)+R27</f>
        <v>35353.29</v>
      </c>
      <c r="J36" s="48"/>
      <c r="K36" s="65">
        <f>ROUND(I36/G36-1,4)</f>
        <v>-1.7100000000000001E-2</v>
      </c>
      <c r="L36" s="65"/>
    </row>
    <row r="37" spans="2:18" ht="15.75" x14ac:dyDescent="0.25">
      <c r="B37" s="48"/>
      <c r="C37" s="48"/>
      <c r="D37" s="48"/>
      <c r="E37" s="48"/>
      <c r="F37" s="48"/>
      <c r="G37" s="64"/>
      <c r="H37" s="64"/>
      <c r="I37" s="64"/>
      <c r="J37" s="48"/>
      <c r="K37" s="65"/>
      <c r="L37" s="65"/>
    </row>
    <row r="38" spans="2:18" ht="15.75" x14ac:dyDescent="0.25">
      <c r="B38" s="48">
        <v>1000</v>
      </c>
      <c r="C38" s="48"/>
      <c r="D38" s="48">
        <v>300</v>
      </c>
      <c r="E38" s="62">
        <f>ROUND((B$38*D38),0)</f>
        <v>300000</v>
      </c>
      <c r="F38" s="48"/>
      <c r="G38" s="64">
        <f>ROUND(IF($E38&lt;40001,$E38*$O$19/100,40000*$O$19/100+($E38-40000)*$O$20/100)+MAX(100, $B$38)*$O$18+IF($B$38&lt;101,$O$14,IF($B$38&lt;301,$O$15+$B$38*$P$15,$O$16+$B$38*$P$16)),2)+R26</f>
        <v>23911.69</v>
      </c>
      <c r="H38" s="64"/>
      <c r="I38" s="64">
        <f>ROUND(IF($E38&lt;40001,$E38*$R$19/100,40000*$R$19/100+($E38-40000)*$R$20/100)+MAX(100, $B$38)*$R$18+IF($B$38&lt;101,$R$14,IF($B$38&lt;301,$R$15+$B$38*$S$15,$R$16+$B$38*$S$16)),2)+R27</f>
        <v>23581.69</v>
      </c>
      <c r="J38" s="48"/>
      <c r="K38" s="65">
        <f>ROUND(I38/G38-1,4)</f>
        <v>-1.38E-2</v>
      </c>
      <c r="L38" s="65"/>
    </row>
    <row r="39" spans="2:18" ht="15.75" x14ac:dyDescent="0.25">
      <c r="B39" s="48"/>
      <c r="C39" s="48"/>
      <c r="D39" s="48">
        <v>500</v>
      </c>
      <c r="E39" s="62">
        <f>ROUND((B$38*D39),0)</f>
        <v>500000</v>
      </c>
      <c r="F39" s="48"/>
      <c r="G39" s="64">
        <f>ROUND(IF($E39&lt;40001,$E39*$O$19/100,40000*$O$19/100+($E39-40000)*$O$20/100)+MAX(100, $B$38)*$O$18+IF($B$38&lt;101,$O$14,IF($B$38&lt;301,$O$15+$B$38*$P$15,$O$16+$B$38*$P$16)),2)+R26</f>
        <v>34383.69</v>
      </c>
      <c r="H39" s="64"/>
      <c r="I39" s="64">
        <f>ROUND(IF($E39&lt;40001,$E39*$R$19/100,40000*$R$19/100+($E39-40000)*$R$20/100)+MAX(100, $B$38)*$R$18+IF($B$38&lt;101,$R$14,IF($B$38&lt;301,$R$15+$B$38*$S$15,$R$16+$B$38*$S$16)),2)+R27</f>
        <v>33833.69</v>
      </c>
      <c r="J39" s="48"/>
      <c r="K39" s="65">
        <f>ROUND(I39/G39-1,4)</f>
        <v>-1.6E-2</v>
      </c>
      <c r="L39" s="65"/>
    </row>
    <row r="40" spans="2:18" ht="15.75" x14ac:dyDescent="0.25">
      <c r="B40" s="48"/>
      <c r="C40" s="48"/>
      <c r="D40" s="48">
        <v>700</v>
      </c>
      <c r="E40" s="62">
        <f>ROUND((B$38*D40),0)</f>
        <v>700000</v>
      </c>
      <c r="F40" s="48"/>
      <c r="G40" s="64">
        <f>ROUND(IF($E40&lt;40001,$E40*$O$19/100,40000*$O$19/100+($E40-40000)*$O$20/100)+MAX(100, $B$38)*$O$18+IF($B$38&lt;101,$O$14,IF($B$38&lt;301,$O$15+$B$38*$P$15,$O$16+$B$38*$P$16)),2)+R26</f>
        <v>44855.69</v>
      </c>
      <c r="H40" s="64"/>
      <c r="I40" s="64">
        <f>ROUND(IF($E40&lt;40001,$E40*$R$19/100,40000*$R$19/100+($E40-40000)*$R$20/100)+MAX(100, $B$38)*$R$18+IF($B$38&lt;101,$R$14,IF($B$38&lt;301,$R$15+$B$38*$S$15,$R$16+$B$38*$S$16)),2)+R27</f>
        <v>44085.69</v>
      </c>
      <c r="J40" s="48"/>
      <c r="K40" s="65">
        <f>ROUND(I40/G40-1,4)</f>
        <v>-1.72E-2</v>
      </c>
      <c r="L40" s="65"/>
    </row>
    <row r="41" spans="2:18" ht="15.75" x14ac:dyDescent="0.25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</row>
    <row r="42" spans="2:18" ht="15.75" x14ac:dyDescent="0.2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2:18" ht="15.75" x14ac:dyDescent="0.25">
      <c r="B43" s="48" t="s">
        <v>27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2:18" ht="15.75" x14ac:dyDescent="0.25">
      <c r="B44" s="80" t="s">
        <v>52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2:18" ht="15.75" x14ac:dyDescent="0.25">
      <c r="B45" s="48"/>
    </row>
    <row r="46" spans="2:18" ht="15.75" x14ac:dyDescent="0.25">
      <c r="B46" s="48"/>
    </row>
    <row r="47" spans="2:18" ht="15.75" x14ac:dyDescent="0.25">
      <c r="B47" s="48"/>
    </row>
    <row r="48" spans="2:18" ht="15.75" x14ac:dyDescent="0.25">
      <c r="B48" s="48"/>
      <c r="P48" s="31"/>
    </row>
    <row r="49" spans="2:2" ht="15.75" x14ac:dyDescent="0.25">
      <c r="B49" s="48"/>
    </row>
    <row r="50" spans="2:2" ht="15.75" x14ac:dyDescent="0.25">
      <c r="B50" s="48"/>
    </row>
  </sheetData>
  <printOptions horizontalCentered="1"/>
  <pageMargins left="0.5" right="0.5" top="0.5" bottom="0.5" header="0.5" footer="0.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8A8D-7926-4FB1-9A21-AD34A191D651}">
  <sheetPr>
    <pageSetUpPr fitToPage="1"/>
  </sheetPr>
  <dimension ref="B2:AD51"/>
  <sheetViews>
    <sheetView view="pageBreakPreview" zoomScale="60" zoomScaleNormal="100" workbookViewId="0"/>
  </sheetViews>
  <sheetFormatPr defaultColWidth="8.5" defaultRowHeight="15" x14ac:dyDescent="0.25"/>
  <cols>
    <col min="1" max="1" width="1.875" style="1" customWidth="1"/>
    <col min="2" max="2" width="10.875" style="1" customWidth="1"/>
    <col min="3" max="3" width="1.75" style="1" customWidth="1"/>
    <col min="4" max="4" width="11.25" style="1" hidden="1" customWidth="1"/>
    <col min="5" max="5" width="8.25" style="1" bestFit="1" customWidth="1"/>
    <col min="6" max="6" width="3.25" style="1" customWidth="1"/>
    <col min="7" max="7" width="13.75" style="1" bestFit="1" customWidth="1"/>
    <col min="8" max="8" width="2.125" style="1" customWidth="1"/>
    <col min="9" max="9" width="8.5" style="1" bestFit="1" customWidth="1"/>
    <col min="10" max="10" width="2.125" style="1" customWidth="1"/>
    <col min="11" max="11" width="12.625" style="1" bestFit="1" customWidth="1"/>
    <col min="12" max="12" width="1.75" style="1" customWidth="1"/>
    <col min="13" max="13" width="8.5" style="1" bestFit="1" customWidth="1"/>
    <col min="14" max="14" width="2" style="1" customWidth="1"/>
    <col min="15" max="15" width="10.5" style="1" bestFit="1" customWidth="1"/>
    <col min="16" max="16" width="1.875" style="1" customWidth="1"/>
    <col min="17" max="17" width="8.5" style="1" bestFit="1" customWidth="1"/>
    <col min="18" max="19" width="3" style="1" customWidth="1"/>
    <col min="20" max="20" width="16.125" style="1" customWidth="1"/>
    <col min="21" max="21" width="15.875" style="1" customWidth="1"/>
    <col min="22" max="22" width="10" style="1" customWidth="1"/>
    <col min="23" max="23" width="8.375" style="1" customWidth="1"/>
    <col min="24" max="24" width="2.25" style="1" customWidth="1"/>
    <col min="25" max="16384" width="8.5" style="1"/>
  </cols>
  <sheetData>
    <row r="2" spans="2:23" ht="18.75" x14ac:dyDescent="0.3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6"/>
      <c r="P2" s="2" t="s">
        <v>3</v>
      </c>
      <c r="Q2" s="46"/>
      <c r="R2" s="46"/>
    </row>
    <row r="3" spans="2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3" ht="18.75" x14ac:dyDescent="0.3">
      <c r="B4" s="2" t="s">
        <v>66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3" ht="18.75" x14ac:dyDescent="0.3">
      <c r="B5" s="2" t="s">
        <v>67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23" ht="18.75" x14ac:dyDescent="0.3"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3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11" spans="2:23" x14ac:dyDescent="0.25"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</row>
    <row r="12" spans="2:23" ht="15.75" thickBot="1" x14ac:dyDescent="0.3">
      <c r="G12" s="4" t="s">
        <v>68</v>
      </c>
      <c r="H12" s="4"/>
      <c r="I12" s="4"/>
      <c r="K12" s="4" t="s">
        <v>69</v>
      </c>
      <c r="L12" s="4"/>
      <c r="M12" s="4"/>
      <c r="O12" s="4" t="s">
        <v>70</v>
      </c>
      <c r="P12" s="4"/>
      <c r="Q12" s="4"/>
      <c r="R12" s="5"/>
    </row>
    <row r="13" spans="2:23" x14ac:dyDescent="0.25">
      <c r="B13" s="5" t="s">
        <v>31</v>
      </c>
      <c r="G13" s="5" t="s">
        <v>55</v>
      </c>
      <c r="H13" s="5"/>
      <c r="I13" s="5" t="s">
        <v>71</v>
      </c>
      <c r="J13" s="16"/>
      <c r="K13" s="5" t="s">
        <v>10</v>
      </c>
      <c r="L13" s="5"/>
      <c r="M13" s="5" t="s">
        <v>71</v>
      </c>
      <c r="O13" s="5"/>
      <c r="P13" s="5"/>
      <c r="Q13" s="5" t="s">
        <v>71</v>
      </c>
      <c r="R13" s="5"/>
      <c r="T13" s="97" t="s">
        <v>6</v>
      </c>
      <c r="U13" s="59"/>
      <c r="V13" s="58" t="s">
        <v>7</v>
      </c>
      <c r="W13" s="59"/>
    </row>
    <row r="14" spans="2:23" x14ac:dyDescent="0.25">
      <c r="B14" s="5" t="s">
        <v>34</v>
      </c>
      <c r="C14" s="5"/>
      <c r="D14" s="5" t="s">
        <v>35</v>
      </c>
      <c r="G14" s="8" t="s">
        <v>72</v>
      </c>
      <c r="H14" s="5" t="s">
        <v>3</v>
      </c>
      <c r="I14" s="5" t="s">
        <v>43</v>
      </c>
      <c r="J14" s="16"/>
      <c r="K14" s="8" t="s">
        <v>72</v>
      </c>
      <c r="L14" s="5" t="s">
        <v>3</v>
      </c>
      <c r="M14" s="5" t="s">
        <v>43</v>
      </c>
      <c r="O14" s="5" t="s">
        <v>73</v>
      </c>
      <c r="P14" s="5" t="s">
        <v>3</v>
      </c>
      <c r="Q14" s="5" t="s">
        <v>43</v>
      </c>
      <c r="R14" s="5"/>
      <c r="T14" s="60" t="s">
        <v>74</v>
      </c>
      <c r="U14" s="17">
        <v>6.8470000000000004</v>
      </c>
      <c r="V14" s="67"/>
      <c r="W14" s="17">
        <v>6.734</v>
      </c>
    </row>
    <row r="15" spans="2:23" x14ac:dyDescent="0.25">
      <c r="B15" s="8" t="s">
        <v>39</v>
      </c>
      <c r="C15" s="5"/>
      <c r="D15" s="20" t="s">
        <v>40</v>
      </c>
      <c r="E15" s="8" t="s">
        <v>8</v>
      </c>
      <c r="G15" s="8" t="s">
        <v>75</v>
      </c>
      <c r="H15" s="5"/>
      <c r="I15" s="8" t="s">
        <v>76</v>
      </c>
      <c r="J15" s="16"/>
      <c r="K15" s="8" t="s">
        <v>75</v>
      </c>
      <c r="L15" s="5"/>
      <c r="M15" s="8" t="s">
        <v>76</v>
      </c>
      <c r="O15" s="8" t="s">
        <v>77</v>
      </c>
      <c r="P15" s="5"/>
      <c r="Q15" s="8" t="s">
        <v>76</v>
      </c>
      <c r="R15" s="5"/>
      <c r="T15" s="60" t="s">
        <v>3</v>
      </c>
      <c r="U15" s="98" t="s">
        <v>3</v>
      </c>
      <c r="V15" s="27" t="s">
        <v>3</v>
      </c>
      <c r="W15" s="98" t="s">
        <v>3</v>
      </c>
    </row>
    <row r="16" spans="2:23" x14ac:dyDescent="0.25">
      <c r="B16" s="5"/>
      <c r="C16" s="5"/>
      <c r="D16" s="20"/>
      <c r="E16" s="5"/>
      <c r="G16" s="5"/>
      <c r="H16" s="5"/>
      <c r="I16" s="5"/>
      <c r="J16" s="16"/>
      <c r="K16" s="5"/>
      <c r="L16" s="5"/>
      <c r="M16" s="5"/>
      <c r="O16" s="5"/>
      <c r="P16" s="5"/>
      <c r="Q16" s="5"/>
      <c r="R16" s="5"/>
      <c r="T16" s="99" t="s">
        <v>43</v>
      </c>
      <c r="U16" s="100"/>
      <c r="V16" s="101"/>
      <c r="W16" s="102"/>
    </row>
    <row r="17" spans="2:30" x14ac:dyDescent="0.25">
      <c r="B17" s="16" t="s">
        <v>41</v>
      </c>
      <c r="C17" s="16"/>
      <c r="G17" s="16"/>
      <c r="H17" s="16"/>
      <c r="I17" s="16"/>
      <c r="J17" s="16"/>
      <c r="T17" s="103" t="s">
        <v>78</v>
      </c>
      <c r="U17" s="13">
        <v>31.58</v>
      </c>
      <c r="V17" s="67"/>
      <c r="W17" s="104">
        <v>31.58</v>
      </c>
    </row>
    <row r="18" spans="2:30" x14ac:dyDescent="0.25">
      <c r="B18" s="1">
        <v>10</v>
      </c>
      <c r="D18" s="21">
        <v>200</v>
      </c>
      <c r="E18" s="21">
        <f>ROUND((B$18*D18),0)</f>
        <v>2000</v>
      </c>
      <c r="G18" s="22">
        <f>ROUND(((E18*$U$14/100))+(E18*$W$25/100),2)</f>
        <v>122.38</v>
      </c>
      <c r="H18" s="31"/>
      <c r="I18" s="31">
        <f>$B$18*$U$17+W27</f>
        <v>331.44999999999993</v>
      </c>
      <c r="J18" s="31"/>
      <c r="K18" s="22">
        <f>ROUND((($E18*$W$14/100))+(($E18*$W$26)/100),2)</f>
        <v>120.12</v>
      </c>
      <c r="L18" s="31"/>
      <c r="M18" s="31">
        <f>$B$18*$W$17+W28</f>
        <v>331.44999999999993</v>
      </c>
      <c r="O18" s="23">
        <f>ROUND((K18-G18)/G18,4)</f>
        <v>-1.8499999999999999E-2</v>
      </c>
      <c r="P18" s="23"/>
      <c r="Q18" s="23">
        <f>ROUND((M18-I18)/I18,4)</f>
        <v>0</v>
      </c>
      <c r="R18" s="23"/>
      <c r="T18" s="103" t="s">
        <v>79</v>
      </c>
      <c r="U18" s="13">
        <v>21.97</v>
      </c>
      <c r="V18" s="67"/>
      <c r="W18" s="104">
        <v>21.97</v>
      </c>
    </row>
    <row r="19" spans="2:30" x14ac:dyDescent="0.25">
      <c r="D19" s="21">
        <v>300</v>
      </c>
      <c r="E19" s="21">
        <f>ROUND((B$18*D19),0)</f>
        <v>3000</v>
      </c>
      <c r="G19" s="31">
        <f>ROUND(((E19*$U$14/100))+(E19*$W$25/100),2)</f>
        <v>183.57</v>
      </c>
      <c r="H19" s="31"/>
      <c r="I19" s="31">
        <f>$B$18*$U$17+W27</f>
        <v>331.44999999999993</v>
      </c>
      <c r="J19" s="31"/>
      <c r="K19" s="31">
        <f>ROUND((($E19*$W$14/100))+(($E19*$W$26)/100),2)</f>
        <v>180.18</v>
      </c>
      <c r="L19" s="31"/>
      <c r="M19" s="31">
        <f>$B$18*$W$17+W28</f>
        <v>331.44999999999993</v>
      </c>
      <c r="O19" s="23">
        <f>ROUND((K19-G19)/G19,4)</f>
        <v>-1.8499999999999999E-2</v>
      </c>
      <c r="P19" s="23"/>
      <c r="Q19" s="23">
        <f>ROUND((M19-I19)/I19,4)</f>
        <v>0</v>
      </c>
      <c r="R19" s="23"/>
      <c r="T19" s="103" t="s">
        <v>80</v>
      </c>
      <c r="U19" s="13">
        <v>17.18</v>
      </c>
      <c r="V19" s="67"/>
      <c r="W19" s="104">
        <v>17.18</v>
      </c>
    </row>
    <row r="20" spans="2:30" x14ac:dyDescent="0.25">
      <c r="D20" s="21">
        <v>500</v>
      </c>
      <c r="E20" s="21">
        <f>ROUND((B$18*D20),0)</f>
        <v>5000</v>
      </c>
      <c r="G20" s="31">
        <f>ROUND(((E20*$U$14/100))+(E20*$W$25/100),2)</f>
        <v>305.95</v>
      </c>
      <c r="H20" s="31"/>
      <c r="I20" s="31">
        <f>$B$18*$U$17+W27</f>
        <v>331.44999999999993</v>
      </c>
      <c r="J20" s="31"/>
      <c r="K20" s="31">
        <f>ROUND((($E20*$W$14/100))+(($E20*$W$26)/100),2)</f>
        <v>300.3</v>
      </c>
      <c r="L20" s="31"/>
      <c r="M20" s="31">
        <f>$B$18*$W$17+W28</f>
        <v>331.44999999999993</v>
      </c>
      <c r="O20" s="23">
        <f>ROUND((K20-G20)/G20,4)</f>
        <v>-1.8499999999999999E-2</v>
      </c>
      <c r="P20" s="23"/>
      <c r="Q20" s="23">
        <f>ROUND((M20-I20)/I20,4)</f>
        <v>0</v>
      </c>
      <c r="R20" s="23"/>
      <c r="T20" s="103" t="s">
        <v>79</v>
      </c>
      <c r="U20" s="105">
        <v>449</v>
      </c>
      <c r="V20" s="67"/>
      <c r="W20" s="106">
        <v>449</v>
      </c>
    </row>
    <row r="21" spans="2:30" x14ac:dyDescent="0.25">
      <c r="G21" s="31"/>
      <c r="H21" s="31"/>
      <c r="I21" s="31"/>
      <c r="J21" s="31"/>
      <c r="K21" s="31"/>
      <c r="L21" s="31"/>
      <c r="M21" s="31"/>
      <c r="T21" s="107" t="s">
        <v>80</v>
      </c>
      <c r="U21" s="108">
        <v>1825</v>
      </c>
      <c r="V21" s="109"/>
      <c r="W21" s="110">
        <v>1825</v>
      </c>
      <c r="AD21" s="1" t="s">
        <v>3</v>
      </c>
    </row>
    <row r="22" spans="2:30" x14ac:dyDescent="0.25">
      <c r="B22" s="16" t="s">
        <v>42</v>
      </c>
      <c r="C22" s="16"/>
      <c r="G22" s="31"/>
      <c r="H22" s="31"/>
      <c r="I22" s="31"/>
      <c r="J22" s="31"/>
      <c r="K22" s="31"/>
      <c r="L22" s="31"/>
      <c r="M22" s="31"/>
      <c r="U22" s="27" t="s">
        <v>18</v>
      </c>
      <c r="V22" s="27"/>
      <c r="W22" s="26">
        <v>0.26400000000000001</v>
      </c>
    </row>
    <row r="23" spans="2:30" x14ac:dyDescent="0.25">
      <c r="B23" s="1">
        <v>20</v>
      </c>
      <c r="D23" s="21">
        <v>200</v>
      </c>
      <c r="E23" s="21">
        <f>ROUND((B$23*D23),0)</f>
        <v>4000</v>
      </c>
      <c r="G23" s="31">
        <f>ROUND(((E23*$U$14/100))+(E23*$W$25/100),2)</f>
        <v>244.76</v>
      </c>
      <c r="H23" s="31"/>
      <c r="I23" s="31">
        <f>IF($B$23&lt;51,$B$23*$U$17,IF($B$23&lt;301,$B$23*$U$18+$U$20,$U$21+$U$19*$B$23))+W27</f>
        <v>647.24999999999989</v>
      </c>
      <c r="J23" s="31"/>
      <c r="K23" s="31">
        <f>ROUND((($E23*$W$14/100))+(($E23*$W$26)/100),2)</f>
        <v>240.24</v>
      </c>
      <c r="L23" s="31"/>
      <c r="M23" s="31">
        <f>IF($B$23&lt;51,$B$23*$W$17,IF($B$23&lt;301,$B$23*$W$18+$W$20,$W$21+$W$19*$B$23))+W28</f>
        <v>647.24999999999989</v>
      </c>
      <c r="O23" s="23">
        <f>ROUND((K23-G23)/G23,4)</f>
        <v>-1.8499999999999999E-2</v>
      </c>
      <c r="P23" s="23"/>
      <c r="Q23" s="23">
        <f>ROUND((M23-I23)/I23,4)</f>
        <v>0</v>
      </c>
      <c r="R23" s="23"/>
      <c r="U23" s="27"/>
      <c r="V23" s="27"/>
      <c r="W23" s="26">
        <v>0.26400000000000001</v>
      </c>
    </row>
    <row r="24" spans="2:30" x14ac:dyDescent="0.25">
      <c r="D24" s="21">
        <v>300</v>
      </c>
      <c r="E24" s="21">
        <f>ROUND((B$23*D24),0)</f>
        <v>6000</v>
      </c>
      <c r="G24" s="31">
        <f>ROUND(((E24*$U$14/100))+(E24*$W$25/100),2)</f>
        <v>367.14</v>
      </c>
      <c r="H24" s="31"/>
      <c r="I24" s="31">
        <f>IF($B$23&lt;51,$B$23*$U$17,IF($B$23&lt;301,$B$23*$U$18+$U$20,$U$21+$U$19*$B$23))+W27</f>
        <v>647.24999999999989</v>
      </c>
      <c r="J24" s="31"/>
      <c r="K24" s="31">
        <f>ROUND((($E24*$W$14/100))+(($E24*$W$26)/100),2)</f>
        <v>360.36</v>
      </c>
      <c r="L24" s="31"/>
      <c r="M24" s="31">
        <f>IF($B$23&lt;51,$B$23*$W$17,IF($B$23&lt;301,$B$23*$W$18+$W$20,$W$21+$W$19*$B$23))+W28</f>
        <v>647.24999999999989</v>
      </c>
      <c r="O24" s="23">
        <f>ROUND((K24-G24)/G24,4)</f>
        <v>-1.8499999999999999E-2</v>
      </c>
      <c r="P24" s="23"/>
      <c r="Q24" s="23">
        <f>ROUND((M24-I24)/I24,4)</f>
        <v>0</v>
      </c>
      <c r="R24" s="23"/>
      <c r="U24" s="27"/>
      <c r="V24" s="27"/>
      <c r="W24" s="28"/>
    </row>
    <row r="25" spans="2:30" x14ac:dyDescent="0.25">
      <c r="D25" s="21">
        <v>500</v>
      </c>
      <c r="E25" s="21">
        <f>ROUND((B$23*D25),0)</f>
        <v>10000</v>
      </c>
      <c r="G25" s="31">
        <f>ROUND(((E25*$U$14/100))+(E25*$W$25/100),2)</f>
        <v>611.9</v>
      </c>
      <c r="H25" s="31"/>
      <c r="I25" s="31">
        <f>IF($B$23&lt;51,$B$23*$U$17,IF($B$23&lt;301,$B$23*$U$18+$U$20,$U$21+$U$19*$B$23))+W27</f>
        <v>647.24999999999989</v>
      </c>
      <c r="J25" s="31"/>
      <c r="K25" s="31">
        <f>ROUND((($E25*$W$14/100))+(($E25*$W$26)/100),2)</f>
        <v>600.6</v>
      </c>
      <c r="L25" s="31"/>
      <c r="M25" s="31">
        <f>IF($B$23&lt;51,$B$23*$W$17,IF($B$23&lt;301,$B$23*$W$18+$W$20,$W$21+$W$19*$B$23))+W28</f>
        <v>647.24999999999989</v>
      </c>
      <c r="O25" s="23">
        <f>ROUND((K25-G25)/G25,4)</f>
        <v>-1.8499999999999999E-2</v>
      </c>
      <c r="P25" s="23"/>
      <c r="Q25" s="23">
        <f>ROUND((M25-I25)/I25,4)</f>
        <v>0</v>
      </c>
      <c r="R25" s="23"/>
      <c r="U25" s="27" t="s">
        <v>19</v>
      </c>
      <c r="V25" s="27"/>
      <c r="W25" s="26">
        <v>-0.72799999999999998</v>
      </c>
    </row>
    <row r="26" spans="2:30" x14ac:dyDescent="0.25">
      <c r="G26" s="31"/>
      <c r="H26" s="31"/>
      <c r="I26" s="31"/>
      <c r="J26" s="31"/>
      <c r="K26" s="31"/>
      <c r="L26" s="31"/>
      <c r="M26" s="31"/>
      <c r="U26" s="1" t="s">
        <v>3</v>
      </c>
      <c r="V26" s="1" t="s">
        <v>3</v>
      </c>
      <c r="W26" s="30">
        <v>-0.72799999999999998</v>
      </c>
    </row>
    <row r="27" spans="2:30" x14ac:dyDescent="0.25">
      <c r="B27" s="1">
        <v>100</v>
      </c>
      <c r="D27" s="21">
        <v>200</v>
      </c>
      <c r="E27" s="21">
        <f>ROUND((B$27*D27),0)</f>
        <v>20000</v>
      </c>
      <c r="G27" s="31">
        <f>ROUND(((E27*$U$14/100))+(E27*$W$25/100),2)</f>
        <v>1223.8</v>
      </c>
      <c r="H27" s="31"/>
      <c r="I27" s="31">
        <f>IF($B$27&lt;51,$B$27*$U$17,IF($B$27&lt;301,$B$27*$U$18+$U$20,$U$21+$U$19*$B$27))+W27</f>
        <v>2661.65</v>
      </c>
      <c r="J27" s="31"/>
      <c r="K27" s="31">
        <f>ROUND((($E27*$W$14/100))+(($E27*$W$26)/100),2)</f>
        <v>1201.2</v>
      </c>
      <c r="L27" s="31"/>
      <c r="M27" s="31">
        <f>IF($B$27&lt;51,$B$27*$W$17,IF($B$27&lt;301,$B$27*$W$18+$W$20,$W$21+$W$19*$B$27))+W28</f>
        <v>2661.65</v>
      </c>
      <c r="O27" s="23">
        <f>ROUND((K27-G27)/G27,4)</f>
        <v>-1.8499999999999999E-2</v>
      </c>
      <c r="P27" s="23"/>
      <c r="Q27" s="23">
        <f>ROUND((M27-I27)/I27,4)</f>
        <v>0</v>
      </c>
      <c r="R27" s="23"/>
      <c r="U27" s="1" t="s">
        <v>65</v>
      </c>
      <c r="W27" s="68">
        <v>15.65</v>
      </c>
      <c r="X27" s="1" t="s">
        <v>3</v>
      </c>
    </row>
    <row r="28" spans="2:30" x14ac:dyDescent="0.25">
      <c r="D28" s="21">
        <v>300</v>
      </c>
      <c r="E28" s="21">
        <f>ROUND((B$27*D28),0)</f>
        <v>30000</v>
      </c>
      <c r="G28" s="31">
        <f>ROUND(((E28*$U$14/100))+(E28*$W$25/100),2)</f>
        <v>1835.7</v>
      </c>
      <c r="H28" s="31"/>
      <c r="I28" s="31">
        <f>IF($B$27&lt;51,$B$27*$U$17,IF($B$27&lt;301,$B$27*$U$18+$U$20,$U$21+$U$19*$B$27))+W27</f>
        <v>2661.65</v>
      </c>
      <c r="J28" s="31"/>
      <c r="K28" s="31">
        <f>ROUND((($E28*$W$14/100))+(($E28*$W$26)/100),2)</f>
        <v>1801.8</v>
      </c>
      <c r="L28" s="31"/>
      <c r="M28" s="31">
        <f>IF($B$27&lt;51,$B$27*$W$17,IF($B$27&lt;301,$B$27*$W$18+$W$20,$W$21+$W$19*$B$27))+W28</f>
        <v>2661.65</v>
      </c>
      <c r="O28" s="23">
        <f>ROUND((K28-G28)/G28,4)</f>
        <v>-1.8499999999999999E-2</v>
      </c>
      <c r="P28" s="23"/>
      <c r="Q28" s="23">
        <f>ROUND((M28-I28)/I28,4)</f>
        <v>0</v>
      </c>
      <c r="R28" s="23"/>
      <c r="U28" s="1" t="s">
        <v>51</v>
      </c>
      <c r="W28" s="68">
        <f>W27</f>
        <v>15.65</v>
      </c>
    </row>
    <row r="29" spans="2:30" x14ac:dyDescent="0.25">
      <c r="D29" s="21">
        <v>500</v>
      </c>
      <c r="E29" s="21">
        <f>ROUND((B$27*D29),0)</f>
        <v>50000</v>
      </c>
      <c r="G29" s="31">
        <f>ROUND(((E29*$U$14/100))+(E29*$W$25/100),2)</f>
        <v>3059.5</v>
      </c>
      <c r="H29" s="31"/>
      <c r="I29" s="31">
        <f>IF($B$27&lt;51,$B$27*$U$17,IF($B$27&lt;301,$B$27*$U$18+$U$20,$U$21+$U$19*$B$27))+W27</f>
        <v>2661.65</v>
      </c>
      <c r="J29" s="31"/>
      <c r="K29" s="31">
        <f>ROUND((($E29*$W$14/100))+(($E29*$W$26)/100),2)</f>
        <v>3003</v>
      </c>
      <c r="L29" s="31"/>
      <c r="M29" s="31">
        <f>IF($B$27&lt;51,$B$27*$W$17,IF($B$27&lt;301,$B$27*$W$18+$W$20,$W$21+$W$19*$B$27))+W28</f>
        <v>2661.65</v>
      </c>
      <c r="O29" s="23">
        <f>ROUND((K29-G29)/G29,4)</f>
        <v>-1.8499999999999999E-2</v>
      </c>
      <c r="P29" s="23"/>
      <c r="Q29" s="23">
        <f>ROUND((M29-I29)/I29,4)</f>
        <v>0</v>
      </c>
      <c r="R29" s="23"/>
    </row>
    <row r="30" spans="2:30" x14ac:dyDescent="0.25">
      <c r="G30" s="31"/>
      <c r="H30" s="31"/>
      <c r="I30" s="31"/>
      <c r="J30" s="31"/>
      <c r="K30" s="31"/>
      <c r="L30" s="31"/>
      <c r="M30" s="31"/>
      <c r="U30" s="1" t="s">
        <v>22</v>
      </c>
      <c r="W30" s="1">
        <v>-0.308</v>
      </c>
    </row>
    <row r="31" spans="2:30" x14ac:dyDescent="0.25">
      <c r="B31" s="1">
        <v>300</v>
      </c>
      <c r="D31" s="21">
        <v>200</v>
      </c>
      <c r="E31" s="21">
        <f>ROUND((B$31*D31),0)</f>
        <v>60000</v>
      </c>
      <c r="G31" s="31">
        <f>ROUND(((E31*$U$14/100))+(E31*$W$25/100),2)</f>
        <v>3671.4</v>
      </c>
      <c r="H31" s="31"/>
      <c r="I31" s="31">
        <f>IF($B$31&lt;51,$B$31*$U$17,IF($B$31&lt;301,$B$31*$U$18+$U$20,$U$21+$U$19*$B$31))+W27</f>
        <v>7055.65</v>
      </c>
      <c r="J31" s="31"/>
      <c r="K31" s="31">
        <f>ROUND((($E31*$W$14/100))+(($E31*$W$26)/100),2)</f>
        <v>3603.6</v>
      </c>
      <c r="L31" s="31"/>
      <c r="M31" s="31">
        <f>IF($B$31&lt;51,$B$31*$W$17,IF($B$31&lt;301,$B$31*$W$18+$W$20,$W$21+$W$19*$B$31))+W28</f>
        <v>7055.65</v>
      </c>
      <c r="O31" s="23">
        <f>ROUND((K31-G31)/G31,4)</f>
        <v>-1.8499999999999999E-2</v>
      </c>
      <c r="P31" s="23"/>
      <c r="Q31" s="23">
        <f>ROUND((M31-I31)/I31,4)</f>
        <v>0</v>
      </c>
      <c r="R31" s="23"/>
      <c r="U31" s="1" t="s">
        <v>23</v>
      </c>
      <c r="W31" s="30">
        <v>-0.308</v>
      </c>
    </row>
    <row r="32" spans="2:30" x14ac:dyDescent="0.25">
      <c r="D32" s="21">
        <v>300</v>
      </c>
      <c r="E32" s="21">
        <f>ROUND((B$31*D32),0)</f>
        <v>90000</v>
      </c>
      <c r="G32" s="31">
        <f>ROUND(((E32*$U$14/100))+(E32*$W$25/100),2)</f>
        <v>5507.1</v>
      </c>
      <c r="H32" s="31"/>
      <c r="I32" s="31">
        <f>IF($B$31&lt;51,$B$31*$U$17,IF($B$31&lt;301,$B$31*$U$18+$U$20,$U$21+$U$19*$B$31))+W27</f>
        <v>7055.65</v>
      </c>
      <c r="J32" s="31"/>
      <c r="K32" s="31">
        <f>ROUND((($E32*$W$14/100))+(($E32*$W$26)/100),2)</f>
        <v>5405.4</v>
      </c>
      <c r="L32" s="31"/>
      <c r="M32" s="31">
        <f>IF($B$31&lt;51,$B$31*$W$17,IF($B$31&lt;301,$B$31*$W$18+$W$20,$W$21+$W$19*$B$31))+W28</f>
        <v>7055.65</v>
      </c>
      <c r="O32" s="23">
        <f>ROUND((K32-G32)/G32,4)</f>
        <v>-1.8499999999999999E-2</v>
      </c>
      <c r="P32" s="23"/>
      <c r="Q32" s="23">
        <f>ROUND((M32-I32)/I32,4)</f>
        <v>0</v>
      </c>
      <c r="R32" s="23"/>
      <c r="W32" s="23"/>
    </row>
    <row r="33" spans="2:23" x14ac:dyDescent="0.25">
      <c r="D33" s="21">
        <v>500</v>
      </c>
      <c r="E33" s="21">
        <f>ROUND((B$31*D33),0)</f>
        <v>150000</v>
      </c>
      <c r="G33" s="31">
        <f>ROUND(((E33*$U$14/100))+(E33*$W$25/100),2)</f>
        <v>9178.5</v>
      </c>
      <c r="H33" s="31"/>
      <c r="I33" s="31">
        <f>IF($B$31&lt;51,$B$31*$U$17,IF($B$31&lt;301,$B$31*$U$18+$U$20,$U$21+$U$19*$B$31))+W27</f>
        <v>7055.65</v>
      </c>
      <c r="J33" s="31"/>
      <c r="K33" s="31">
        <f>ROUND((($E33*$W$14/100))+(($E33*$W$26)/100),2)</f>
        <v>9009</v>
      </c>
      <c r="L33" s="31"/>
      <c r="M33" s="31">
        <f>IF($B$31&lt;51,$B$31*$W$17,IF($B$31&lt;301,$B$31*$W$18+$W$20,$W$21+$W$19*$B$31))+W28</f>
        <v>7055.65</v>
      </c>
      <c r="O33" s="23">
        <f>ROUND((K33-G33)/G33,4)</f>
        <v>-1.8499999999999999E-2</v>
      </c>
      <c r="P33" s="23"/>
      <c r="Q33" s="23">
        <f>ROUND((M33-I33)/I33,4)</f>
        <v>0</v>
      </c>
      <c r="R33" s="23"/>
      <c r="U33" s="1" t="s">
        <v>24</v>
      </c>
      <c r="W33" s="1">
        <v>-6.7000000000000004E-2</v>
      </c>
    </row>
    <row r="34" spans="2:23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2:23" x14ac:dyDescent="0.25">
      <c r="T35" s="73" t="s">
        <v>53</v>
      </c>
      <c r="U35" s="95">
        <v>-1.194707174929438E-2</v>
      </c>
    </row>
    <row r="36" spans="2:23" x14ac:dyDescent="0.25">
      <c r="C36" s="38"/>
    </row>
    <row r="37" spans="2:23" x14ac:dyDescent="0.25">
      <c r="B37" s="1" t="s">
        <v>27</v>
      </c>
      <c r="C37" s="38"/>
    </row>
    <row r="38" spans="2:23" x14ac:dyDescent="0.25">
      <c r="B38" s="80" t="s">
        <v>81</v>
      </c>
      <c r="C38" s="38"/>
    </row>
    <row r="39" spans="2:23" x14ac:dyDescent="0.25">
      <c r="B39" s="38" t="s">
        <v>82</v>
      </c>
      <c r="C39" s="38"/>
    </row>
    <row r="40" spans="2:23" x14ac:dyDescent="0.25">
      <c r="B40" s="38"/>
      <c r="C40" s="38"/>
    </row>
    <row r="41" spans="2:23" x14ac:dyDescent="0.25">
      <c r="B41" s="38"/>
      <c r="C41" s="38"/>
    </row>
    <row r="42" spans="2:23" x14ac:dyDescent="0.25">
      <c r="B42" s="38"/>
      <c r="C42" s="38"/>
    </row>
    <row r="43" spans="2:23" x14ac:dyDescent="0.25">
      <c r="B43" s="38"/>
      <c r="C43" s="38"/>
    </row>
    <row r="44" spans="2:23" x14ac:dyDescent="0.25">
      <c r="B44" s="38"/>
      <c r="C44" s="38"/>
    </row>
    <row r="45" spans="2:23" x14ac:dyDescent="0.25">
      <c r="B45" s="38"/>
      <c r="C45" s="38"/>
    </row>
    <row r="46" spans="2:23" x14ac:dyDescent="0.25">
      <c r="B46" s="38"/>
      <c r="C46" s="38"/>
    </row>
    <row r="47" spans="2:23" x14ac:dyDescent="0.25">
      <c r="B47" s="38"/>
      <c r="C47" s="38"/>
    </row>
    <row r="48" spans="2:23" x14ac:dyDescent="0.25">
      <c r="B48" s="38"/>
      <c r="C48" s="38"/>
      <c r="P48" s="31"/>
    </row>
    <row r="49" spans="2:3" x14ac:dyDescent="0.25">
      <c r="B49" s="38"/>
      <c r="C49" s="38"/>
    </row>
    <row r="50" spans="2:3" x14ac:dyDescent="0.25">
      <c r="B50" s="38"/>
      <c r="C50" s="38"/>
    </row>
    <row r="51" spans="2:3" x14ac:dyDescent="0.25">
      <c r="B51" s="38"/>
      <c r="C51" s="38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9B41-616E-4D80-B690-46FE8857D3E9}">
  <sheetPr>
    <pageSetUpPr fitToPage="1"/>
  </sheetPr>
  <dimension ref="A2:X48"/>
  <sheetViews>
    <sheetView view="pageBreakPreview" zoomScale="60" zoomScaleNormal="100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3" width="2.375" style="1" customWidth="1"/>
    <col min="14" max="14" width="20.25" style="1" customWidth="1"/>
    <col min="15" max="15" width="11" style="1" bestFit="1" customWidth="1"/>
    <col min="16" max="16" width="17.25" style="1" customWidth="1"/>
    <col min="17" max="17" width="8.875" style="1" customWidth="1"/>
    <col min="18" max="18" width="10.25" style="1" customWidth="1"/>
    <col min="19" max="19" width="7.375" style="1" customWidth="1"/>
    <col min="20" max="20" width="3.125" style="1" customWidth="1"/>
    <col min="21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  <c r="M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18.75" x14ac:dyDescent="0.3">
      <c r="B5" s="2" t="s">
        <v>83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3" ht="18.75" x14ac:dyDescent="0.3">
      <c r="B6" s="2" t="s">
        <v>84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3" ht="18.75" x14ac:dyDescent="0.3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3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31</v>
      </c>
      <c r="G11" s="9" t="s">
        <v>32</v>
      </c>
      <c r="H11" s="9"/>
      <c r="I11" s="9"/>
    </row>
    <row r="12" spans="1:23" ht="15.75" thickBot="1" x14ac:dyDescent="0.3">
      <c r="B12" s="5" t="s">
        <v>34</v>
      </c>
      <c r="C12" s="5" t="s">
        <v>35</v>
      </c>
      <c r="G12" s="3" t="s">
        <v>9</v>
      </c>
      <c r="I12" s="3" t="s">
        <v>85</v>
      </c>
      <c r="K12" s="3" t="s">
        <v>33</v>
      </c>
      <c r="L12" s="3"/>
      <c r="M12" s="3"/>
    </row>
    <row r="13" spans="1:23" x14ac:dyDescent="0.25">
      <c r="B13" s="8" t="s">
        <v>39</v>
      </c>
      <c r="C13" s="20" t="s">
        <v>40</v>
      </c>
      <c r="D13" s="16"/>
      <c r="E13" s="8" t="s">
        <v>8</v>
      </c>
      <c r="F13" s="16"/>
      <c r="G13" s="9" t="s">
        <v>86</v>
      </c>
      <c r="I13" s="9" t="s">
        <v>87</v>
      </c>
      <c r="K13" s="15" t="s">
        <v>38</v>
      </c>
      <c r="L13" s="3"/>
      <c r="M13" s="3"/>
      <c r="N13" s="111" t="s">
        <v>6</v>
      </c>
      <c r="O13" s="85"/>
      <c r="P13" s="86"/>
      <c r="Q13" s="58"/>
      <c r="R13" s="85" t="s">
        <v>7</v>
      </c>
      <c r="S13" s="86"/>
    </row>
    <row r="14" spans="1:23" x14ac:dyDescent="0.25">
      <c r="G14" s="20"/>
      <c r="H14" s="16"/>
      <c r="I14" s="20"/>
      <c r="N14" s="60" t="s">
        <v>43</v>
      </c>
      <c r="P14" s="61"/>
      <c r="S14" s="61"/>
    </row>
    <row r="15" spans="1:23" x14ac:dyDescent="0.25">
      <c r="B15" s="21">
        <v>1000</v>
      </c>
      <c r="C15" s="1">
        <v>300</v>
      </c>
      <c r="E15" s="21">
        <f>ROUND((B$15*C15),0)</f>
        <v>300000</v>
      </c>
      <c r="F15" s="21"/>
      <c r="G15" s="31">
        <f>ROUND($E15*$P$18*O$18/100+$E15*$P$19*O$19/100+$B$15*O$17+IF($B$15&lt;3001,$B$15*P$15+O$15,$B$15*P$16+O$16),2)+$R$24</f>
        <v>25731.75</v>
      </c>
      <c r="H15" s="31"/>
      <c r="I15" s="31">
        <f>ROUND($E15*$S$18*R$18/100+$E15*$S$19*R$19/100+$B$15*R$17+IF($B$15&lt;3001,$B$15*S$15+R$15,$B$15*S$16+R$16),2)+$R$25</f>
        <v>25413.75</v>
      </c>
      <c r="K15" s="23">
        <f>(I15-G15)/G15</f>
        <v>-1.2358273339357019E-2</v>
      </c>
      <c r="L15" s="23"/>
      <c r="M15" s="23"/>
      <c r="N15" s="60" t="s">
        <v>88</v>
      </c>
      <c r="O15" s="66">
        <v>1313</v>
      </c>
      <c r="P15" s="13">
        <v>1.22</v>
      </c>
      <c r="Q15" s="67"/>
      <c r="R15" s="66">
        <v>1313</v>
      </c>
      <c r="S15" s="13">
        <v>1.22</v>
      </c>
      <c r="W15" s="31" t="s">
        <v>3</v>
      </c>
    </row>
    <row r="16" spans="1:23" x14ac:dyDescent="0.25">
      <c r="C16" s="1">
        <v>500</v>
      </c>
      <c r="E16" s="21">
        <f>ROUND((B$15*C16),0)</f>
        <v>500000</v>
      </c>
      <c r="F16" s="21"/>
      <c r="G16" s="31">
        <f>ROUND($E16*$P$18*O$18/100+$E16*$P$19*O$19/100+$B$15*O$17+IF($B$15&lt;3001,$B$15*P$15+O$15,$B$15*P$16+O$16),2)+$R$24</f>
        <v>35205.910000000003</v>
      </c>
      <c r="H16" s="31"/>
      <c r="I16" s="31">
        <f>ROUND($E16*$S$18*R$18/100+$E16*$S$19*R$19/100+$B$15*R$17+IF($B$15&lt;3001,$B$15*S$15+R$15,$B$15*S$16+R$16),2)+$R$25</f>
        <v>34675.910000000003</v>
      </c>
      <c r="K16" s="23">
        <f>(I16-G16)/G16</f>
        <v>-1.5054290600640629E-2</v>
      </c>
      <c r="L16" s="23"/>
      <c r="M16" s="23"/>
      <c r="N16" s="60" t="s">
        <v>89</v>
      </c>
      <c r="O16" s="66">
        <v>1587</v>
      </c>
      <c r="P16" s="13">
        <v>1.0900000000000001</v>
      </c>
      <c r="Q16" s="67"/>
      <c r="R16" s="66">
        <v>1587</v>
      </c>
      <c r="S16" s="13">
        <v>1.0900000000000001</v>
      </c>
    </row>
    <row r="17" spans="2:24" x14ac:dyDescent="0.25">
      <c r="C17" s="1">
        <v>700</v>
      </c>
      <c r="E17" s="21">
        <f>ROUND((B$15*C17),0)</f>
        <v>700000</v>
      </c>
      <c r="F17" s="21"/>
      <c r="G17" s="31">
        <f>ROUND($E17*$P$18*O$18/100+$E17*$P$19*O$19/100+$B$15*O$17+IF($B$15&lt;3001,$B$15*P$15+O$15,$B$15*P$16+O$16),2)+$R$24</f>
        <v>44680.08</v>
      </c>
      <c r="H17" s="31"/>
      <c r="I17" s="31">
        <f>ROUND($E17*$S$18*R$18/100+$E17*$S$19*R$19/100+$B$15*R$17+IF($B$15&lt;3001,$B$15*S$15+R$15,$B$15*S$16+R$16),2)+$R$25</f>
        <v>43938.080000000002</v>
      </c>
      <c r="K17" s="23">
        <f>(I17-G17)/G17</f>
        <v>-1.6606953255231413E-2</v>
      </c>
      <c r="L17" s="23"/>
      <c r="M17" s="23"/>
      <c r="N17" s="60" t="s">
        <v>39</v>
      </c>
      <c r="O17" s="66">
        <v>8.73</v>
      </c>
      <c r="P17" s="72"/>
      <c r="Q17" s="67"/>
      <c r="R17" s="66">
        <v>8.73</v>
      </c>
      <c r="S17" s="72"/>
      <c r="U17" s="19">
        <f>(R17-O17)/O17</f>
        <v>0</v>
      </c>
    </row>
    <row r="18" spans="2:24" x14ac:dyDescent="0.25">
      <c r="G18" s="31"/>
      <c r="H18" s="31"/>
      <c r="I18" s="31"/>
      <c r="K18" s="23"/>
      <c r="L18" s="23"/>
      <c r="M18" s="23"/>
      <c r="N18" s="112" t="s">
        <v>90</v>
      </c>
      <c r="O18" s="74">
        <v>5.3029999999999999</v>
      </c>
      <c r="P18" s="113">
        <v>0.39344309562646129</v>
      </c>
      <c r="Q18" s="67" t="s">
        <v>90</v>
      </c>
      <c r="R18" s="74">
        <v>5.1970000000000001</v>
      </c>
      <c r="S18" s="113">
        <v>0.39344309562646129</v>
      </c>
      <c r="U18" s="19">
        <v>-0.96171978125589286</v>
      </c>
      <c r="W18" s="74" t="s">
        <v>3</v>
      </c>
      <c r="X18" s="30" t="s">
        <v>3</v>
      </c>
    </row>
    <row r="19" spans="2:24" ht="15.75" thickBot="1" x14ac:dyDescent="0.3">
      <c r="B19" s="21">
        <v>2000</v>
      </c>
      <c r="C19" s="1">
        <v>300</v>
      </c>
      <c r="E19" s="21">
        <f>ROUND((B$19*C19),0)</f>
        <v>600000</v>
      </c>
      <c r="F19" s="21"/>
      <c r="G19" s="31">
        <f>ROUND($E19*$P$18*O$18/100+$E19*$P$19*O$19/100+$B$19*O$17+IF($B$19&lt;3001,$B$19*P$15+O$15,$B$19*P$16+O$16),2)+$R$24</f>
        <v>49892.99</v>
      </c>
      <c r="H19" s="31"/>
      <c r="I19" s="31">
        <f>ROUND($E19*$S$18*R$18/100+$E19*$S$19*R$19/100+$B$19*R$17+IF($B$19&lt;3001,$B$19*S$15+R$15,$B$19*S$16+R$16),2)+$R$25</f>
        <v>49256.99</v>
      </c>
      <c r="K19" s="23">
        <f>(I19-G19)/G19</f>
        <v>-1.2747281732363605E-2</v>
      </c>
      <c r="L19" s="23"/>
      <c r="M19" s="23"/>
      <c r="N19" s="114" t="s">
        <v>91</v>
      </c>
      <c r="O19" s="115">
        <v>4.37</v>
      </c>
      <c r="P19" s="116">
        <f>1-P18</f>
        <v>0.60655690437353871</v>
      </c>
      <c r="Q19" s="114" t="s">
        <v>91</v>
      </c>
      <c r="R19" s="115">
        <v>4.2640000000000002</v>
      </c>
      <c r="S19" s="116">
        <f>1-S18</f>
        <v>0.60655690437353871</v>
      </c>
      <c r="X19" s="30" t="s">
        <v>3</v>
      </c>
    </row>
    <row r="20" spans="2:24" x14ac:dyDescent="0.25">
      <c r="C20" s="1">
        <v>500</v>
      </c>
      <c r="E20" s="21">
        <f>ROUND((B$19*C20),0)</f>
        <v>1000000</v>
      </c>
      <c r="F20" s="21"/>
      <c r="G20" s="31">
        <f t="shared" ref="G20:G21" si="0">ROUND($E20*$P$18*O$18/100+$E20*$P$19*O$19/100+$B$19*O$17+IF($B$19&lt;3001,$B$19*P$15+O$15,$B$19*P$16+O$16),2)+$R$24</f>
        <v>68841.320000000007</v>
      </c>
      <c r="H20" s="31"/>
      <c r="I20" s="31">
        <f>ROUND($E20*$S$18*R$18/100+$E20*$S$19*R$19/100+$B$19*R$17+IF($B$19&lt;3001,$B$19*S$15+R$15,$B$19*S$16+R$16),2)+$R$25</f>
        <v>67781.320000000007</v>
      </c>
      <c r="K20" s="23">
        <f>(I20-G20)/G20</f>
        <v>-1.5397729154525216E-2</v>
      </c>
      <c r="L20" s="23"/>
      <c r="M20" s="23"/>
      <c r="P20" s="27" t="s">
        <v>18</v>
      </c>
      <c r="Q20" s="27"/>
      <c r="R20" s="26">
        <v>0.20300000000000001</v>
      </c>
      <c r="U20" s="74" t="s">
        <v>3</v>
      </c>
    </row>
    <row r="21" spans="2:24" x14ac:dyDescent="0.25">
      <c r="C21" s="1">
        <v>700</v>
      </c>
      <c r="E21" s="21">
        <f>ROUND((B$19*C21),0)</f>
        <v>1400000</v>
      </c>
      <c r="F21" s="21"/>
      <c r="G21" s="31">
        <f t="shared" si="0"/>
        <v>87789.65</v>
      </c>
      <c r="H21" s="31"/>
      <c r="I21" s="31">
        <f>ROUND($E21*$S$18*R$18/100+$E21*$S$19*R$19/100+$B$19*R$17+IF($B$19&lt;3001,$B$19*S$15+R$15,$B$19*S$16+R$16),2)+$R$25</f>
        <v>86305.65</v>
      </c>
      <c r="K21" s="23">
        <f>(I21-G21)/G21</f>
        <v>-1.6904042788643082E-2</v>
      </c>
      <c r="L21" s="23"/>
      <c r="M21" s="23"/>
      <c r="P21" s="27"/>
      <c r="Q21" s="27"/>
      <c r="R21" s="26">
        <v>0.20300000000000001</v>
      </c>
    </row>
    <row r="22" spans="2:24" x14ac:dyDescent="0.25">
      <c r="G22" s="31"/>
      <c r="H22" s="31"/>
      <c r="I22" s="31"/>
      <c r="K22" s="23"/>
      <c r="L22" s="23"/>
      <c r="M22" s="23"/>
      <c r="P22" s="27"/>
      <c r="Q22" s="27"/>
      <c r="R22" s="28"/>
    </row>
    <row r="23" spans="2:24" x14ac:dyDescent="0.25">
      <c r="B23" s="21">
        <v>4000</v>
      </c>
      <c r="C23" s="1">
        <v>300</v>
      </c>
      <c r="E23" s="21">
        <f>ROUND((B$23*C23),0)</f>
        <v>1200000</v>
      </c>
      <c r="F23" s="21"/>
      <c r="G23" s="31">
        <f>ROUND($E23*$P$18*O$18/100+$E23*$P$19*O$19/100+$B$23*O$17+IF($B$23&lt;3001,$B$23*P$15+O$15,$B$23*P$16+O$16),2)+$R$24</f>
        <v>97969.49</v>
      </c>
      <c r="H23" s="31"/>
      <c r="I23" s="31">
        <f>ROUND($E23*$S$18*R$18/100+$E23*$S$19*R$19/100+$B$23*R$17+IF($B$23&lt;3001,$B$23*S$15+R$15,$B$23*S$16+R$16),2)+$R$25</f>
        <v>96697.49</v>
      </c>
      <c r="K23" s="23">
        <f>(I23-G23)/G23</f>
        <v>-1.2983633986458437E-2</v>
      </c>
      <c r="L23" s="23"/>
      <c r="M23" s="23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25">
      <c r="C24" s="1">
        <v>500</v>
      </c>
      <c r="E24" s="21">
        <f>ROUND((B$23*C24),0)</f>
        <v>2000000</v>
      </c>
      <c r="F24" s="21"/>
      <c r="G24" s="31">
        <f t="shared" ref="G24:G25" si="1">ROUND($E24*$P$18*O$18/100+$E24*$P$19*O$19/100+$B$23*O$17+IF($B$23&lt;3001,$B$23*P$15+O$15,$B$23*P$16+O$16),2)+$R$24</f>
        <v>135866.15</v>
      </c>
      <c r="H24" s="31"/>
      <c r="I24" s="31">
        <f>ROUND($E24*$S$18*R$18/100+$E24*$S$19*R$19/100+$B$23*R$17+IF($B$23&lt;3001,$B$23*S$15+R$15,$B$23*S$16+R$16),2)+$R$25</f>
        <v>133746.15</v>
      </c>
      <c r="K24" s="23">
        <f>(I24-G24)/G24</f>
        <v>-1.5603592211893839E-2</v>
      </c>
      <c r="L24" s="23"/>
      <c r="M24" s="23"/>
      <c r="P24" s="1" t="s">
        <v>65</v>
      </c>
      <c r="R24" s="68">
        <v>257.5</v>
      </c>
      <c r="S24" s="1" t="s">
        <v>3</v>
      </c>
    </row>
    <row r="25" spans="2:24" x14ac:dyDescent="0.25">
      <c r="C25" s="1">
        <v>700</v>
      </c>
      <c r="E25" s="21">
        <f>ROUND((B$23*C25),0)</f>
        <v>2800000</v>
      </c>
      <c r="F25" s="21"/>
      <c r="G25" s="31">
        <f t="shared" si="1"/>
        <v>173762.81</v>
      </c>
      <c r="H25" s="31"/>
      <c r="I25" s="31">
        <f>ROUND($E25*$S$18*R$18/100+$E25*$S$19*R$19/100+$B$23*R$17+IF($B$23&lt;3001,$B$23*S$15+R$15,$B$23*S$16+R$16),2)+$R$25</f>
        <v>170794.81</v>
      </c>
      <c r="K25" s="23">
        <f>(I25-G25)/G25</f>
        <v>-1.7080755082172071E-2</v>
      </c>
      <c r="L25" s="23"/>
      <c r="M25" s="23"/>
      <c r="P25" s="1" t="s">
        <v>51</v>
      </c>
      <c r="R25" s="68">
        <f>R24</f>
        <v>257.5</v>
      </c>
    </row>
    <row r="26" spans="2:24" x14ac:dyDescent="0.25">
      <c r="G26" s="31"/>
      <c r="H26" s="31"/>
      <c r="I26" s="31"/>
      <c r="K26" s="23"/>
      <c r="L26" s="23"/>
      <c r="M26" s="23"/>
      <c r="X26" s="1" t="s">
        <v>3</v>
      </c>
    </row>
    <row r="27" spans="2:24" x14ac:dyDescent="0.25">
      <c r="B27" s="21">
        <v>6000</v>
      </c>
      <c r="C27" s="1">
        <v>300</v>
      </c>
      <c r="E27" s="21">
        <f>ROUND((B$27*C27),0)</f>
        <v>1800000</v>
      </c>
      <c r="F27" s="21"/>
      <c r="G27" s="31">
        <f>ROUND($E27*$P$18*O$18/100+$E27*$P$19*O$19/100+$B$27*O$17+IF($B$27&lt;3001,$B$27*P$15+O$15,$B$27*P$16+O$16),2)+$R$24</f>
        <v>146031.98000000001</v>
      </c>
      <c r="H27" s="31"/>
      <c r="I27" s="31">
        <f>ROUND($E27*$S$18*R$18/100+$E27*$S$19*R$19/100+$B$27*R$17+IF($B$27&lt;3001,$B$27*S$15+R$15,$B$27*S$16+R$16),2)+$R$25</f>
        <v>144123.98000000001</v>
      </c>
      <c r="K27" s="23">
        <f>(I27-G27)/G27</f>
        <v>-1.3065631240499512E-2</v>
      </c>
      <c r="L27" s="23"/>
      <c r="M27" s="23"/>
      <c r="P27" s="1" t="s">
        <v>22</v>
      </c>
      <c r="R27" s="30">
        <v>-0.20799999999999999</v>
      </c>
    </row>
    <row r="28" spans="2:24" x14ac:dyDescent="0.25">
      <c r="C28" s="1">
        <v>500</v>
      </c>
      <c r="E28" s="21">
        <f>ROUND((B$27*C28),0)</f>
        <v>3000000</v>
      </c>
      <c r="F28" s="21"/>
      <c r="G28" s="31">
        <f t="shared" ref="G28:G29" si="2">ROUND($E28*$P$18*O$18/100+$E28*$P$19*O$19/100+$B$27*O$17+IF($B$27&lt;3001,$B$27*P$15+O$15,$B$27*P$16+O$16),2)+$R$24</f>
        <v>202876.97</v>
      </c>
      <c r="H28" s="31"/>
      <c r="I28" s="31">
        <f>ROUND($E28*$S$18*R$18/100+$E28*$S$19*R$19/100+$B$27*R$17+IF($B$27&lt;3001,$B$27*S$15+R$15,$B$27*S$16+R$16),2)+$R$25</f>
        <v>199696.97</v>
      </c>
      <c r="K28" s="23">
        <f>(I28-G28)/G28</f>
        <v>-1.5674524318851961E-2</v>
      </c>
      <c r="L28" s="23"/>
      <c r="M28" s="23"/>
      <c r="P28" s="1" t="s">
        <v>23</v>
      </c>
      <c r="R28" s="30">
        <v>-0.20799999999999999</v>
      </c>
      <c r="W28" s="1" t="s">
        <v>3</v>
      </c>
    </row>
    <row r="29" spans="2:24" x14ac:dyDescent="0.25">
      <c r="C29" s="1">
        <v>700</v>
      </c>
      <c r="E29" s="21">
        <f>ROUND((B$27*C29),0)</f>
        <v>4200000</v>
      </c>
      <c r="F29" s="21"/>
      <c r="G29" s="31">
        <f t="shared" si="2"/>
        <v>259721.96</v>
      </c>
      <c r="H29" s="31"/>
      <c r="I29" s="31">
        <f>ROUND($E29*$S$18*R$18/100+$E29*$S$19*R$19/100+$B$27*R$17+IF($B$27&lt;3001,$B$27*S$15+R$15,$B$27*S$16+R$16),2)+$R$25</f>
        <v>255269.96</v>
      </c>
      <c r="K29" s="23">
        <f>(I29-G29)/G29</f>
        <v>-1.7141407680736739E-2</v>
      </c>
      <c r="L29" s="23"/>
      <c r="M29" s="23"/>
      <c r="R29" s="23"/>
    </row>
    <row r="30" spans="2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P30" s="1" t="s">
        <v>24</v>
      </c>
      <c r="R30" s="1">
        <v>-6.4000000000000001E-2</v>
      </c>
    </row>
    <row r="31" spans="2:24" x14ac:dyDescent="0.25">
      <c r="O31" s="31" t="s">
        <v>3</v>
      </c>
    </row>
    <row r="32" spans="2:24" x14ac:dyDescent="0.25">
      <c r="N32" s="73" t="s">
        <v>92</v>
      </c>
      <c r="O32" s="95">
        <v>-1.4411416883315887E-2</v>
      </c>
    </row>
    <row r="33" spans="2:17" x14ac:dyDescent="0.25">
      <c r="B33" s="1" t="s">
        <v>27</v>
      </c>
      <c r="N33" s="1" t="s">
        <v>3</v>
      </c>
    </row>
    <row r="34" spans="2:17" x14ac:dyDescent="0.25">
      <c r="B34" s="80" t="s">
        <v>52</v>
      </c>
    </row>
    <row r="35" spans="2:17" x14ac:dyDescent="0.25">
      <c r="B35" s="38"/>
    </row>
    <row r="36" spans="2:17" x14ac:dyDescent="0.25">
      <c r="B36" s="38"/>
    </row>
    <row r="37" spans="2:17" x14ac:dyDescent="0.25">
      <c r="B37" s="38"/>
    </row>
    <row r="38" spans="2:17" x14ac:dyDescent="0.25">
      <c r="B38" s="38"/>
    </row>
    <row r="39" spans="2:17" x14ac:dyDescent="0.25">
      <c r="B39" s="38"/>
    </row>
    <row r="40" spans="2:17" x14ac:dyDescent="0.25">
      <c r="B40" s="38"/>
    </row>
    <row r="41" spans="2:17" x14ac:dyDescent="0.25">
      <c r="B41" s="38"/>
    </row>
    <row r="42" spans="2:17" x14ac:dyDescent="0.25">
      <c r="B42" s="38"/>
    </row>
    <row r="43" spans="2:17" x14ac:dyDescent="0.25">
      <c r="B43" s="38"/>
    </row>
    <row r="44" spans="2:17" x14ac:dyDescent="0.25">
      <c r="B44" s="38"/>
    </row>
    <row r="45" spans="2:17" x14ac:dyDescent="0.25">
      <c r="B45" s="38"/>
    </row>
    <row r="46" spans="2:17" x14ac:dyDescent="0.25">
      <c r="B46" s="38"/>
    </row>
    <row r="48" spans="2:17" x14ac:dyDescent="0.25">
      <c r="Q48" s="31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15AC-7E08-4E2C-8CB0-62AAEB6866AD}">
  <sheetPr>
    <pageSetUpPr fitToPage="1"/>
  </sheetPr>
  <dimension ref="A2:X48"/>
  <sheetViews>
    <sheetView view="pageBreakPreview" zoomScale="60" zoomScaleNormal="100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9.75" style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2" width="3.625" style="1" customWidth="1"/>
    <col min="13" max="13" width="3.5" style="95" customWidth="1"/>
    <col min="14" max="14" width="16" style="1" customWidth="1"/>
    <col min="15" max="15" width="11" style="1" bestFit="1" customWidth="1"/>
    <col min="16" max="16" width="17.25" style="1" customWidth="1"/>
    <col min="17" max="17" width="10" style="1" customWidth="1"/>
    <col min="18" max="18" width="10.25" style="1" customWidth="1"/>
    <col min="19" max="19" width="7.375" style="1" customWidth="1"/>
    <col min="20" max="20" width="3.125" style="1" customWidth="1"/>
    <col min="21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8.75" x14ac:dyDescent="0.3"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8.75" x14ac:dyDescent="0.3">
      <c r="B6" s="2" t="s">
        <v>84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8.75" x14ac:dyDescent="0.3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 ht="18.75" x14ac:dyDescent="0.3">
      <c r="A8" s="46"/>
      <c r="B8" s="3"/>
      <c r="C8" s="3"/>
      <c r="D8" s="3"/>
      <c r="E8" s="3"/>
      <c r="F8" s="3"/>
      <c r="G8" s="3"/>
      <c r="H8" s="3"/>
      <c r="I8" s="3"/>
      <c r="J8" s="3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31</v>
      </c>
      <c r="G11" s="9" t="s">
        <v>32</v>
      </c>
      <c r="H11" s="9"/>
      <c r="I11" s="9"/>
    </row>
    <row r="12" spans="1:23" ht="15.75" thickBot="1" x14ac:dyDescent="0.3">
      <c r="B12" s="5" t="s">
        <v>34</v>
      </c>
      <c r="C12" s="5" t="s">
        <v>35</v>
      </c>
      <c r="G12" s="3" t="s">
        <v>9</v>
      </c>
      <c r="I12" s="3" t="s">
        <v>85</v>
      </c>
      <c r="K12" s="5" t="s">
        <v>33</v>
      </c>
      <c r="L12" s="3"/>
    </row>
    <row r="13" spans="1:23" x14ac:dyDescent="0.25">
      <c r="B13" s="8" t="s">
        <v>39</v>
      </c>
      <c r="C13" s="20" t="s">
        <v>40</v>
      </c>
      <c r="D13" s="16"/>
      <c r="E13" s="8" t="s">
        <v>8</v>
      </c>
      <c r="F13" s="16"/>
      <c r="G13" s="9" t="s">
        <v>86</v>
      </c>
      <c r="I13" s="9" t="s">
        <v>87</v>
      </c>
      <c r="K13" s="8" t="s">
        <v>38</v>
      </c>
      <c r="L13" s="3"/>
      <c r="N13" s="111" t="s">
        <v>6</v>
      </c>
      <c r="O13" s="85"/>
      <c r="P13" s="86"/>
      <c r="Q13" s="58"/>
      <c r="R13" s="85" t="s">
        <v>7</v>
      </c>
      <c r="S13" s="86"/>
    </row>
    <row r="14" spans="1:23" x14ac:dyDescent="0.25">
      <c r="G14" s="20"/>
      <c r="H14" s="16"/>
      <c r="I14" s="20"/>
      <c r="N14" s="60" t="s">
        <v>43</v>
      </c>
      <c r="P14" s="61"/>
      <c r="S14" s="61"/>
    </row>
    <row r="15" spans="1:23" x14ac:dyDescent="0.25">
      <c r="B15" s="21">
        <v>1000</v>
      </c>
      <c r="C15" s="1">
        <v>300</v>
      </c>
      <c r="E15" s="21">
        <f>ROUND((B$15*C15),0)</f>
        <v>300000</v>
      </c>
      <c r="F15" s="21"/>
      <c r="G15" s="31">
        <f>ROUND($E15*$P$18*O$18/100+$E15*$P$19*O$19/100+$B$15*O$17+IF($B$15&lt;3001,$B$15*P$15+O$15,$B$15*P$16+O$16),2)+$R$24</f>
        <v>25063.3</v>
      </c>
      <c r="H15" s="31"/>
      <c r="I15" s="31">
        <f>ROUND($E15*$S$18*R$18/100+$E15*$S$19*R$19/100+$B$15*R$17+IF($B$15&lt;3001,$B$15*S$15+R$15,$B$15*S$16+R$16),2)+$R$25</f>
        <v>24745.3</v>
      </c>
      <c r="K15" s="23">
        <f>(I15-G15)/G15</f>
        <v>-1.2687874302266661E-2</v>
      </c>
      <c r="L15" s="23"/>
      <c r="N15" s="60" t="s">
        <v>88</v>
      </c>
      <c r="O15" s="66">
        <v>1344</v>
      </c>
      <c r="P15" s="13">
        <v>0.61</v>
      </c>
      <c r="Q15" s="67"/>
      <c r="R15" s="66">
        <v>1344</v>
      </c>
      <c r="S15" s="13">
        <v>0.61</v>
      </c>
      <c r="W15" s="31" t="s">
        <v>3</v>
      </c>
    </row>
    <row r="16" spans="1:23" x14ac:dyDescent="0.25">
      <c r="C16" s="1">
        <v>500</v>
      </c>
      <c r="E16" s="21">
        <f>ROUND((B$15*C16),0)</f>
        <v>500000</v>
      </c>
      <c r="F16" s="21"/>
      <c r="G16" s="31">
        <f t="shared" ref="G16:G17" si="0">ROUND($E16*$P$18*O$18/100+$E16*$P$19*O$19/100+$B$15*O$17+IF($B$15&lt;3001,$B$15*P$15+O$15,$B$15*P$16+O$16),2)+$R$24</f>
        <v>34431.160000000003</v>
      </c>
      <c r="H16" s="31"/>
      <c r="I16" s="31">
        <f>ROUND($E16*$S$18*R$18/100+$E16*$S$19*R$19/100+$B$15*R$17+IF($B$15&lt;3001,$B$15*S$15+R$15,$B$15*S$16+R$16),2)+$R$25</f>
        <v>33901.160000000003</v>
      </c>
      <c r="K16" s="23">
        <f>(I16-G16)/G16</f>
        <v>-1.5393033519637443E-2</v>
      </c>
      <c r="L16" s="23"/>
      <c r="N16" s="60" t="s">
        <v>89</v>
      </c>
      <c r="O16" s="66">
        <v>1618</v>
      </c>
      <c r="P16" s="13">
        <v>0.5</v>
      </c>
      <c r="Q16" s="67"/>
      <c r="R16" s="66">
        <v>1618</v>
      </c>
      <c r="S16" s="13">
        <v>0.5</v>
      </c>
    </row>
    <row r="17" spans="2:24" x14ac:dyDescent="0.25">
      <c r="C17" s="1">
        <v>700</v>
      </c>
      <c r="E17" s="21">
        <f>ROUND((B$15*C17),0)</f>
        <v>700000</v>
      </c>
      <c r="F17" s="21"/>
      <c r="G17" s="31">
        <f t="shared" si="0"/>
        <v>43799.03</v>
      </c>
      <c r="H17" s="31"/>
      <c r="I17" s="31">
        <f>ROUND($E17*$S$18*R$18/100+$E17*$S$19*R$19/100+$B$15*R$17+IF($B$15&lt;3001,$B$15*S$15+R$15,$B$15*S$16+R$16),2)+$R$25</f>
        <v>43057.03</v>
      </c>
      <c r="K17" s="23">
        <f>(I17-G17)/G17</f>
        <v>-1.6941014447123603E-2</v>
      </c>
      <c r="L17" s="23"/>
      <c r="N17" s="60" t="s">
        <v>39</v>
      </c>
      <c r="O17" s="66">
        <v>8.8000000000000007</v>
      </c>
      <c r="P17" s="72"/>
      <c r="Q17" s="67"/>
      <c r="R17" s="66">
        <v>8.8000000000000007</v>
      </c>
      <c r="S17" s="72"/>
      <c r="U17" s="19">
        <f>(R17-O17)/O17</f>
        <v>0</v>
      </c>
      <c r="W17" s="1">
        <v>9.08</v>
      </c>
      <c r="X17" s="1" t="s">
        <v>94</v>
      </c>
    </row>
    <row r="18" spans="2:24" x14ac:dyDescent="0.25">
      <c r="G18" s="31"/>
      <c r="H18" s="31"/>
      <c r="I18" s="31"/>
      <c r="K18" s="23"/>
      <c r="L18" s="23"/>
      <c r="N18" s="112" t="s">
        <v>90</v>
      </c>
      <c r="O18" s="74">
        <v>5.2430000000000003</v>
      </c>
      <c r="P18" s="113">
        <v>0.40078497262736629</v>
      </c>
      <c r="Q18" s="67" t="s">
        <v>90</v>
      </c>
      <c r="R18" s="74">
        <v>5.1370000000000005</v>
      </c>
      <c r="S18" s="113">
        <v>0.40078497262736629</v>
      </c>
      <c r="U18" s="19">
        <v>-0.96128170894526033</v>
      </c>
      <c r="W18" s="74" t="s">
        <v>3</v>
      </c>
      <c r="X18" s="30" t="s">
        <v>3</v>
      </c>
    </row>
    <row r="19" spans="2:24" ht="15.75" thickBot="1" x14ac:dyDescent="0.3">
      <c r="B19" s="21">
        <v>2000</v>
      </c>
      <c r="C19" s="1">
        <v>300</v>
      </c>
      <c r="E19" s="21">
        <f>ROUND((B$19*C19),0)</f>
        <v>600000</v>
      </c>
      <c r="F19" s="21"/>
      <c r="G19" s="31">
        <f>ROUND($E19*$P$18*O$18/100+$E19*$P$19*O$19/100+$B$19*O$17+IF($B$19&lt;3001,$B$19*P$15+O$15,$B$19*P$16+O$16),2)+$R$24</f>
        <v>48525.09</v>
      </c>
      <c r="H19" s="31"/>
      <c r="I19" s="31">
        <f>ROUND($E19*$S$18*R$18/100+$E19*$S$19*R$19/100+$B$19*R$17+IF($B$19&lt;3001,$B$19*S$15+R$15,$B$19*S$16+R$16),2)+$R$25</f>
        <v>47889.09</v>
      </c>
      <c r="K19" s="23">
        <f>(I19-G19)/G19</f>
        <v>-1.3106621749696911E-2</v>
      </c>
      <c r="L19" s="23"/>
      <c r="N19" s="114" t="s">
        <v>91</v>
      </c>
      <c r="O19" s="115">
        <v>4.3100000000000005</v>
      </c>
      <c r="P19" s="116">
        <f>1-P18</f>
        <v>0.59921502737263377</v>
      </c>
      <c r="Q19" s="114" t="s">
        <v>91</v>
      </c>
      <c r="R19" s="115">
        <v>4.2039999999999997</v>
      </c>
      <c r="S19" s="116">
        <f>1-S18</f>
        <v>0.59921502737263377</v>
      </c>
      <c r="X19" s="30" t="s">
        <v>3</v>
      </c>
    </row>
    <row r="20" spans="2:24" x14ac:dyDescent="0.25">
      <c r="C20" s="1">
        <v>500</v>
      </c>
      <c r="E20" s="21">
        <f>ROUND((B$19*C20),0)</f>
        <v>1000000</v>
      </c>
      <c r="F20" s="21"/>
      <c r="G20" s="31">
        <f>ROUND($E20*$P$18*O$18/100+$E20*$P$19*O$19/100+$B$19*O$17+IF($B$19&lt;3001,$B$19*P$15+O$15,$B$19*P$16+O$16),2)+$R$24</f>
        <v>67260.820000000007</v>
      </c>
      <c r="H20" s="31"/>
      <c r="I20" s="31">
        <f>ROUND($E20*$S$18*R$18/100+$E20*$S$19*R$19/100+$B$19*R$17+IF($B$19&lt;3001,$B$19*S$15+R$15,$B$19*S$16+R$16),2)+$R$25</f>
        <v>66200.820000000007</v>
      </c>
      <c r="K20" s="23">
        <f>(I20-G20)/G20</f>
        <v>-1.5759546196433525E-2</v>
      </c>
      <c r="L20" s="23"/>
      <c r="P20" s="27" t="s">
        <v>18</v>
      </c>
      <c r="Q20" s="27"/>
      <c r="R20" s="26">
        <v>0.20300000000000001</v>
      </c>
      <c r="U20" s="74" t="s">
        <v>3</v>
      </c>
    </row>
    <row r="21" spans="2:24" x14ac:dyDescent="0.25">
      <c r="C21" s="1">
        <v>700</v>
      </c>
      <c r="E21" s="21">
        <f>ROUND((B$19*C21),0)</f>
        <v>1400000</v>
      </c>
      <c r="F21" s="21"/>
      <c r="G21" s="31">
        <f>ROUND($E21*$P$18*O$18/100+$E21*$P$19*O$19/100+$B$19*O$17+IF($B$19&lt;3001,$B$19*P$15+O$15,$B$19*P$16+O$16),2)+$R$24</f>
        <v>85996.55</v>
      </c>
      <c r="H21" s="31"/>
      <c r="I21" s="31">
        <f>ROUND($E21*$S$18*R$18/100+$E21*$S$19*R$19/100+$B$19*R$17+IF($B$19&lt;3001,$B$19*S$15+R$15,$B$19*S$16+R$16),2)+$R$25</f>
        <v>84512.55</v>
      </c>
      <c r="K21" s="23">
        <f>(I21-G21)/G21</f>
        <v>-1.7256506220307676E-2</v>
      </c>
      <c r="L21" s="23"/>
      <c r="P21" s="27"/>
      <c r="Q21" s="27"/>
      <c r="R21" s="26">
        <v>0.20300000000000001</v>
      </c>
    </row>
    <row r="22" spans="2:24" x14ac:dyDescent="0.25">
      <c r="G22" s="31"/>
      <c r="H22" s="31"/>
      <c r="I22" s="31"/>
      <c r="K22" s="23"/>
      <c r="L22" s="23"/>
      <c r="P22" s="27"/>
      <c r="Q22" s="27"/>
      <c r="R22" s="28"/>
    </row>
    <row r="23" spans="2:24" x14ac:dyDescent="0.25">
      <c r="B23" s="21">
        <v>4000</v>
      </c>
      <c r="C23" s="1">
        <v>300</v>
      </c>
      <c r="E23" s="21">
        <f>ROUND((B$23*C23),0)</f>
        <v>1200000</v>
      </c>
      <c r="F23" s="21"/>
      <c r="G23" s="31">
        <f>ROUND($E23*$P$18*O$18/100+$E23*$P$19*O$19/100+$B$23*O$17+IF($B$23&lt;3001,$B$23*P$15+O$15,$B$23*P$16+O$16),2)+$R$24</f>
        <v>95282.69</v>
      </c>
      <c r="H23" s="31"/>
      <c r="I23" s="31">
        <f>ROUND($E23*$S$18*R$18/100+$E23*$S$19*R$19/100+$B$23*R$17+IF($B$23&lt;3001,$B$23*S$15+R$15,$B$23*S$16+R$16),2)+$R$25</f>
        <v>94010.69</v>
      </c>
      <c r="K23" s="23">
        <f>(I23-G23)/G23</f>
        <v>-1.3349749046757601E-2</v>
      </c>
      <c r="L23" s="23"/>
      <c r="P23" s="1" t="s">
        <v>3</v>
      </c>
      <c r="Q23" s="1" t="s">
        <v>3</v>
      </c>
      <c r="R23" s="1" t="s">
        <v>3</v>
      </c>
      <c r="U23" s="1" t="s">
        <v>3</v>
      </c>
    </row>
    <row r="24" spans="2:24" x14ac:dyDescent="0.25">
      <c r="C24" s="1">
        <v>500</v>
      </c>
      <c r="E24" s="21">
        <f>ROUND((B$23*C24),0)</f>
        <v>2000000</v>
      </c>
      <c r="F24" s="21"/>
      <c r="G24" s="31">
        <f>ROUND($E24*$P$18*O$18/100+$E24*$P$19*O$19/100+$B$23*O$17+IF($B$23&lt;3001,$B$23*P$15+O$15,$B$23*P$16+O$16),2)+$R$24</f>
        <v>132754.15</v>
      </c>
      <c r="H24" s="31"/>
      <c r="I24" s="31">
        <f>ROUND($E24*$S$18*R$18/100+$E24*$S$19*R$19/100+$B$23*R$17+IF($B$23&lt;3001,$B$23*S$15+R$15,$B$23*S$16+R$16),2)+$R$25</f>
        <v>130634.15</v>
      </c>
      <c r="K24" s="23">
        <f>(I24-G24)/G24</f>
        <v>-1.5969368942515168E-2</v>
      </c>
      <c r="L24" s="23"/>
      <c r="P24" s="1" t="s">
        <v>65</v>
      </c>
      <c r="R24" s="68">
        <v>257.5</v>
      </c>
      <c r="S24" s="1" t="s">
        <v>3</v>
      </c>
    </row>
    <row r="25" spans="2:24" x14ac:dyDescent="0.25">
      <c r="C25" s="1">
        <v>700</v>
      </c>
      <c r="E25" s="21">
        <f>ROUND((B$23*C25),0)</f>
        <v>2800000</v>
      </c>
      <c r="F25" s="21"/>
      <c r="G25" s="31">
        <f>ROUND($E25*$P$18*O$18/100+$E25*$P$19*O$19/100+$B$23*O$17+IF($B$23&lt;3001,$B$23*P$15+O$15,$B$23*P$16+O$16),2)+$R$24</f>
        <v>170225.61</v>
      </c>
      <c r="H25" s="31"/>
      <c r="I25" s="31">
        <f>ROUND($E25*$S$18*R$18/100+$E25*$S$19*R$19/100+$B$23*R$17+IF($B$23&lt;3001,$B$23*S$15+R$15,$B$23*S$16+R$16),2)+$R$25</f>
        <v>167257.60999999999</v>
      </c>
      <c r="K25" s="23">
        <f>(I25-G25)/G25</f>
        <v>-1.7435684325055437E-2</v>
      </c>
      <c r="L25" s="23"/>
      <c r="P25" s="1" t="s">
        <v>51</v>
      </c>
      <c r="R25" s="68">
        <f>R24</f>
        <v>257.5</v>
      </c>
    </row>
    <row r="26" spans="2:24" x14ac:dyDescent="0.25">
      <c r="G26" s="31"/>
      <c r="H26" s="31"/>
      <c r="I26" s="31"/>
      <c r="K26" s="23"/>
      <c r="L26" s="23"/>
      <c r="X26" s="1" t="s">
        <v>3</v>
      </c>
    </row>
    <row r="27" spans="2:24" x14ac:dyDescent="0.25">
      <c r="B27" s="21">
        <v>6000</v>
      </c>
      <c r="C27" s="1">
        <v>300</v>
      </c>
      <c r="E27" s="21">
        <f>ROUND((B$27*C27),0)</f>
        <v>1800000</v>
      </c>
      <c r="F27" s="21"/>
      <c r="G27" s="31">
        <f>ROUND($E27*$P$18*O$18/100+$E27*$P$19*O$19/100+$B$27*O$17+IF($B$27&lt;3001,$B$27*P$15+O$15,$B$27*P$16+O$16),2)+$R$24</f>
        <v>141986.28</v>
      </c>
      <c r="H27" s="31"/>
      <c r="I27" s="31">
        <f>ROUND($E27*$S$18*R$18/100+$E27*$S$19*R$19/100+$B$27*R$17+IF($B$27&lt;3001,$B$27*S$15+R$15,$B$27*S$16+R$16),2)+$R$25</f>
        <v>140078.28</v>
      </c>
      <c r="K27" s="23">
        <f>(I27-G27)/G27</f>
        <v>-1.3437918086170016E-2</v>
      </c>
      <c r="L27" s="23"/>
      <c r="P27" s="1" t="s">
        <v>23</v>
      </c>
      <c r="R27" s="30">
        <v>-0.20799999999999999</v>
      </c>
    </row>
    <row r="28" spans="2:24" x14ac:dyDescent="0.25">
      <c r="C28" s="1">
        <v>500</v>
      </c>
      <c r="E28" s="21">
        <f>ROUND((B$27*C28),0)</f>
        <v>3000000</v>
      </c>
      <c r="F28" s="21"/>
      <c r="G28" s="31">
        <f>ROUND($E28*$P$18*O$18/100+$E28*$P$19*O$19/100+$B$27*O$17+IF($B$27&lt;3001,$B$27*P$15+O$15,$B$27*P$16+O$16),2)+$R$24</f>
        <v>198193.47</v>
      </c>
      <c r="H28" s="31"/>
      <c r="I28" s="31">
        <f>ROUND($E28*$S$18*R$18/100+$E28*$S$19*R$19/100+$B$27*R$17+IF($B$27&lt;3001,$B$27*S$15+R$15,$B$27*S$16+R$16),2)+$R$25</f>
        <v>195013.47</v>
      </c>
      <c r="K28" s="23">
        <f>(I28-G28)/G28</f>
        <v>-1.6044928220894462E-2</v>
      </c>
      <c r="L28" s="23"/>
      <c r="P28" s="1" t="s">
        <v>23</v>
      </c>
      <c r="R28" s="30">
        <v>-0.20799999999999999</v>
      </c>
      <c r="W28" s="1" t="s">
        <v>3</v>
      </c>
    </row>
    <row r="29" spans="2:24" x14ac:dyDescent="0.25">
      <c r="C29" s="1">
        <v>700</v>
      </c>
      <c r="E29" s="21">
        <f>ROUND((B$27*C29),0)</f>
        <v>4200000</v>
      </c>
      <c r="F29" s="21"/>
      <c r="G29" s="31">
        <f>ROUND($E29*$P$18*O$18/100+$E29*$P$19*O$19/100+$B$27*O$17+IF($B$27&lt;3001,$B$27*P$15+O$15,$B$27*P$16+O$16),2)+$R$24</f>
        <v>254400.66</v>
      </c>
      <c r="H29" s="31"/>
      <c r="I29" s="31">
        <f>ROUND($E29*$S$18*R$18/100+$E29*$S$19*R$19/100+$B$27*R$17+IF($B$27&lt;3001,$B$27*S$15+R$15,$B$27*S$16+R$16),2)+$R$25</f>
        <v>249948.66</v>
      </c>
      <c r="K29" s="23">
        <f>(I29-G29)/G29</f>
        <v>-1.7499954599174389E-2</v>
      </c>
      <c r="L29" s="23"/>
      <c r="R29" s="23"/>
    </row>
    <row r="30" spans="2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P30" s="1" t="s">
        <v>24</v>
      </c>
      <c r="R30" s="1">
        <v>-6.4000000000000001E-2</v>
      </c>
    </row>
    <row r="32" spans="2:24" x14ac:dyDescent="0.25">
      <c r="N32" s="73" t="s">
        <v>92</v>
      </c>
      <c r="O32" s="95">
        <v>-1.4411416883315887E-2</v>
      </c>
    </row>
    <row r="33" spans="2:17" x14ac:dyDescent="0.25">
      <c r="B33" s="1" t="s">
        <v>27</v>
      </c>
      <c r="N33" s="1" t="s">
        <v>3</v>
      </c>
    </row>
    <row r="34" spans="2:17" x14ac:dyDescent="0.25">
      <c r="B34" s="80" t="s">
        <v>52</v>
      </c>
    </row>
    <row r="35" spans="2:17" x14ac:dyDescent="0.25">
      <c r="B35" s="38"/>
    </row>
    <row r="36" spans="2:17" x14ac:dyDescent="0.25">
      <c r="B36" s="38"/>
    </row>
    <row r="37" spans="2:17" x14ac:dyDescent="0.25">
      <c r="B37" s="38"/>
    </row>
    <row r="38" spans="2:17" x14ac:dyDescent="0.25">
      <c r="B38" s="38"/>
    </row>
    <row r="39" spans="2:17" x14ac:dyDescent="0.25">
      <c r="B39" s="38"/>
    </row>
    <row r="40" spans="2:17" x14ac:dyDescent="0.25">
      <c r="B40" s="38"/>
    </row>
    <row r="41" spans="2:17" x14ac:dyDescent="0.25">
      <c r="B41" s="38"/>
    </row>
    <row r="42" spans="2:17" x14ac:dyDescent="0.25">
      <c r="B42" s="38"/>
    </row>
    <row r="43" spans="2:17" x14ac:dyDescent="0.25">
      <c r="B43" s="38"/>
    </row>
    <row r="44" spans="2:17" x14ac:dyDescent="0.25">
      <c r="B44" s="38"/>
    </row>
    <row r="45" spans="2:17" x14ac:dyDescent="0.25">
      <c r="B45" s="38"/>
    </row>
    <row r="46" spans="2:17" x14ac:dyDescent="0.25">
      <c r="B46" s="38"/>
    </row>
    <row r="48" spans="2:17" x14ac:dyDescent="0.25">
      <c r="Q48" s="31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B89A5-6536-4B82-9C0B-E826F49045EF}">
  <sheetPr>
    <pageSetUpPr fitToPage="1"/>
  </sheetPr>
  <dimension ref="A2:W49"/>
  <sheetViews>
    <sheetView view="pageBreakPreview" zoomScale="60" zoomScaleNormal="100" workbookViewId="0"/>
  </sheetViews>
  <sheetFormatPr defaultColWidth="8.5" defaultRowHeight="15" x14ac:dyDescent="0.25"/>
  <cols>
    <col min="1" max="1" width="2" style="1" customWidth="1"/>
    <col min="2" max="2" width="8.5" style="1"/>
    <col min="3" max="3" width="8.5" style="1" hidden="1" customWidth="1"/>
    <col min="4" max="4" width="3.25" style="1" customWidth="1"/>
    <col min="5" max="5" width="10.75" style="1" bestFit="1" customWidth="1"/>
    <col min="6" max="6" width="3.75" style="1" customWidth="1"/>
    <col min="7" max="7" width="19.875" style="1" customWidth="1"/>
    <col min="8" max="8" width="3.5" style="1" customWidth="1"/>
    <col min="9" max="9" width="19.5" style="1" customWidth="1"/>
    <col min="10" max="10" width="2.875" style="1" customWidth="1"/>
    <col min="11" max="11" width="12.125" style="1" customWidth="1"/>
    <col min="12" max="12" width="3.25" style="1" customWidth="1"/>
    <col min="13" max="13" width="3.5" style="95" customWidth="1"/>
    <col min="14" max="14" width="15.125" style="1" customWidth="1"/>
    <col min="15" max="15" width="12.25" style="1" customWidth="1"/>
    <col min="16" max="16" width="20.375" style="1" customWidth="1"/>
    <col min="17" max="17" width="2.5" style="1" customWidth="1"/>
    <col min="18" max="18" width="8.25" style="1" customWidth="1"/>
    <col min="19" max="19" width="10.375" style="1" bestFit="1" customWidth="1"/>
    <col min="20" max="20" width="8.625" style="1" bestFit="1" customWidth="1"/>
    <col min="21" max="21" width="2.5" style="1" customWidth="1"/>
    <col min="22" max="16384" width="8.5" style="1"/>
  </cols>
  <sheetData>
    <row r="2" spans="1:23" ht="18.75" x14ac:dyDescent="0.3">
      <c r="C2" s="3"/>
      <c r="D2" s="3"/>
      <c r="E2" s="3"/>
      <c r="F2" s="3"/>
      <c r="G2" s="3"/>
      <c r="H2" s="3"/>
      <c r="I2" s="3"/>
      <c r="J2" s="2" t="s">
        <v>3</v>
      </c>
      <c r="K2" s="46"/>
      <c r="L2" s="46"/>
    </row>
    <row r="3" spans="1:23" ht="18.75" x14ac:dyDescent="0.3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8.75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18.75" x14ac:dyDescent="0.3"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ht="18.75" x14ac:dyDescent="0.3">
      <c r="B6" s="2" t="s">
        <v>95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23" ht="18.75" x14ac:dyDescent="0.3">
      <c r="B7" s="2" t="s">
        <v>96</v>
      </c>
      <c r="C7" s="2"/>
      <c r="D7" s="2"/>
      <c r="E7" s="2"/>
      <c r="F7" s="2"/>
      <c r="G7" s="2"/>
      <c r="H7" s="2"/>
      <c r="I7" s="2"/>
      <c r="J7" s="2"/>
      <c r="K7" s="2"/>
      <c r="L7" s="2"/>
      <c r="W7" s="1" t="s">
        <v>3</v>
      </c>
    </row>
    <row r="8" spans="1:23" ht="18.75" x14ac:dyDescent="0.3">
      <c r="A8" s="46"/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3" ht="18.75" x14ac:dyDescent="0.3">
      <c r="A9" s="46"/>
      <c r="B9" s="3"/>
      <c r="C9" s="3"/>
      <c r="D9" s="3"/>
      <c r="E9" s="3"/>
      <c r="F9" s="3"/>
      <c r="G9" s="3"/>
      <c r="H9" s="3"/>
      <c r="I9" s="3"/>
      <c r="J9" s="3"/>
    </row>
    <row r="11" spans="1:23" x14ac:dyDescent="0.25">
      <c r="B11" s="5" t="s">
        <v>31</v>
      </c>
      <c r="G11" s="9" t="s">
        <v>32</v>
      </c>
      <c r="H11" s="9"/>
      <c r="I11" s="9"/>
    </row>
    <row r="12" spans="1:23" ht="15.75" thickBot="1" x14ac:dyDescent="0.3">
      <c r="B12" s="5" t="s">
        <v>34</v>
      </c>
      <c r="C12" s="5" t="s">
        <v>35</v>
      </c>
      <c r="G12" s="3" t="s">
        <v>9</v>
      </c>
      <c r="I12" s="3" t="s">
        <v>85</v>
      </c>
      <c r="K12" s="5" t="s">
        <v>33</v>
      </c>
      <c r="L12" s="3"/>
    </row>
    <row r="13" spans="1:23" x14ac:dyDescent="0.25">
      <c r="B13" s="8" t="s">
        <v>39</v>
      </c>
      <c r="C13" s="20" t="s">
        <v>40</v>
      </c>
      <c r="D13" s="16"/>
      <c r="E13" s="8" t="s">
        <v>8</v>
      </c>
      <c r="F13" s="16"/>
      <c r="G13" s="9" t="s">
        <v>86</v>
      </c>
      <c r="I13" s="9" t="s">
        <v>87</v>
      </c>
      <c r="K13" s="8" t="s">
        <v>38</v>
      </c>
      <c r="L13" s="3"/>
      <c r="N13" s="111" t="s">
        <v>6</v>
      </c>
      <c r="O13" s="85"/>
      <c r="P13" s="86"/>
      <c r="Q13" s="58"/>
      <c r="R13" s="58"/>
      <c r="S13" s="85" t="s">
        <v>7</v>
      </c>
      <c r="T13" s="86"/>
    </row>
    <row r="14" spans="1:23" x14ac:dyDescent="0.25">
      <c r="G14" s="20"/>
      <c r="H14" s="16"/>
      <c r="I14" s="20"/>
      <c r="N14" s="60" t="s">
        <v>43</v>
      </c>
      <c r="P14" s="61"/>
      <c r="T14" s="61"/>
    </row>
    <row r="15" spans="1:23" x14ac:dyDescent="0.25">
      <c r="B15" s="21">
        <v>30000</v>
      </c>
      <c r="C15" s="1">
        <v>300</v>
      </c>
      <c r="E15" s="21">
        <f>ROUND((B$15*C15),0)</f>
        <v>9000000</v>
      </c>
      <c r="F15" s="21"/>
      <c r="G15" s="31">
        <f>ROUND($E15*$P$18*O$18/100+$E15*$P$19*O$19/100+$B$15*O$17+$B$15*P$16+O$16,2)+$S$24</f>
        <v>693366.58</v>
      </c>
      <c r="H15" s="31"/>
      <c r="I15" s="31">
        <f>ROUND($E15*$T$18*S$18/100+$E15*$T$19*S$19/100+$B$15*S$17+$B$15*T$16+S$16,2)+$S$25</f>
        <v>685536.58</v>
      </c>
      <c r="K15" s="23">
        <f>(I15-G15)/G15</f>
        <v>-1.129272772275814E-2</v>
      </c>
      <c r="L15" s="23"/>
      <c r="N15" s="60" t="s">
        <v>3</v>
      </c>
      <c r="O15" s="66" t="s">
        <v>3</v>
      </c>
      <c r="P15" s="13" t="s">
        <v>3</v>
      </c>
      <c r="Q15" s="67"/>
      <c r="R15" s="1" t="s">
        <v>3</v>
      </c>
      <c r="S15" s="66" t="s">
        <v>3</v>
      </c>
      <c r="T15" s="13" t="s">
        <v>3</v>
      </c>
    </row>
    <row r="16" spans="1:23" x14ac:dyDescent="0.25">
      <c r="C16" s="1">
        <v>500</v>
      </c>
      <c r="E16" s="21">
        <f>ROUND((B$15*C16),0)</f>
        <v>15000000</v>
      </c>
      <c r="F16" s="21"/>
      <c r="G16" s="31">
        <f t="shared" ref="G16:G17" si="0">ROUND($E16*$P$18*O$18/100+$E16*$P$19*O$19/100+$B$15*O$17+$B$15*P$16+O$16,2)+$S$24</f>
        <v>969639.96</v>
      </c>
      <c r="H16" s="31"/>
      <c r="I16" s="31">
        <f>ROUND($E16*$T$18*S$18/100+$E16*$T$19*S$19/100+$B$15*S$17+$B$15*T$16+S$16,2)+$S$25</f>
        <v>956589.96</v>
      </c>
      <c r="K16" s="23">
        <f>(I16-G16)/G16</f>
        <v>-1.3458603748137609E-2</v>
      </c>
      <c r="L16" s="23"/>
      <c r="N16" s="60" t="s">
        <v>97</v>
      </c>
      <c r="O16" s="66">
        <v>2999</v>
      </c>
      <c r="P16" s="13">
        <v>0.26</v>
      </c>
      <c r="Q16" s="67"/>
      <c r="R16" s="1" t="s">
        <v>97</v>
      </c>
      <c r="S16" s="66">
        <v>2999</v>
      </c>
      <c r="T16" s="13">
        <v>0.26</v>
      </c>
    </row>
    <row r="17" spans="2:22" x14ac:dyDescent="0.25">
      <c r="C17" s="1">
        <v>700</v>
      </c>
      <c r="E17" s="21">
        <f>ROUND((B$15*C17),0)</f>
        <v>21000000</v>
      </c>
      <c r="F17" s="21"/>
      <c r="G17" s="31">
        <f t="shared" si="0"/>
        <v>1245913.3400000001</v>
      </c>
      <c r="H17" s="31"/>
      <c r="I17" s="31">
        <f>ROUND($E17*$T$18*S$18/100+$E17*$T$19*S$19/100+$B$15*S$17+$B$15*T$16+S$16,2)+$S$25</f>
        <v>1227643.3400000001</v>
      </c>
      <c r="K17" s="23">
        <f>(I17-G17)/G17</f>
        <v>-1.4663941233665576E-2</v>
      </c>
      <c r="L17" s="23"/>
      <c r="N17" s="60" t="s">
        <v>39</v>
      </c>
      <c r="O17" s="66">
        <v>8.93</v>
      </c>
      <c r="P17" s="72"/>
      <c r="Q17" s="67"/>
      <c r="R17" s="67"/>
      <c r="S17" s="66">
        <v>8.93</v>
      </c>
      <c r="T17" s="72"/>
      <c r="V17" s="19">
        <f>(S17-O17)/O17</f>
        <v>0</v>
      </c>
    </row>
    <row r="18" spans="2:22" x14ac:dyDescent="0.25">
      <c r="G18" s="31"/>
      <c r="H18" s="31"/>
      <c r="I18" s="31"/>
      <c r="K18" s="23"/>
      <c r="L18" s="23"/>
      <c r="N18" s="112" t="s">
        <v>90</v>
      </c>
      <c r="O18" s="74">
        <v>5.1749999999999998</v>
      </c>
      <c r="P18" s="113">
        <v>0.38859207013266178</v>
      </c>
      <c r="Q18" s="67"/>
      <c r="R18" s="67" t="s">
        <v>90</v>
      </c>
      <c r="S18" s="74">
        <v>5.0880000000000001</v>
      </c>
      <c r="T18" s="113">
        <v>0.38859207013266178</v>
      </c>
      <c r="V18" s="19">
        <v>-0.96077294685990333</v>
      </c>
    </row>
    <row r="19" spans="2:22" ht="15.75" thickBot="1" x14ac:dyDescent="0.3">
      <c r="B19" s="21">
        <v>40000</v>
      </c>
      <c r="C19" s="1">
        <v>300</v>
      </c>
      <c r="E19" s="21">
        <f>ROUND((B$19*C19),0)</f>
        <v>12000000</v>
      </c>
      <c r="F19" s="21"/>
      <c r="G19" s="31">
        <f>ROUND($E19*$P$18*O$18/100+$E19*$P$19*O$19/100+$B$19*O$17+$B$19*P$16+O$16,2)+$S$24</f>
        <v>923403.27</v>
      </c>
      <c r="H19" s="31"/>
      <c r="I19" s="31">
        <f>ROUND($E19*$T$18*S$18/100+$E19*$T$19*S$19/100+$B$19*S$17+$B$19*T$16+S$16,2)+$S$25</f>
        <v>912963.27</v>
      </c>
      <c r="K19" s="23">
        <f>(I19-G19)/G19</f>
        <v>-1.1306002847488292E-2</v>
      </c>
      <c r="L19" s="23"/>
      <c r="N19" s="114" t="s">
        <v>91</v>
      </c>
      <c r="O19" s="115">
        <v>4.242</v>
      </c>
      <c r="P19" s="116">
        <f>1-P18</f>
        <v>0.61140792986733827</v>
      </c>
      <c r="Q19" s="76"/>
      <c r="R19" s="117" t="s">
        <v>91</v>
      </c>
      <c r="S19" s="115">
        <v>4.1550000000000002</v>
      </c>
      <c r="T19" s="116">
        <f>1-T18</f>
        <v>0.61140792986733827</v>
      </c>
    </row>
    <row r="20" spans="2:22" x14ac:dyDescent="0.25">
      <c r="C20" s="1">
        <v>500</v>
      </c>
      <c r="E20" s="21">
        <f>ROUND((B$19*C20),0)</f>
        <v>20000000</v>
      </c>
      <c r="F20" s="21"/>
      <c r="G20" s="31">
        <f t="shared" ref="G20:G21" si="1">ROUND($E20*$P$18*O$18/100+$E20*$P$19*O$19/100+$B$19*O$17+$B$19*P$16+O$16,2)+$S$24</f>
        <v>1291767.78</v>
      </c>
      <c r="H20" s="31"/>
      <c r="I20" s="31">
        <f>ROUND($E20*$T$18*S$18/100+$E20*$T$19*S$19/100+$B$19*S$17+$B$19*T$16+S$16,2)+$S$25</f>
        <v>1274367.78</v>
      </c>
      <c r="K20" s="23">
        <f>(I20-G20)/G20</f>
        <v>-1.3469913299741846E-2</v>
      </c>
      <c r="L20" s="23"/>
      <c r="P20" s="27" t="s">
        <v>18</v>
      </c>
      <c r="Q20" s="27"/>
      <c r="R20" s="27"/>
      <c r="S20" s="26">
        <v>0.20300000000000001</v>
      </c>
    </row>
    <row r="21" spans="2:22" x14ac:dyDescent="0.25">
      <c r="C21" s="1">
        <v>700</v>
      </c>
      <c r="E21" s="21">
        <f>ROUND((B$19*C21),0)</f>
        <v>28000000</v>
      </c>
      <c r="F21" s="21"/>
      <c r="G21" s="31">
        <f t="shared" si="1"/>
        <v>1660132.29</v>
      </c>
      <c r="H21" s="31"/>
      <c r="I21" s="31">
        <f>ROUND($E21*$T$18*S$18/100+$E21*$T$19*S$19/100+$B$19*S$17+$B$19*T$16+S$16,2)+$S$25</f>
        <v>1635772.29</v>
      </c>
      <c r="K21" s="23">
        <f>(I21-G21)/G21</f>
        <v>-1.4673529420959579E-2</v>
      </c>
      <c r="L21" s="23"/>
      <c r="P21" s="27"/>
      <c r="Q21" s="27"/>
      <c r="R21" s="27"/>
      <c r="S21" s="26">
        <v>0.20300000000000001</v>
      </c>
    </row>
    <row r="22" spans="2:22" x14ac:dyDescent="0.25">
      <c r="G22" s="31"/>
      <c r="H22" s="31"/>
      <c r="I22" s="31"/>
      <c r="K22" s="23"/>
      <c r="L22" s="23"/>
      <c r="P22" s="27"/>
      <c r="Q22" s="27"/>
      <c r="R22" s="27"/>
      <c r="S22" s="28"/>
    </row>
    <row r="23" spans="2:22" x14ac:dyDescent="0.25">
      <c r="B23" s="21">
        <v>50000</v>
      </c>
      <c r="C23" s="1">
        <v>300</v>
      </c>
      <c r="E23" s="21">
        <f>ROUND((B$23*C23),0)</f>
        <v>15000000</v>
      </c>
      <c r="F23" s="21"/>
      <c r="G23" s="31">
        <f>ROUND($E23*$P$18*O$18/100+$E23*$P$19*O$19/100+$B$23*O$17+$B$23*P$16+O$16,2)+$S$24</f>
        <v>1153439.96</v>
      </c>
      <c r="H23" s="31"/>
      <c r="I23" s="31">
        <f>ROUND($E23*$T$18*S$18/100+$E23*$T$19*S$19/100+$B$23*S$17+$B$23*T$16+S$16,2)+$S$25</f>
        <v>1140389.96</v>
      </c>
      <c r="K23" s="23">
        <f>(I23-G23)/G23</f>
        <v>-1.1313982914203874E-2</v>
      </c>
      <c r="L23" s="23"/>
      <c r="P23" s="1" t="s">
        <v>3</v>
      </c>
      <c r="Q23" s="1" t="s">
        <v>3</v>
      </c>
      <c r="S23" s="1" t="s">
        <v>3</v>
      </c>
    </row>
    <row r="24" spans="2:22" x14ac:dyDescent="0.25">
      <c r="C24" s="1">
        <v>500</v>
      </c>
      <c r="E24" s="21">
        <f>ROUND((B$23*C24),0)</f>
        <v>25000000</v>
      </c>
      <c r="F24" s="21"/>
      <c r="G24" s="31">
        <f>ROUND($E24*$P$18*O$18/100+$E24*$P$19*O$19/100+$B$23*O$17+$B$23*P$16+O$16,2)+$S$24</f>
        <v>1613895.6</v>
      </c>
      <c r="H24" s="31"/>
      <c r="I24" s="31">
        <f>ROUND($E24*$T$18*S$18/100+$E24*$T$19*S$19/100+$B$23*S$17+$B$23*T$16+S$16,2)+$S$25</f>
        <v>1592145.6</v>
      </c>
      <c r="K24" s="23">
        <f>(I24-G24)/G24</f>
        <v>-1.3476708158817708E-2</v>
      </c>
      <c r="L24" s="23"/>
      <c r="P24" s="1" t="s">
        <v>65</v>
      </c>
      <c r="S24" s="68">
        <v>257.5</v>
      </c>
      <c r="T24" s="1" t="s">
        <v>3</v>
      </c>
    </row>
    <row r="25" spans="2:22" x14ac:dyDescent="0.25">
      <c r="C25" s="1">
        <v>700</v>
      </c>
      <c r="E25" s="21">
        <f>ROUND((B$23*C25),0)</f>
        <v>35000000</v>
      </c>
      <c r="F25" s="21"/>
      <c r="G25" s="31">
        <f>ROUND($E25*$P$18*O$18/100+$E25*$P$19*O$19/100+$B$23*O$17+$B$23*P$16+O$16,2)+$S$24</f>
        <v>2074351.24</v>
      </c>
      <c r="H25" s="31"/>
      <c r="I25" s="31">
        <f>ROUND($E25*$T$18*S$18/100+$E25*$T$19*S$19/100+$B$23*S$17+$B$23*T$16+S$16,2)+$S$25</f>
        <v>2043901.24</v>
      </c>
      <c r="K25" s="23">
        <f>(I25-G25)/G25</f>
        <v>-1.4679288354271189E-2</v>
      </c>
      <c r="L25" s="23"/>
      <c r="P25" s="1" t="s">
        <v>51</v>
      </c>
      <c r="Q25" s="41"/>
      <c r="R25" s="41"/>
      <c r="S25" s="68">
        <f>S24</f>
        <v>257.5</v>
      </c>
    </row>
    <row r="26" spans="2:22" x14ac:dyDescent="0.25">
      <c r="G26" s="31"/>
      <c r="H26" s="31"/>
      <c r="I26" s="31"/>
      <c r="K26" s="23"/>
      <c r="L26" s="23"/>
    </row>
    <row r="27" spans="2:22" x14ac:dyDescent="0.25">
      <c r="B27" s="21">
        <v>60000</v>
      </c>
      <c r="C27" s="1">
        <v>300</v>
      </c>
      <c r="E27" s="21">
        <f>ROUND((B$27*C27),0)</f>
        <v>18000000</v>
      </c>
      <c r="F27" s="21"/>
      <c r="G27" s="31">
        <f>ROUND($E27*$P$18*O$18/100+$E27*$P$19*O$19/100+$B$27*O$17+$B$27*P$16+O$16,2)+$S$24</f>
        <v>1383476.65</v>
      </c>
      <c r="H27" s="31"/>
      <c r="I27" s="31">
        <f>ROUND($E27*$T$18*S$18/100+$E27*$T$19*S$19/100+$B$27*S$17+$B$27*T$16+S$16,2)+$S$25</f>
        <v>1367816.65</v>
      </c>
      <c r="K27" s="23">
        <f>(I27-G27)/G27</f>
        <v>-1.1319309220000209E-2</v>
      </c>
      <c r="L27" s="23"/>
      <c r="P27" s="1" t="s">
        <v>22</v>
      </c>
      <c r="S27" s="1">
        <v>-0.20799999999999999</v>
      </c>
    </row>
    <row r="28" spans="2:22" x14ac:dyDescent="0.25">
      <c r="C28" s="1">
        <v>500</v>
      </c>
      <c r="E28" s="21">
        <f>ROUND((B$27*C28),0)</f>
        <v>30000000</v>
      </c>
      <c r="F28" s="21"/>
      <c r="G28" s="31">
        <f>ROUND($E28*$P$18*O$18/100+$E28*$P$19*O$19/100+$B$27*O$17+$B$27*P$16+O$16,2)+$S$24</f>
        <v>1936023.42</v>
      </c>
      <c r="H28" s="31"/>
      <c r="I28" s="31">
        <f>ROUND($E28*$T$18*S$18/100+$E28*$T$19*S$19/100+$B$27*S$17+$B$27*T$16+S$16,2)+$S$25</f>
        <v>1909923.42</v>
      </c>
      <c r="K28" s="23">
        <f>(I28-G28)/G28</f>
        <v>-1.3481241874646331E-2</v>
      </c>
      <c r="L28" s="23"/>
      <c r="P28" s="1" t="s">
        <v>23</v>
      </c>
      <c r="S28" s="1">
        <v>-0.20799999999999999</v>
      </c>
    </row>
    <row r="29" spans="2:22" x14ac:dyDescent="0.25">
      <c r="C29" s="1">
        <v>700</v>
      </c>
      <c r="E29" s="21">
        <f>ROUND((B$27*C29),0)</f>
        <v>42000000</v>
      </c>
      <c r="F29" s="21"/>
      <c r="G29" s="31">
        <f>ROUND($E29*$P$18*O$18/100+$E29*$P$19*O$19/100+$B$27*O$17+$B$27*P$16+O$16,2)+$S$24</f>
        <v>2488570.19</v>
      </c>
      <c r="H29" s="31"/>
      <c r="I29" s="31">
        <f>ROUND($E29*$T$18*S$18/100+$E29*$T$19*S$19/100+$B$27*S$17+$B$27*T$16+S$16,2)+$S$25</f>
        <v>2452030.19</v>
      </c>
      <c r="K29" s="23">
        <f>(I29-G29)/G29</f>
        <v>-1.468313015515146E-2</v>
      </c>
      <c r="L29" s="23"/>
      <c r="S29" s="23"/>
    </row>
    <row r="30" spans="2:22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P30" s="1" t="s">
        <v>24</v>
      </c>
      <c r="S30" s="1">
        <v>-5.1999999999999998E-2</v>
      </c>
    </row>
    <row r="31" spans="2:22" x14ac:dyDescent="0.25">
      <c r="O31" s="31" t="s">
        <v>3</v>
      </c>
    </row>
    <row r="32" spans="2:22" x14ac:dyDescent="0.25">
      <c r="K32" s="1" t="s">
        <v>3</v>
      </c>
      <c r="N32" s="73" t="s">
        <v>92</v>
      </c>
      <c r="O32" s="95">
        <v>-1.4606462730100215E-2</v>
      </c>
      <c r="P32" s="1" t="s">
        <v>3</v>
      </c>
      <c r="S32" s="1" t="s">
        <v>3</v>
      </c>
    </row>
    <row r="33" spans="2:20" x14ac:dyDescent="0.25">
      <c r="B33" s="1" t="s">
        <v>27</v>
      </c>
      <c r="T33" s="1" t="s">
        <v>3</v>
      </c>
    </row>
    <row r="34" spans="2:20" x14ac:dyDescent="0.25">
      <c r="B34" s="80" t="s">
        <v>52</v>
      </c>
    </row>
    <row r="35" spans="2:20" x14ac:dyDescent="0.25">
      <c r="B35" s="80"/>
    </row>
    <row r="36" spans="2:20" x14ac:dyDescent="0.25">
      <c r="B36" s="38"/>
    </row>
    <row r="37" spans="2:20" x14ac:dyDescent="0.25">
      <c r="B37" s="38"/>
    </row>
    <row r="38" spans="2:20" x14ac:dyDescent="0.25">
      <c r="B38" s="38"/>
    </row>
    <row r="39" spans="2:20" x14ac:dyDescent="0.25">
      <c r="B39" s="38"/>
    </row>
    <row r="40" spans="2:20" x14ac:dyDescent="0.25">
      <c r="B40" s="38"/>
    </row>
    <row r="41" spans="2:20" x14ac:dyDescent="0.25">
      <c r="B41" s="38"/>
    </row>
    <row r="42" spans="2:20" x14ac:dyDescent="0.25">
      <c r="B42" s="38"/>
    </row>
    <row r="43" spans="2:20" x14ac:dyDescent="0.25">
      <c r="B43" s="38"/>
      <c r="K43" s="1" t="s">
        <v>3</v>
      </c>
    </row>
    <row r="44" spans="2:20" x14ac:dyDescent="0.25">
      <c r="B44" s="38"/>
    </row>
    <row r="45" spans="2:20" x14ac:dyDescent="0.25">
      <c r="B45" s="38"/>
    </row>
    <row r="46" spans="2:20" x14ac:dyDescent="0.25">
      <c r="B46" s="38"/>
    </row>
    <row r="47" spans="2:20" x14ac:dyDescent="0.25">
      <c r="B47" s="38"/>
    </row>
    <row r="49" spans="17:18" x14ac:dyDescent="0.25">
      <c r="Q49" s="31"/>
      <c r="R49" s="31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FF0658-96CD-487C-BC96-3D06539CF606}"/>
</file>

<file path=customXml/itemProps2.xml><?xml version="1.0" encoding="utf-8"?>
<ds:datastoreItem xmlns:ds="http://schemas.openxmlformats.org/officeDocument/2006/customXml" ds:itemID="{A83B9F3C-783F-4529-A80C-6A5FF0B8A58E}"/>
</file>

<file path=customXml/itemProps3.xml><?xml version="1.0" encoding="utf-8"?>
<ds:datastoreItem xmlns:ds="http://schemas.openxmlformats.org/officeDocument/2006/customXml" ds:itemID="{372AF764-E3ED-4E6A-A7A6-8E329F435C25}"/>
</file>

<file path=customXml/itemProps4.xml><?xml version="1.0" encoding="utf-8"?>
<ds:datastoreItem xmlns:ds="http://schemas.openxmlformats.org/officeDocument/2006/customXml" ds:itemID="{B354C450-E5CF-4179-A82F-543580C19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Exhibit No.__(RMM-4) p1</vt:lpstr>
      <vt:lpstr>Exhibit No.__(RMM-4) p2</vt:lpstr>
      <vt:lpstr>Exhibit No.__(RMM-4) p3</vt:lpstr>
      <vt:lpstr>Exhibit No.__(RMM-4) p4</vt:lpstr>
      <vt:lpstr>Exhibit No.__(RMM-4) p5</vt:lpstr>
      <vt:lpstr>Exhibit No.__(RMM-4) p6</vt:lpstr>
      <vt:lpstr>Exhibit No.__(RMM-4) p7</vt:lpstr>
      <vt:lpstr>'Exhibit No.__(RMM-4) p1'!Print_Area</vt:lpstr>
      <vt:lpstr>'Exhibit No.__(RMM-4) p2'!Print_Area</vt:lpstr>
      <vt:lpstr>'Exhibit No.__(RMM-4) p3'!Print_Area</vt:lpstr>
      <vt:lpstr>'Exhibit No.__(RMM-4) p4'!Print_Area</vt:lpstr>
      <vt:lpstr>'Exhibit No.__(RMM-4) p5'!Print_Area</vt:lpstr>
      <vt:lpstr>'Exhibit No.__(RMM-4) p6'!Print_Area</vt:lpstr>
      <vt:lpstr>'Exhibit No.__(RMM-4) p7'!Print_Area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2021-12-09T22:14:33Z</dcterms:created>
  <dcterms:modified xsi:type="dcterms:W3CDTF">2021-12-09T22:15:04Z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