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324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'Sheet1'!$A$2:$Q$119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<sst xmlns="http://schemas.openxmlformats.org/spreadsheetml/2006/main" count="201" uniqueCount="82">
  <si>
    <t>Demand</t>
  </si>
  <si>
    <t>KWH</t>
  </si>
  <si>
    <t>Other Charges including Transformer Rental</t>
  </si>
  <si>
    <t>Total Charges</t>
  </si>
  <si>
    <t>Bayview Products Terminal</t>
  </si>
  <si>
    <t>PSE</t>
  </si>
  <si>
    <t>On Peak KWH</t>
  </si>
  <si>
    <t>Off Peak KWH</t>
  </si>
  <si>
    <t>Total KWH</t>
  </si>
  <si>
    <t>Holiday</t>
  </si>
  <si>
    <t>On Peak Price</t>
  </si>
  <si>
    <t>Off Peak Price</t>
  </si>
  <si>
    <t>On Peak Cost</t>
  </si>
  <si>
    <t>Off Peak Cost</t>
  </si>
  <si>
    <t>Total Cost</t>
  </si>
  <si>
    <t>Total Monthly KWH</t>
  </si>
  <si>
    <t>Total Monthly Cost</t>
  </si>
  <si>
    <t>Current</t>
  </si>
  <si>
    <t>Historic</t>
  </si>
  <si>
    <t xml:space="preserve">Firm </t>
  </si>
  <si>
    <t>Transport</t>
  </si>
  <si>
    <t>Transition</t>
  </si>
  <si>
    <t>DSM</t>
  </si>
  <si>
    <t>Sched 120</t>
  </si>
  <si>
    <t>Energy</t>
  </si>
  <si>
    <t>Other</t>
  </si>
  <si>
    <t>Total</t>
  </si>
  <si>
    <t>Firming</t>
  </si>
  <si>
    <t>YES</t>
  </si>
  <si>
    <t>Month</t>
  </si>
  <si>
    <t>Charge</t>
  </si>
  <si>
    <t>Rate</t>
  </si>
  <si>
    <t>Charges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</si>
  <si>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</si>
  <si>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</si>
  <si>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</si>
  <si>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</si>
  <si>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</si>
  <si>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</si>
  <si>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</si>
  <si>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</si>
  <si>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</si>
  <si>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</si>
  <si>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</si>
  <si>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</si>
  <si>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Cost</t>
  </si>
  <si>
    <t>KW Hours</t>
  </si>
  <si>
    <t>Demand Charges include Transport Charge, DSM Charge</t>
  </si>
  <si>
    <t>Energy Charges include Sched 120 Charge, Energy Charge</t>
  </si>
  <si>
    <t>SCHED 31</t>
  </si>
  <si>
    <t>BILL</t>
  </si>
  <si>
    <t>ACTUAL</t>
  </si>
  <si>
    <t>changed to Schedule 49 on 04/13/2001</t>
  </si>
  <si>
    <t>kvar Hours</t>
  </si>
  <si>
    <t>Reactive</t>
  </si>
  <si>
    <t>Power Cost</t>
  </si>
  <si>
    <t>Actual Rates</t>
  </si>
  <si>
    <t>New Sched 31</t>
  </si>
  <si>
    <t>Rates</t>
  </si>
  <si>
    <t>Other Charges include Firming Charge and Other Charges (Transformer Rental and Basic Charge are included in this amount)</t>
  </si>
  <si>
    <t>For 5 months Actual and 7 Months Projected</t>
  </si>
  <si>
    <t>New Sched 31 Rates</t>
  </si>
  <si>
    <t>January - March, we were on Schedule 48.</t>
  </si>
  <si>
    <t>April - December, we were on Schedule 49.  The minimum demand on Sched 49 is 4400.</t>
  </si>
  <si>
    <t>January, we were on Schedule 49.  The minimum demand on schedule 49 is 4400.</t>
  </si>
  <si>
    <t>February -December, we were on Schedule 31. (no minimum demand)</t>
  </si>
  <si>
    <t>Projection is based on the assumption of no mainline pump utilitization.</t>
  </si>
  <si>
    <t xml:space="preserve">Demand </t>
  </si>
  <si>
    <t>Energy Charge</t>
  </si>
  <si>
    <t>Eff. Rate</t>
  </si>
  <si>
    <t>Schedule</t>
  </si>
  <si>
    <t>Power Charge</t>
  </si>
  <si>
    <t>*Reactive</t>
  </si>
  <si>
    <t>*if demand is &gt;= 100</t>
  </si>
  <si>
    <t>2001 - Total Actual Cost</t>
  </si>
  <si>
    <t>2002 - Total Projected Cost</t>
  </si>
  <si>
    <t xml:space="preserve"> 2001 Actual</t>
  </si>
  <si>
    <t xml:space="preserve"> 2001 ACTUAL</t>
  </si>
  <si>
    <t>2001 USING RATES EFFECTIVE 07/01/2002</t>
  </si>
  <si>
    <t>2002 (ACTUAL FOR FIRST 5 MONTHS AND PROJECTED FOR LAST SEVEN MONTHS)</t>
  </si>
  <si>
    <t xml:space="preserve"> 2002 USING RATES EFFECTIVE 07/01/2002</t>
  </si>
  <si>
    <t>Energy Rates that are shown in blue and highlighted include the Electric Conservation Program Charge.  This was omitted in the previous version of this spreadsheet.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</si>
</sst>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General_)"/>
    <numFmt numFmtId="166" formatCode="mm/dd/yy"/>
    <numFmt numFmtId="167" formatCode="0.00000"/>
    <numFmt numFmtId="168" formatCode="#,##0.0"/>
    <numFmt numFmtId="169" formatCode="&quot;$&quot;#,##0.000000"/>
    <numFmt numFmtId="170" formatCode="0.0_)"/>
    <numFmt numFmtId="171" formatCode="0_)"/>
    <numFmt numFmtId="172" formatCode="[$$-409]#,##0.00"/>
    <numFmt numFmtId="173" formatCode="[$$-409]#,##0.000000"/>
    <numFmt numFmtId="174" formatCode="[$$-409]#,##0.00000"/>
    <numFmt numFmtId="175" formatCode="mmm\-yyyy"/>
  </numFmts>
  <fonts count="5">
    <font>
      <sz val="10"/>
      <name val="Arial"/>
      <family val="0"/>
    </font>
    <font>
      <b/>
      <sz val="12"/>
      <name val="Arial"/>
      <family val="2"/>
    </font>
    <font>
      <sz val="10"/>
      <name val="Helv"/>
      <family val="0"/>
    </font>
    <font>
      <b/>
      <sz val="10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0" borderId="0" xfId="0" applyAlignment="1">
      <alignment horizontal="left"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37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7" fontId="0" fillId="0" borderId="0" xfId="0" applyNumberFormat="1" applyAlignment="1" applyProtection="1">
      <alignment/>
      <protection/>
    </xf>
    <xf numFmtId="165" fontId="0" fillId="0" borderId="0" xfId="0" applyNumberFormat="1" applyAlignment="1">
      <alignment/>
    </xf>
    <xf numFmtId="171" fontId="0" fillId="0" borderId="0" xfId="0" applyNumberFormat="1" applyAlignment="1" applyProtection="1">
      <alignment/>
      <protection/>
    </xf>
    <xf numFmtId="164" fontId="2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71" fontId="0" fillId="0" borderId="0" xfId="0" applyNumberFormat="1" applyAlignment="1">
      <alignment/>
    </xf>
    <xf numFmtId="37" fontId="0" fillId="0" borderId="0" xfId="0" applyNumberForma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7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7" fontId="0" fillId="0" borderId="1" xfId="0" applyNumberFormat="1" applyBorder="1" applyAlignment="1" applyProtection="1">
      <alignment/>
      <protection/>
    </xf>
    <xf numFmtId="37" fontId="0" fillId="0" borderId="1" xfId="0" applyNumberFormat="1" applyBorder="1" applyAlignment="1" applyProtection="1">
      <alignment/>
      <protection/>
    </xf>
    <xf numFmtId="173" fontId="0" fillId="0" borderId="1" xfId="0" applyNumberFormat="1" applyBorder="1" applyAlignment="1">
      <alignment/>
    </xf>
    <xf numFmtId="172" fontId="0" fillId="0" borderId="1" xfId="0" applyNumberFormat="1" applyBorder="1" applyAlignment="1">
      <alignment/>
    </xf>
    <xf numFmtId="174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7" fontId="0" fillId="0" borderId="1" xfId="0" applyNumberForma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173" fontId="4" fillId="2" borderId="0" xfId="0" applyNumberFormat="1" applyFont="1" applyFill="1" applyAlignment="1">
      <alignment/>
    </xf>
    <xf numFmtId="173" fontId="4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2"/>
  <sheetViews>
    <sheetView tabSelected="1" workbookViewId="0" topLeftCell="A9">
      <selection activeCell="A12" sqref="A12"/>
    </sheetView>
  </sheetViews>
  <sheetFormatPr defaultColWidth="9.140625" defaultRowHeight="12.75"/>
  <cols>
    <col min="5" max="5" width="12.00390625" style="0" customWidth="1"/>
    <col min="6" max="6" width="12.00390625" style="0" bestFit="1" customWidth="1"/>
    <col min="7" max="7" width="13.140625" style="0" bestFit="1" customWidth="1"/>
    <col min="8" max="8" width="14.421875" style="0" customWidth="1"/>
    <col min="9" max="9" width="10.57421875" style="0" customWidth="1"/>
    <col min="10" max="13" width="11.7109375" style="0" bestFit="1" customWidth="1"/>
    <col min="14" max="15" width="10.140625" style="0" bestFit="1" customWidth="1"/>
    <col min="17" max="17" width="11.7109375" style="0" customWidth="1"/>
    <col min="30" max="30" width="9.7109375" style="0" bestFit="1" customWidth="1"/>
  </cols>
  <sheetData>
    <row r="1" ht="15.75">
      <c r="A1" s="1" t="s">
        <v>4</v>
      </c>
    </row>
    <row r="2" spans="1:7" ht="15.75">
      <c r="A2" s="1"/>
      <c r="G2" t="s">
        <v>57</v>
      </c>
    </row>
    <row r="3" spans="1:7" ht="15.75">
      <c r="A3" s="1" t="s">
        <v>74</v>
      </c>
      <c r="F3" t="s">
        <v>56</v>
      </c>
      <c r="G3" t="s">
        <v>58</v>
      </c>
    </row>
    <row r="4" spans="1:7" ht="12.75">
      <c r="A4" t="s">
        <v>0</v>
      </c>
      <c r="E4" s="25"/>
      <c r="F4" s="2">
        <f>F28+J28+E55</f>
        <v>116619.48</v>
      </c>
      <c r="G4" s="2">
        <f>E74</f>
        <v>29490.269999999997</v>
      </c>
    </row>
    <row r="5" spans="1:7" ht="12.75">
      <c r="A5" t="s">
        <v>1</v>
      </c>
      <c r="F5" s="2">
        <f>M28+N28+H55</f>
        <v>23021.819999999996</v>
      </c>
      <c r="G5" s="2">
        <f>H74</f>
        <v>8693.720000000001</v>
      </c>
    </row>
    <row r="6" spans="1:7" ht="12.75">
      <c r="A6" t="s">
        <v>2</v>
      </c>
      <c r="F6" s="2">
        <f>O28+P28+J55</f>
        <v>113417.66</v>
      </c>
      <c r="G6" s="2">
        <f>L74</f>
        <v>113902.34000000001</v>
      </c>
    </row>
    <row r="7" spans="1:7" ht="12.75">
      <c r="A7" t="s">
        <v>3</v>
      </c>
      <c r="F7" s="2">
        <f>SUM(F4:F6)</f>
        <v>253058.96</v>
      </c>
      <c r="G7" s="2">
        <f>SUM(G4:G6)</f>
        <v>152086.33000000002</v>
      </c>
    </row>
    <row r="8" spans="1:7" ht="12.75">
      <c r="A8" t="s">
        <v>62</v>
      </c>
      <c r="F8" s="2"/>
      <c r="G8" s="2"/>
    </row>
    <row r="9" ht="12.75">
      <c r="A9" t="s">
        <v>63</v>
      </c>
    </row>
    <row r="11" ht="12.75">
      <c r="A11" s="43" t="s">
        <v>81</v>
      </c>
    </row>
    <row r="13" spans="1:7" ht="51.75" customHeight="1">
      <c r="A13" s="1" t="s">
        <v>75</v>
      </c>
      <c r="F13" s="32" t="s">
        <v>60</v>
      </c>
      <c r="G13" s="32" t="s">
        <v>61</v>
      </c>
    </row>
    <row r="14" spans="1:8" ht="12.75">
      <c r="A14" t="s">
        <v>0</v>
      </c>
      <c r="F14" s="2">
        <f>E96</f>
        <v>13664</v>
      </c>
      <c r="G14" s="31">
        <f>E117</f>
        <v>2318</v>
      </c>
      <c r="H14" s="2"/>
    </row>
    <row r="15" spans="1:8" ht="12.75">
      <c r="A15" t="s">
        <v>1</v>
      </c>
      <c r="F15" s="2">
        <f>H96</f>
        <v>8603.290000000003</v>
      </c>
      <c r="G15" s="28">
        <f>H117</f>
        <v>8603.290000000003</v>
      </c>
      <c r="H15" s="2"/>
    </row>
    <row r="16" spans="1:8" ht="12.75">
      <c r="A16" t="s">
        <v>2</v>
      </c>
      <c r="F16" s="2">
        <f>K96+L96</f>
        <v>112181.57</v>
      </c>
      <c r="G16" s="28">
        <f>K117+L117</f>
        <v>112181.57</v>
      </c>
      <c r="H16" s="2"/>
    </row>
    <row r="17" spans="1:8" ht="12.75">
      <c r="A17" t="s">
        <v>3</v>
      </c>
      <c r="F17" s="2">
        <f>SUM(F14:F16)</f>
        <v>134448.86000000002</v>
      </c>
      <c r="G17" s="2">
        <f>SUM(G14:G16)</f>
        <v>123102.86000000002</v>
      </c>
      <c r="H17" s="2"/>
    </row>
    <row r="18" ht="12.75">
      <c r="A18" t="s">
        <v>64</v>
      </c>
    </row>
    <row r="19" ht="12.75">
      <c r="A19" t="s">
        <v>65</v>
      </c>
    </row>
    <row r="20" spans="1:30" ht="38.25">
      <c r="A20" s="27" t="s">
        <v>5</v>
      </c>
      <c r="B20" s="27"/>
      <c r="C20" s="27"/>
      <c r="D20" s="42" t="s">
        <v>76</v>
      </c>
      <c r="E20" s="27"/>
      <c r="T20" s="3" t="s">
        <v>6</v>
      </c>
      <c r="U20" s="3" t="s">
        <v>7</v>
      </c>
      <c r="V20" s="4" t="s">
        <v>8</v>
      </c>
      <c r="W20" s="4" t="s">
        <v>9</v>
      </c>
      <c r="X20" s="3" t="s">
        <v>10</v>
      </c>
      <c r="Y20" s="3" t="s">
        <v>11</v>
      </c>
      <c r="Z20" s="3" t="s">
        <v>12</v>
      </c>
      <c r="AA20" s="3" t="s">
        <v>13</v>
      </c>
      <c r="AB20" s="5" t="s">
        <v>14</v>
      </c>
      <c r="AC20" s="3" t="s">
        <v>15</v>
      </c>
      <c r="AD20" s="3" t="s">
        <v>16</v>
      </c>
    </row>
    <row r="21" spans="1:28" ht="12.75">
      <c r="A21" s="27"/>
      <c r="C21" t="s">
        <v>17</v>
      </c>
      <c r="D21" t="s">
        <v>18</v>
      </c>
      <c r="E21" t="s">
        <v>19</v>
      </c>
      <c r="F21" t="s">
        <v>20</v>
      </c>
      <c r="G21" t="s">
        <v>21</v>
      </c>
      <c r="H21" t="s">
        <v>21</v>
      </c>
      <c r="I21" t="s">
        <v>22</v>
      </c>
      <c r="J21" t="s">
        <v>22</v>
      </c>
      <c r="L21" t="s">
        <v>23</v>
      </c>
      <c r="M21" t="s">
        <v>23</v>
      </c>
      <c r="N21" t="s">
        <v>24</v>
      </c>
      <c r="O21" t="s">
        <v>25</v>
      </c>
      <c r="P21" t="s">
        <v>27</v>
      </c>
      <c r="Q21" t="s">
        <v>26</v>
      </c>
      <c r="S21" s="6">
        <v>36892</v>
      </c>
      <c r="T21">
        <v>374</v>
      </c>
      <c r="U21">
        <v>216</v>
      </c>
      <c r="V21">
        <f>SUM(T21:U21)</f>
        <v>590</v>
      </c>
      <c r="W21" t="s">
        <v>28</v>
      </c>
      <c r="X21" s="7"/>
      <c r="Y21" s="7">
        <v>0.11995</v>
      </c>
      <c r="Z21" s="2" t="str">
        <f>IF(W21="YES","NA",ROUND(+T21*X21,2))</f>
        <v>NA</v>
      </c>
      <c r="AA21" s="2">
        <f>IF(W21="YES",ROUND(V21*Y21,2),ROUND(+U21*Y21,2))</f>
        <v>70.77</v>
      </c>
      <c r="AB21" s="8">
        <f>SUM(Z21:AA21)</f>
        <v>70.77</v>
      </c>
    </row>
    <row r="22" spans="1:28" ht="12.75">
      <c r="A22" s="4" t="s">
        <v>29</v>
      </c>
      <c r="B22" s="4" t="s">
        <v>70</v>
      </c>
      <c r="C22" t="s">
        <v>0</v>
      </c>
      <c r="D22" t="s">
        <v>0</v>
      </c>
      <c r="E22" t="s">
        <v>20</v>
      </c>
      <c r="F22" t="s">
        <v>30</v>
      </c>
      <c r="G22" t="s">
        <v>31</v>
      </c>
      <c r="H22" t="s">
        <v>30</v>
      </c>
      <c r="I22" t="s">
        <v>31</v>
      </c>
      <c r="J22" t="s">
        <v>30</v>
      </c>
      <c r="K22" t="s">
        <v>1</v>
      </c>
      <c r="L22" t="s">
        <v>31</v>
      </c>
      <c r="M22" t="s">
        <v>30</v>
      </c>
      <c r="N22" t="s">
        <v>30</v>
      </c>
      <c r="O22" t="s">
        <v>32</v>
      </c>
      <c r="P22" t="s">
        <v>30</v>
      </c>
      <c r="Q22" t="s">
        <v>30</v>
      </c>
      <c r="S22" s="6">
        <v>36893</v>
      </c>
      <c r="T22">
        <v>414</v>
      </c>
      <c r="U22">
        <v>224</v>
      </c>
      <c r="V22">
        <f aca="true" t="shared" si="0" ref="V22:V58">SUM(T22:U22)</f>
        <v>638</v>
      </c>
      <c r="X22" s="7">
        <v>0.15458</v>
      </c>
      <c r="Y22" s="7">
        <v>0.13766</v>
      </c>
      <c r="Z22" s="2">
        <f>IF(W22="YES","NA",ROUND(+T22*X22,2))</f>
        <v>64</v>
      </c>
      <c r="AA22" s="2">
        <f>IF(W22="YES",ROUND(V22*Y22,2),ROUND(+U22*Y22,2))</f>
        <v>30.84</v>
      </c>
      <c r="AB22" s="8">
        <f>SUM(Z22:AA22)</f>
        <v>94.84</v>
      </c>
    </row>
    <row r="23" spans="19:28" ht="12.75">
      <c r="S23" s="6">
        <v>36894</v>
      </c>
      <c r="T23">
        <v>394</v>
      </c>
      <c r="U23">
        <v>228</v>
      </c>
      <c r="V23">
        <f t="shared" si="0"/>
        <v>622</v>
      </c>
      <c r="X23" s="7">
        <v>0.16917</v>
      </c>
      <c r="Y23" s="7">
        <v>0.13885</v>
      </c>
      <c r="Z23" s="2">
        <f>IF(W23="YES","NA",ROUND(+T23*X23,2))</f>
        <v>66.65</v>
      </c>
      <c r="AA23" s="2">
        <f>IF(W23="YES",ROUND(V23*Y23,2),ROUND(+U23*Y23,2))</f>
        <v>31.66</v>
      </c>
      <c r="AB23" s="8">
        <f>SUM(Z23:AA23)</f>
        <v>98.31</v>
      </c>
    </row>
    <row r="24" spans="1:28" ht="12.75">
      <c r="A24" s="9" t="s">
        <v>33</v>
      </c>
      <c r="B24">
        <v>48</v>
      </c>
      <c r="C24" s="22">
        <v>71</v>
      </c>
      <c r="D24" s="22">
        <v>71</v>
      </c>
      <c r="E24" s="23">
        <v>2.25</v>
      </c>
      <c r="F24" s="23">
        <f>ROUND(C24*E24,2)</f>
        <v>159.75</v>
      </c>
      <c r="G24" s="23">
        <v>0</v>
      </c>
      <c r="H24" s="23">
        <f>ROUND(D24*G24,2)</f>
        <v>0</v>
      </c>
      <c r="I24" s="23">
        <v>0.74</v>
      </c>
      <c r="J24" s="23">
        <f>ROUND(D24*I24,2)</f>
        <v>52.54</v>
      </c>
      <c r="K24" s="17">
        <f>AC51</f>
        <v>18971</v>
      </c>
      <c r="L24" s="21">
        <v>0.00021</v>
      </c>
      <c r="M24" s="20">
        <f>ROUND(K24*L24,2)</f>
        <v>3.98</v>
      </c>
      <c r="N24" s="20">
        <f>AD51</f>
        <v>5099.1900000000005</v>
      </c>
      <c r="O24" s="20">
        <f>9182+646+156.17+1.15-20.35</f>
        <v>9964.97</v>
      </c>
      <c r="P24" s="20">
        <v>32.66</v>
      </c>
      <c r="Q24" s="20">
        <f>+F24+H24+J24+M24+N24+O24+P24</f>
        <v>15313.09</v>
      </c>
      <c r="S24" s="6">
        <v>36895</v>
      </c>
      <c r="T24">
        <v>419</v>
      </c>
      <c r="U24">
        <v>214</v>
      </c>
      <c r="V24">
        <f t="shared" si="0"/>
        <v>633</v>
      </c>
      <c r="X24" s="7">
        <v>0.15519</v>
      </c>
      <c r="Y24" s="7">
        <v>0.13865</v>
      </c>
      <c r="Z24" s="2">
        <f aca="true" t="shared" si="1" ref="Z24:Z58">IF(W24="YES","NA",ROUND(+T24*X24,2))</f>
        <v>65.02</v>
      </c>
      <c r="AA24" s="2">
        <f aca="true" t="shared" si="2" ref="AA24:AA58">IF(W24="YES",ROUND(V24*Y24,2),ROUND(+U24*Y24,2))</f>
        <v>29.67</v>
      </c>
      <c r="AB24" s="8">
        <f aca="true" t="shared" si="3" ref="AB24:AB58">SUM(Z24:AA24)</f>
        <v>94.69</v>
      </c>
    </row>
    <row r="25" spans="1:28" ht="12.75">
      <c r="A25" s="9" t="s">
        <v>34</v>
      </c>
      <c r="B25">
        <v>48</v>
      </c>
      <c r="C25" s="24">
        <v>72</v>
      </c>
      <c r="D25" s="24">
        <v>513</v>
      </c>
      <c r="E25" s="20">
        <v>2.25</v>
      </c>
      <c r="F25" s="20">
        <f>ROUND(C25*E25,2)</f>
        <v>162</v>
      </c>
      <c r="G25" s="20">
        <v>0</v>
      </c>
      <c r="H25" s="20">
        <f>ROUND(D25*G25,2)</f>
        <v>0</v>
      </c>
      <c r="I25" s="20">
        <v>0.74</v>
      </c>
      <c r="J25" s="20">
        <f>ROUND(D25*I25,2)</f>
        <v>379.62</v>
      </c>
      <c r="K25" s="17">
        <f>AC79</f>
        <v>17602</v>
      </c>
      <c r="L25" s="21">
        <v>0.00021</v>
      </c>
      <c r="M25" s="20">
        <f>ROUND(K25*L25,2)</f>
        <v>3.7</v>
      </c>
      <c r="N25" s="20">
        <f>AD79</f>
        <v>5181.719999999999</v>
      </c>
      <c r="O25" s="20">
        <f>9182+646+126.07+0.4</f>
        <v>9954.47</v>
      </c>
      <c r="P25" s="20">
        <v>33.12</v>
      </c>
      <c r="Q25" s="20">
        <f>+F25+H25+J25+M25+N25+O25+P25</f>
        <v>15714.63</v>
      </c>
      <c r="S25" s="6">
        <v>36896</v>
      </c>
      <c r="T25">
        <v>403</v>
      </c>
      <c r="U25">
        <v>214</v>
      </c>
      <c r="V25">
        <f t="shared" si="0"/>
        <v>617</v>
      </c>
      <c r="X25" s="7">
        <v>0.14603</v>
      </c>
      <c r="Y25" s="7">
        <v>0.13147</v>
      </c>
      <c r="Z25" s="2">
        <f t="shared" si="1"/>
        <v>58.85</v>
      </c>
      <c r="AA25" s="2">
        <f t="shared" si="2"/>
        <v>28.13</v>
      </c>
      <c r="AB25" s="8">
        <f t="shared" si="3"/>
        <v>86.98</v>
      </c>
    </row>
    <row r="26" spans="1:28" ht="12.75">
      <c r="A26" s="9" t="s">
        <v>35</v>
      </c>
      <c r="B26">
        <v>48</v>
      </c>
      <c r="C26" s="24">
        <v>3886</v>
      </c>
      <c r="D26" s="24">
        <v>513</v>
      </c>
      <c r="E26" s="20">
        <v>2.25</v>
      </c>
      <c r="F26" s="20">
        <f>ROUND(C26*E26,2)</f>
        <v>8743.5</v>
      </c>
      <c r="G26" s="20">
        <v>0</v>
      </c>
      <c r="H26" s="20">
        <f>ROUND(D26*G26,2)</f>
        <v>0</v>
      </c>
      <c r="I26" s="20">
        <v>0.74</v>
      </c>
      <c r="J26" s="20">
        <f>ROUND(D26*I26,2)</f>
        <v>379.62</v>
      </c>
      <c r="K26" s="17">
        <f>AC110</f>
        <v>20167</v>
      </c>
      <c r="L26" s="21">
        <v>0.00021</v>
      </c>
      <c r="M26" s="20">
        <f>ROUND(K26*L26,2)</f>
        <v>4.24</v>
      </c>
      <c r="N26" s="20">
        <f>AD110</f>
        <v>5261.119999999999</v>
      </c>
      <c r="O26" s="20">
        <f>9182+646+136.01+0.43</f>
        <v>9964.44</v>
      </c>
      <c r="P26" s="20">
        <v>34.04</v>
      </c>
      <c r="Q26" s="20">
        <f>+F26+H26+J26+M26+N26+O26+P26</f>
        <v>24386.96</v>
      </c>
      <c r="S26" s="6">
        <v>36897</v>
      </c>
      <c r="T26">
        <v>379</v>
      </c>
      <c r="U26">
        <v>218</v>
      </c>
      <c r="V26">
        <f t="shared" si="0"/>
        <v>597</v>
      </c>
      <c r="X26" s="7">
        <v>0.11268</v>
      </c>
      <c r="Y26" s="7">
        <v>0.10751</v>
      </c>
      <c r="Z26" s="2">
        <f t="shared" si="1"/>
        <v>42.71</v>
      </c>
      <c r="AA26" s="2">
        <f t="shared" si="2"/>
        <v>23.44</v>
      </c>
      <c r="AB26" s="8">
        <f t="shared" si="3"/>
        <v>66.15</v>
      </c>
    </row>
    <row r="27" spans="1:28" ht="12.75">
      <c r="A27" s="9" t="s">
        <v>36</v>
      </c>
      <c r="B27">
        <v>48</v>
      </c>
      <c r="C27" s="24">
        <v>74</v>
      </c>
      <c r="D27" s="24">
        <v>513</v>
      </c>
      <c r="E27" s="20">
        <v>2.25</v>
      </c>
      <c r="F27" s="19">
        <f>ROUND(C27*E27*12/30,2)</f>
        <v>66.6</v>
      </c>
      <c r="G27" s="19">
        <v>0</v>
      </c>
      <c r="H27" s="19">
        <f>ROUND(D27*G27,2)</f>
        <v>0</v>
      </c>
      <c r="I27" s="20">
        <v>0.74</v>
      </c>
      <c r="J27" s="19">
        <f>ROUND(D27*I27*12/30,2)</f>
        <v>151.85</v>
      </c>
      <c r="K27" s="17">
        <f>AC122</f>
        <v>7404</v>
      </c>
      <c r="L27" s="21">
        <v>0.000239</v>
      </c>
      <c r="M27" s="20">
        <f>ROUND(K27*L27,2)</f>
        <v>1.77</v>
      </c>
      <c r="N27" s="19">
        <f>AD122</f>
        <v>2454.49</v>
      </c>
      <c r="O27" s="19">
        <f>9182+636+4.52+124.82+0.58-2.32-2.01</f>
        <v>9943.59</v>
      </c>
      <c r="P27" s="19">
        <v>13.56</v>
      </c>
      <c r="Q27" s="19">
        <f>+F27+H27+J27+M27+N27+O27+P27</f>
        <v>12631.859999999999</v>
      </c>
      <c r="S27" s="6">
        <v>36898</v>
      </c>
      <c r="U27">
        <v>607</v>
      </c>
      <c r="V27">
        <f t="shared" si="0"/>
        <v>607</v>
      </c>
      <c r="X27" s="7"/>
      <c r="Y27" s="7">
        <v>0.09079</v>
      </c>
      <c r="Z27" s="2">
        <f t="shared" si="1"/>
        <v>0</v>
      </c>
      <c r="AA27" s="2">
        <f t="shared" si="2"/>
        <v>55.11</v>
      </c>
      <c r="AB27" s="8">
        <f t="shared" si="3"/>
        <v>55.11</v>
      </c>
    </row>
    <row r="28" spans="1:28" ht="12.75">
      <c r="A28" s="9" t="s">
        <v>26</v>
      </c>
      <c r="C28">
        <f>SUM(C24:C27)</f>
        <v>4103</v>
      </c>
      <c r="E28" s="2"/>
      <c r="F28" s="2">
        <f>SUM(F24:F27)</f>
        <v>9131.85</v>
      </c>
      <c r="G28" s="2"/>
      <c r="H28" s="2"/>
      <c r="I28" s="2"/>
      <c r="J28" s="2">
        <f>SUM(J24:J27)</f>
        <v>963.63</v>
      </c>
      <c r="K28" s="17">
        <f>SUM(K25:K27)</f>
        <v>45173</v>
      </c>
      <c r="L28" s="11"/>
      <c r="M28" s="2">
        <f>SUM(M24:M27)</f>
        <v>13.69</v>
      </c>
      <c r="N28" s="2">
        <f>SUM(N24:N27)</f>
        <v>17996.519999999997</v>
      </c>
      <c r="O28" s="2">
        <f>SUM(O24:O27)</f>
        <v>39827.47</v>
      </c>
      <c r="P28" s="2">
        <f>SUM(P24:P27)</f>
        <v>113.38</v>
      </c>
      <c r="Q28" s="2">
        <f>SUM(Q24:Q27)</f>
        <v>68046.54</v>
      </c>
      <c r="S28" s="6">
        <v>36899</v>
      </c>
      <c r="T28">
        <v>391</v>
      </c>
      <c r="U28">
        <v>218</v>
      </c>
      <c r="V28">
        <f t="shared" si="0"/>
        <v>609</v>
      </c>
      <c r="X28" s="7">
        <v>0.12563</v>
      </c>
      <c r="Y28" s="7">
        <v>0.11165</v>
      </c>
      <c r="Z28" s="2">
        <f t="shared" si="1"/>
        <v>49.12</v>
      </c>
      <c r="AA28" s="2">
        <f t="shared" si="2"/>
        <v>24.34</v>
      </c>
      <c r="AB28" s="8">
        <f t="shared" si="3"/>
        <v>73.46</v>
      </c>
    </row>
    <row r="29" spans="1:28" ht="12.75">
      <c r="A29" s="9"/>
      <c r="E29" s="2"/>
      <c r="F29" s="2"/>
      <c r="G29" s="2"/>
      <c r="H29" s="2"/>
      <c r="I29" s="2"/>
      <c r="J29" s="2"/>
      <c r="K29" s="10"/>
      <c r="L29" s="11"/>
      <c r="M29" s="2"/>
      <c r="N29" s="2"/>
      <c r="O29" s="2"/>
      <c r="P29" s="2"/>
      <c r="Q29" s="2"/>
      <c r="S29" s="6">
        <v>36900</v>
      </c>
      <c r="T29">
        <v>394</v>
      </c>
      <c r="U29">
        <v>219</v>
      </c>
      <c r="V29">
        <f t="shared" si="0"/>
        <v>613</v>
      </c>
      <c r="X29" s="7">
        <v>0.1613</v>
      </c>
      <c r="Y29" s="7">
        <v>0.13421</v>
      </c>
      <c r="Z29" s="2">
        <f t="shared" si="1"/>
        <v>63.55</v>
      </c>
      <c r="AA29" s="2">
        <f t="shared" si="2"/>
        <v>29.39</v>
      </c>
      <c r="AB29" s="8">
        <f t="shared" si="3"/>
        <v>92.94</v>
      </c>
    </row>
    <row r="30" spans="1:28" ht="12.75">
      <c r="A30" s="9" t="s">
        <v>47</v>
      </c>
      <c r="E30" s="2"/>
      <c r="F30" s="2"/>
      <c r="G30" s="2"/>
      <c r="H30" s="2"/>
      <c r="I30" s="2"/>
      <c r="J30" s="2"/>
      <c r="K30" s="10"/>
      <c r="L30" s="11"/>
      <c r="M30" s="2"/>
      <c r="N30" s="2"/>
      <c r="O30" s="2"/>
      <c r="P30" s="2"/>
      <c r="Q30" s="2"/>
      <c r="S30" s="6">
        <v>36901</v>
      </c>
      <c r="T30">
        <v>385</v>
      </c>
      <c r="U30">
        <v>212</v>
      </c>
      <c r="V30">
        <f t="shared" si="0"/>
        <v>597</v>
      </c>
      <c r="X30" s="7">
        <v>0.16182</v>
      </c>
      <c r="Y30" s="7">
        <v>0.13126</v>
      </c>
      <c r="Z30" s="2">
        <f t="shared" si="1"/>
        <v>62.3</v>
      </c>
      <c r="AA30" s="2">
        <f t="shared" si="2"/>
        <v>27.83</v>
      </c>
      <c r="AB30" s="8">
        <f t="shared" si="3"/>
        <v>90.13</v>
      </c>
    </row>
    <row r="31" spans="1:28" ht="12.75">
      <c r="A31" s="9"/>
      <c r="E31" s="2"/>
      <c r="F31" s="2"/>
      <c r="G31" s="2"/>
      <c r="H31" s="2"/>
      <c r="I31" s="2"/>
      <c r="J31" s="2"/>
      <c r="K31" s="10"/>
      <c r="L31" s="11"/>
      <c r="M31" s="2"/>
      <c r="N31" s="2"/>
      <c r="O31" s="2"/>
      <c r="P31" s="2"/>
      <c r="Q31" s="2"/>
      <c r="S31" s="6">
        <v>36902</v>
      </c>
      <c r="T31">
        <v>380</v>
      </c>
      <c r="U31">
        <v>218</v>
      </c>
      <c r="V31">
        <f t="shared" si="0"/>
        <v>598</v>
      </c>
      <c r="X31" s="7">
        <v>0.17078</v>
      </c>
      <c r="Y31" s="7">
        <v>0.13007</v>
      </c>
      <c r="Z31" s="2">
        <f t="shared" si="1"/>
        <v>64.9</v>
      </c>
      <c r="AA31" s="2">
        <f t="shared" si="2"/>
        <v>28.36</v>
      </c>
      <c r="AB31" s="8">
        <f t="shared" si="3"/>
        <v>93.26</v>
      </c>
    </row>
    <row r="32" spans="1:28" ht="12.75">
      <c r="A32" s="9" t="s">
        <v>48</v>
      </c>
      <c r="E32" s="2"/>
      <c r="F32" s="2"/>
      <c r="G32" s="2"/>
      <c r="H32" s="2"/>
      <c r="I32" s="2"/>
      <c r="J32" s="2"/>
      <c r="K32" s="10"/>
      <c r="L32" s="11"/>
      <c r="M32" s="2"/>
      <c r="N32" s="2"/>
      <c r="O32" s="2"/>
      <c r="P32" s="2"/>
      <c r="Q32" s="2"/>
      <c r="S32" s="6">
        <v>36903</v>
      </c>
      <c r="T32">
        <v>398</v>
      </c>
      <c r="U32">
        <v>214</v>
      </c>
      <c r="V32">
        <f t="shared" si="0"/>
        <v>612</v>
      </c>
      <c r="X32" s="7">
        <v>0.19578</v>
      </c>
      <c r="Y32" s="7">
        <v>0.16193</v>
      </c>
      <c r="Z32" s="2">
        <f t="shared" si="1"/>
        <v>77.92</v>
      </c>
      <c r="AA32" s="2">
        <f t="shared" si="2"/>
        <v>34.65</v>
      </c>
      <c r="AB32" s="8">
        <f t="shared" si="3"/>
        <v>112.57</v>
      </c>
    </row>
    <row r="33" spans="1:28" ht="12.75">
      <c r="A33" s="9"/>
      <c r="E33" s="2"/>
      <c r="F33" s="2"/>
      <c r="G33" s="2"/>
      <c r="H33" s="2"/>
      <c r="I33" s="2"/>
      <c r="J33" s="2"/>
      <c r="K33" s="10"/>
      <c r="L33" s="11"/>
      <c r="M33" s="2"/>
      <c r="N33" s="2"/>
      <c r="O33" s="2"/>
      <c r="P33" s="2"/>
      <c r="Q33" s="2"/>
      <c r="S33" s="6">
        <v>36904</v>
      </c>
      <c r="T33">
        <v>368</v>
      </c>
      <c r="U33">
        <v>213</v>
      </c>
      <c r="V33">
        <f t="shared" si="0"/>
        <v>581</v>
      </c>
      <c r="X33" s="7">
        <v>0.19467</v>
      </c>
      <c r="Y33" s="7">
        <v>0.1717</v>
      </c>
      <c r="Z33" s="2">
        <f t="shared" si="1"/>
        <v>71.64</v>
      </c>
      <c r="AA33" s="2">
        <f t="shared" si="2"/>
        <v>36.57</v>
      </c>
      <c r="AB33" s="8">
        <f t="shared" si="3"/>
        <v>108.21000000000001</v>
      </c>
    </row>
    <row r="34" spans="1:28" ht="12.75">
      <c r="A34" s="9" t="s">
        <v>59</v>
      </c>
      <c r="E34" s="2"/>
      <c r="F34" s="2"/>
      <c r="G34" s="2"/>
      <c r="H34" s="2"/>
      <c r="I34" s="2"/>
      <c r="J34" s="2"/>
      <c r="K34" s="10"/>
      <c r="L34" s="11"/>
      <c r="M34" s="2"/>
      <c r="N34" s="2"/>
      <c r="O34" s="2"/>
      <c r="P34" s="2"/>
      <c r="Q34" s="2"/>
      <c r="S34" s="6">
        <v>36905</v>
      </c>
      <c r="U34">
        <v>608</v>
      </c>
      <c r="V34">
        <f t="shared" si="0"/>
        <v>608</v>
      </c>
      <c r="X34" s="7"/>
      <c r="Y34" s="7">
        <v>0.17031</v>
      </c>
      <c r="Z34" s="2">
        <f t="shared" si="1"/>
        <v>0</v>
      </c>
      <c r="AA34" s="2">
        <f t="shared" si="2"/>
        <v>103.55</v>
      </c>
      <c r="AB34" s="8">
        <f t="shared" si="3"/>
        <v>103.55</v>
      </c>
    </row>
    <row r="35" spans="1:28" ht="12.75">
      <c r="A35" s="9"/>
      <c r="E35" s="2"/>
      <c r="F35" s="2"/>
      <c r="G35" s="2"/>
      <c r="H35" s="2"/>
      <c r="I35" s="2"/>
      <c r="J35" s="2"/>
      <c r="K35" s="10"/>
      <c r="L35" s="11"/>
      <c r="M35" s="2"/>
      <c r="N35" s="2"/>
      <c r="O35" s="2"/>
      <c r="P35" s="2"/>
      <c r="Q35" s="2"/>
      <c r="S35" s="6">
        <v>36906</v>
      </c>
      <c r="T35">
        <v>376</v>
      </c>
      <c r="U35">
        <v>223</v>
      </c>
      <c r="V35">
        <f t="shared" si="0"/>
        <v>599</v>
      </c>
      <c r="X35" s="7">
        <v>0.22232</v>
      </c>
      <c r="Y35" s="7">
        <v>0.22663</v>
      </c>
      <c r="Z35" s="2">
        <f t="shared" si="1"/>
        <v>83.59</v>
      </c>
      <c r="AA35" s="2">
        <f t="shared" si="2"/>
        <v>50.54</v>
      </c>
      <c r="AB35" s="8">
        <f t="shared" si="3"/>
        <v>134.13</v>
      </c>
    </row>
    <row r="36" spans="3:28" ht="12.75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S36" s="6">
        <v>36907</v>
      </c>
      <c r="T36">
        <v>218</v>
      </c>
      <c r="U36">
        <v>233</v>
      </c>
      <c r="V36">
        <f t="shared" si="0"/>
        <v>451</v>
      </c>
      <c r="X36" s="7">
        <v>0.45313</v>
      </c>
      <c r="Y36" s="7">
        <v>0.2053</v>
      </c>
      <c r="Z36" s="2">
        <f t="shared" si="1"/>
        <v>98.78</v>
      </c>
      <c r="AA36" s="2">
        <f t="shared" si="2"/>
        <v>47.83</v>
      </c>
      <c r="AB36" s="8">
        <f t="shared" si="3"/>
        <v>146.61</v>
      </c>
    </row>
    <row r="37" spans="3:28" ht="12.75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S37" s="6">
        <v>36908</v>
      </c>
      <c r="T37">
        <v>388</v>
      </c>
      <c r="U37">
        <v>251</v>
      </c>
      <c r="V37">
        <f t="shared" si="0"/>
        <v>639</v>
      </c>
      <c r="X37" s="7">
        <v>0.45937</v>
      </c>
      <c r="Y37" s="7">
        <v>0.30696</v>
      </c>
      <c r="Z37" s="2">
        <f t="shared" si="1"/>
        <v>178.24</v>
      </c>
      <c r="AA37" s="2">
        <f t="shared" si="2"/>
        <v>77.05</v>
      </c>
      <c r="AB37" s="8">
        <f t="shared" si="3"/>
        <v>255.29000000000002</v>
      </c>
    </row>
    <row r="38" spans="19:28" ht="12.75">
      <c r="S38" s="6">
        <v>36909</v>
      </c>
      <c r="T38">
        <v>418</v>
      </c>
      <c r="U38">
        <v>216</v>
      </c>
      <c r="V38">
        <f t="shared" si="0"/>
        <v>634</v>
      </c>
      <c r="X38" s="7">
        <v>0.487</v>
      </c>
      <c r="Y38" s="7">
        <v>0.31647</v>
      </c>
      <c r="Z38" s="2">
        <f t="shared" si="1"/>
        <v>203.57</v>
      </c>
      <c r="AA38" s="2">
        <f t="shared" si="2"/>
        <v>68.36</v>
      </c>
      <c r="AB38" s="8">
        <f t="shared" si="3"/>
        <v>271.93</v>
      </c>
    </row>
    <row r="39" spans="1:28" ht="12.75">
      <c r="A39" s="27"/>
      <c r="B39" s="27"/>
      <c r="C39" s="27"/>
      <c r="D39" s="42" t="s">
        <v>77</v>
      </c>
      <c r="S39" s="6">
        <v>36910</v>
      </c>
      <c r="T39">
        <v>391</v>
      </c>
      <c r="U39">
        <v>212</v>
      </c>
      <c r="V39">
        <f t="shared" si="0"/>
        <v>603</v>
      </c>
      <c r="X39" s="7">
        <v>0.40384</v>
      </c>
      <c r="Y39" s="7">
        <v>0.30501</v>
      </c>
      <c r="Z39" s="2">
        <f t="shared" si="1"/>
        <v>157.9</v>
      </c>
      <c r="AA39" s="2">
        <f t="shared" si="2"/>
        <v>64.66</v>
      </c>
      <c r="AB39" s="8">
        <f t="shared" si="3"/>
        <v>222.56</v>
      </c>
    </row>
    <row r="40" spans="3:28" ht="12.75">
      <c r="C40" s="4" t="s">
        <v>50</v>
      </c>
      <c r="D40" s="4" t="s">
        <v>0</v>
      </c>
      <c r="E40" s="4" t="s">
        <v>0</v>
      </c>
      <c r="G40" t="s">
        <v>68</v>
      </c>
      <c r="H40" s="4" t="s">
        <v>24</v>
      </c>
      <c r="S40" s="6">
        <v>36911</v>
      </c>
      <c r="T40">
        <v>377</v>
      </c>
      <c r="U40">
        <v>216</v>
      </c>
      <c r="V40">
        <f t="shared" si="0"/>
        <v>593</v>
      </c>
      <c r="X40" s="7">
        <v>0.38973</v>
      </c>
      <c r="Y40" s="7">
        <v>0.30833</v>
      </c>
      <c r="Z40" s="2">
        <f t="shared" si="1"/>
        <v>146.93</v>
      </c>
      <c r="AA40" s="2">
        <f t="shared" si="2"/>
        <v>66.6</v>
      </c>
      <c r="AB40" s="8">
        <f t="shared" si="3"/>
        <v>213.53</v>
      </c>
    </row>
    <row r="41" spans="2:28" ht="12.75">
      <c r="B41" s="4" t="s">
        <v>70</v>
      </c>
      <c r="C41" s="4" t="s">
        <v>0</v>
      </c>
      <c r="D41" s="4" t="s">
        <v>31</v>
      </c>
      <c r="E41" s="4" t="s">
        <v>45</v>
      </c>
      <c r="F41" s="4" t="s">
        <v>46</v>
      </c>
      <c r="G41" s="4" t="s">
        <v>69</v>
      </c>
      <c r="H41" s="4" t="s">
        <v>45</v>
      </c>
      <c r="I41" s="4" t="s">
        <v>53</v>
      </c>
      <c r="J41" s="4" t="s">
        <v>25</v>
      </c>
      <c r="K41" s="4" t="s">
        <v>26</v>
      </c>
      <c r="S41" s="6">
        <v>36912</v>
      </c>
      <c r="U41">
        <v>598</v>
      </c>
      <c r="V41">
        <f t="shared" si="0"/>
        <v>598</v>
      </c>
      <c r="X41" s="7"/>
      <c r="Y41" s="7">
        <v>0.34202</v>
      </c>
      <c r="Z41" s="2">
        <f t="shared" si="1"/>
        <v>0</v>
      </c>
      <c r="AA41" s="2">
        <f t="shared" si="2"/>
        <v>204.53</v>
      </c>
      <c r="AB41" s="8">
        <f t="shared" si="3"/>
        <v>204.53</v>
      </c>
    </row>
    <row r="42" spans="2:28" ht="12.75">
      <c r="B42" s="14"/>
      <c r="D42" s="14"/>
      <c r="E42" s="15"/>
      <c r="F42" s="14"/>
      <c r="S42" s="6">
        <v>36913</v>
      </c>
      <c r="T42">
        <v>398</v>
      </c>
      <c r="U42">
        <v>218</v>
      </c>
      <c r="V42">
        <f t="shared" si="0"/>
        <v>616</v>
      </c>
      <c r="X42" s="7">
        <v>0.3777</v>
      </c>
      <c r="Y42" s="7">
        <v>0.33827</v>
      </c>
      <c r="Z42" s="2">
        <f t="shared" si="1"/>
        <v>150.32</v>
      </c>
      <c r="AA42" s="2">
        <f t="shared" si="2"/>
        <v>73.74</v>
      </c>
      <c r="AB42" s="8">
        <f t="shared" si="3"/>
        <v>224.06</v>
      </c>
    </row>
    <row r="43" spans="1:28" ht="12.75">
      <c r="A43" s="9" t="s">
        <v>52</v>
      </c>
      <c r="D43" s="16"/>
      <c r="E43" s="16"/>
      <c r="F43" s="14"/>
      <c r="G43" s="29"/>
      <c r="H43" s="16"/>
      <c r="I43" s="16"/>
      <c r="J43" s="16"/>
      <c r="K43" s="16"/>
      <c r="S43" s="6">
        <v>36914</v>
      </c>
      <c r="T43">
        <v>366</v>
      </c>
      <c r="U43">
        <v>220</v>
      </c>
      <c r="V43">
        <f t="shared" si="0"/>
        <v>586</v>
      </c>
      <c r="X43" s="7">
        <v>0.33282</v>
      </c>
      <c r="Y43" s="7">
        <v>0.32798</v>
      </c>
      <c r="Z43" s="2">
        <f t="shared" si="1"/>
        <v>121.81</v>
      </c>
      <c r="AA43" s="2">
        <f t="shared" si="2"/>
        <v>72.16</v>
      </c>
      <c r="AB43" s="8">
        <f t="shared" si="3"/>
        <v>193.97</v>
      </c>
    </row>
    <row r="44" spans="1:28" ht="12.75">
      <c r="A44" s="9"/>
      <c r="D44" s="16"/>
      <c r="E44" s="16"/>
      <c r="F44" s="14"/>
      <c r="G44" s="29"/>
      <c r="H44" s="16"/>
      <c r="I44" s="16"/>
      <c r="J44" s="16"/>
      <c r="K44" s="16"/>
      <c r="S44" s="6">
        <v>36915</v>
      </c>
      <c r="T44">
        <v>395</v>
      </c>
      <c r="U44">
        <v>215</v>
      </c>
      <c r="V44">
        <f t="shared" si="0"/>
        <v>610</v>
      </c>
      <c r="X44" s="7">
        <v>0.31201</v>
      </c>
      <c r="Y44" s="7">
        <v>0.31323</v>
      </c>
      <c r="Z44" s="2">
        <f t="shared" si="1"/>
        <v>123.24</v>
      </c>
      <c r="AA44" s="2">
        <f t="shared" si="2"/>
        <v>67.34</v>
      </c>
      <c r="AB44" s="8">
        <f t="shared" si="3"/>
        <v>190.57999999999998</v>
      </c>
    </row>
    <row r="45" spans="1:28" ht="12.75">
      <c r="A45" s="9"/>
      <c r="D45" s="16"/>
      <c r="E45" s="16"/>
      <c r="F45" s="14"/>
      <c r="G45" s="29"/>
      <c r="H45" s="16"/>
      <c r="I45" s="16"/>
      <c r="J45" s="16"/>
      <c r="K45" s="16"/>
      <c r="S45" s="6">
        <v>36916</v>
      </c>
      <c r="T45">
        <v>401</v>
      </c>
      <c r="U45">
        <v>219</v>
      </c>
      <c r="V45">
        <f t="shared" si="0"/>
        <v>620</v>
      </c>
      <c r="X45" s="7">
        <v>0.31908</v>
      </c>
      <c r="Y45" s="7">
        <v>0.25289</v>
      </c>
      <c r="Z45" s="2">
        <f t="shared" si="1"/>
        <v>127.95</v>
      </c>
      <c r="AA45" s="2">
        <f t="shared" si="2"/>
        <v>55.38</v>
      </c>
      <c r="AB45" s="8">
        <f t="shared" si="3"/>
        <v>183.33</v>
      </c>
    </row>
    <row r="46" spans="1:28" ht="12.75">
      <c r="A46" s="9" t="s">
        <v>36</v>
      </c>
      <c r="B46">
        <v>49</v>
      </c>
      <c r="C46">
        <v>4400</v>
      </c>
      <c r="D46" s="16">
        <v>2.69</v>
      </c>
      <c r="E46" s="16">
        <f aca="true" t="shared" si="4" ref="E46:E54">ROUND(C46*D46,2)</f>
        <v>11836</v>
      </c>
      <c r="F46" s="14">
        <v>10000</v>
      </c>
      <c r="G46" s="29">
        <v>0.034299</v>
      </c>
      <c r="H46" s="16">
        <f>ROUND(+F46*G46,2)</f>
        <v>342.99</v>
      </c>
      <c r="I46" s="14">
        <f>ROUND(F46*0,2)</f>
        <v>0</v>
      </c>
      <c r="J46" s="16">
        <v>0</v>
      </c>
      <c r="K46" s="16">
        <f aca="true" t="shared" si="5" ref="K46:K54">E46+H46+I46+J46</f>
        <v>12178.99</v>
      </c>
      <c r="S46" s="6">
        <v>36917</v>
      </c>
      <c r="T46">
        <v>413</v>
      </c>
      <c r="U46">
        <v>229</v>
      </c>
      <c r="V46">
        <f t="shared" si="0"/>
        <v>642</v>
      </c>
      <c r="X46" s="7">
        <v>0.39668</v>
      </c>
      <c r="Y46" s="7">
        <v>0.37598</v>
      </c>
      <c r="Z46" s="2">
        <f t="shared" si="1"/>
        <v>163.83</v>
      </c>
      <c r="AA46" s="2">
        <f t="shared" si="2"/>
        <v>86.1</v>
      </c>
      <c r="AB46" s="8">
        <f t="shared" si="3"/>
        <v>249.93</v>
      </c>
    </row>
    <row r="47" spans="1:28" ht="12.75">
      <c r="A47" s="9" t="s">
        <v>37</v>
      </c>
      <c r="B47">
        <v>49</v>
      </c>
      <c r="C47">
        <v>4400</v>
      </c>
      <c r="D47" s="16">
        <v>2.69</v>
      </c>
      <c r="E47" s="16">
        <f t="shared" si="4"/>
        <v>11836</v>
      </c>
      <c r="F47" s="14">
        <v>16000</v>
      </c>
      <c r="G47" s="29">
        <v>0.034299</v>
      </c>
      <c r="H47" s="16">
        <f aca="true" t="shared" si="6" ref="H47:H54">ROUND(+F47*G47,2)</f>
        <v>548.78</v>
      </c>
      <c r="I47" s="14">
        <f aca="true" t="shared" si="7" ref="I47:I54">ROUND(F47*0,2)</f>
        <v>0</v>
      </c>
      <c r="J47" s="16">
        <f>9182-595-26.3+128.13</f>
        <v>8688.83</v>
      </c>
      <c r="K47" s="16">
        <f t="shared" si="5"/>
        <v>21073.61</v>
      </c>
      <c r="S47" s="6">
        <v>36918</v>
      </c>
      <c r="T47">
        <v>436</v>
      </c>
      <c r="U47">
        <v>242</v>
      </c>
      <c r="V47">
        <f t="shared" si="0"/>
        <v>678</v>
      </c>
      <c r="X47" s="7">
        <v>0.48964</v>
      </c>
      <c r="Y47" s="7">
        <v>0.49014</v>
      </c>
      <c r="Z47" s="2">
        <f t="shared" si="1"/>
        <v>213.48</v>
      </c>
      <c r="AA47" s="2">
        <f t="shared" si="2"/>
        <v>118.61</v>
      </c>
      <c r="AB47" s="8">
        <f t="shared" si="3"/>
        <v>332.09</v>
      </c>
    </row>
    <row r="48" spans="1:28" ht="12.75">
      <c r="A48" s="9" t="s">
        <v>38</v>
      </c>
      <c r="B48">
        <v>49</v>
      </c>
      <c r="C48">
        <v>4400</v>
      </c>
      <c r="D48" s="16">
        <v>2.69</v>
      </c>
      <c r="E48" s="16">
        <f t="shared" si="4"/>
        <v>11836</v>
      </c>
      <c r="F48" s="14">
        <v>15000</v>
      </c>
      <c r="G48" s="29">
        <v>0.034299</v>
      </c>
      <c r="H48" s="16">
        <f t="shared" si="6"/>
        <v>514.49</v>
      </c>
      <c r="I48" s="14">
        <f t="shared" si="7"/>
        <v>0</v>
      </c>
      <c r="J48" s="16">
        <f>9182-60+5.2+76.28+0.37</f>
        <v>9203.850000000002</v>
      </c>
      <c r="K48" s="16">
        <f t="shared" si="5"/>
        <v>21554.340000000004</v>
      </c>
      <c r="S48" s="6">
        <v>36919</v>
      </c>
      <c r="U48">
        <v>682</v>
      </c>
      <c r="V48">
        <f t="shared" si="0"/>
        <v>682</v>
      </c>
      <c r="X48" s="7"/>
      <c r="Y48" s="7">
        <v>0.49382</v>
      </c>
      <c r="Z48" s="2">
        <f t="shared" si="1"/>
        <v>0</v>
      </c>
      <c r="AA48" s="2">
        <f t="shared" si="2"/>
        <v>336.79</v>
      </c>
      <c r="AB48" s="8">
        <f t="shared" si="3"/>
        <v>336.79</v>
      </c>
    </row>
    <row r="49" spans="1:28" ht="12.75">
      <c r="A49" s="9" t="s">
        <v>39</v>
      </c>
      <c r="B49">
        <v>49</v>
      </c>
      <c r="C49">
        <v>4400</v>
      </c>
      <c r="D49" s="16">
        <v>2.69</v>
      </c>
      <c r="E49" s="16">
        <f t="shared" si="4"/>
        <v>11836</v>
      </c>
      <c r="F49" s="14">
        <v>16000</v>
      </c>
      <c r="G49" s="29">
        <v>0.034299</v>
      </c>
      <c r="H49" s="16">
        <f t="shared" si="6"/>
        <v>548.78</v>
      </c>
      <c r="I49" s="14">
        <f t="shared" si="7"/>
        <v>0</v>
      </c>
      <c r="J49" s="16">
        <f>9182+80.57</f>
        <v>9262.57</v>
      </c>
      <c r="K49" s="16">
        <f t="shared" si="5"/>
        <v>21647.35</v>
      </c>
      <c r="S49" s="6">
        <v>36920</v>
      </c>
      <c r="T49">
        <v>409</v>
      </c>
      <c r="U49">
        <v>224</v>
      </c>
      <c r="V49">
        <f t="shared" si="0"/>
        <v>633</v>
      </c>
      <c r="X49" s="7">
        <v>0.41154</v>
      </c>
      <c r="Y49" s="7">
        <v>0.32783</v>
      </c>
      <c r="Z49" s="2">
        <f t="shared" si="1"/>
        <v>168.32</v>
      </c>
      <c r="AA49" s="2">
        <f t="shared" si="2"/>
        <v>73.43</v>
      </c>
      <c r="AB49" s="8">
        <f t="shared" si="3"/>
        <v>241.75</v>
      </c>
    </row>
    <row r="50" spans="1:28" ht="12.75">
      <c r="A50" s="9" t="s">
        <v>40</v>
      </c>
      <c r="B50">
        <v>49</v>
      </c>
      <c r="C50">
        <v>4400</v>
      </c>
      <c r="D50" s="16">
        <v>2.69</v>
      </c>
      <c r="E50" s="16">
        <f t="shared" si="4"/>
        <v>11836</v>
      </c>
      <c r="F50" s="14">
        <v>15000</v>
      </c>
      <c r="G50" s="29">
        <v>0.034299</v>
      </c>
      <c r="H50" s="16">
        <f t="shared" si="6"/>
        <v>514.49</v>
      </c>
      <c r="I50" s="14">
        <f t="shared" si="7"/>
        <v>0</v>
      </c>
      <c r="J50" s="16">
        <f>9182+73.95</f>
        <v>9255.95</v>
      </c>
      <c r="K50" s="16">
        <f t="shared" si="5"/>
        <v>21606.440000000002</v>
      </c>
      <c r="S50" s="6">
        <v>36921</v>
      </c>
      <c r="T50">
        <v>415</v>
      </c>
      <c r="U50">
        <v>223</v>
      </c>
      <c r="V50">
        <f t="shared" si="0"/>
        <v>638</v>
      </c>
      <c r="X50" s="7">
        <v>0.41169</v>
      </c>
      <c r="Y50" s="7">
        <v>0.37705</v>
      </c>
      <c r="Z50" s="2">
        <f t="shared" si="1"/>
        <v>170.85</v>
      </c>
      <c r="AA50" s="2">
        <f t="shared" si="2"/>
        <v>84.08</v>
      </c>
      <c r="AB50" s="8">
        <f t="shared" si="3"/>
        <v>254.93</v>
      </c>
    </row>
    <row r="51" spans="1:30" ht="12.75">
      <c r="A51" s="9" t="s">
        <v>41</v>
      </c>
      <c r="B51">
        <v>49</v>
      </c>
      <c r="C51">
        <v>4400</v>
      </c>
      <c r="D51" s="16">
        <v>2.69</v>
      </c>
      <c r="E51" s="16">
        <f t="shared" si="4"/>
        <v>11836</v>
      </c>
      <c r="F51" s="14">
        <v>16000</v>
      </c>
      <c r="G51" s="29">
        <v>0.034299</v>
      </c>
      <c r="H51" s="16">
        <f t="shared" si="6"/>
        <v>548.78</v>
      </c>
      <c r="I51" s="14">
        <f t="shared" si="7"/>
        <v>0</v>
      </c>
      <c r="J51" s="16">
        <f>9182+73.49</f>
        <v>9255.49</v>
      </c>
      <c r="K51" s="16">
        <f t="shared" si="5"/>
        <v>21640.27</v>
      </c>
      <c r="S51" s="6">
        <v>36922</v>
      </c>
      <c r="T51">
        <v>403</v>
      </c>
      <c r="U51">
        <v>224</v>
      </c>
      <c r="V51">
        <f t="shared" si="0"/>
        <v>627</v>
      </c>
      <c r="X51" s="7">
        <v>0.33724</v>
      </c>
      <c r="Y51" s="7">
        <v>0.29597</v>
      </c>
      <c r="Z51" s="2">
        <f t="shared" si="1"/>
        <v>135.91</v>
      </c>
      <c r="AA51" s="2">
        <f t="shared" si="2"/>
        <v>66.3</v>
      </c>
      <c r="AB51" s="8">
        <f t="shared" si="3"/>
        <v>202.20999999999998</v>
      </c>
      <c r="AC51" s="17">
        <f>SUM(V21:V51)</f>
        <v>18971</v>
      </c>
      <c r="AD51" s="8">
        <f>SUM(AB21:AB51)</f>
        <v>5099.1900000000005</v>
      </c>
    </row>
    <row r="52" spans="1:28" ht="12.75">
      <c r="A52" s="9" t="s">
        <v>42</v>
      </c>
      <c r="B52">
        <v>49</v>
      </c>
      <c r="C52">
        <v>4400</v>
      </c>
      <c r="D52" s="16">
        <v>2.69</v>
      </c>
      <c r="E52" s="16">
        <f t="shared" si="4"/>
        <v>11836</v>
      </c>
      <c r="F52" s="14">
        <v>17000</v>
      </c>
      <c r="G52" s="29">
        <v>0.036913</v>
      </c>
      <c r="H52" s="16">
        <f t="shared" si="6"/>
        <v>627.52</v>
      </c>
      <c r="I52" s="14">
        <f t="shared" si="7"/>
        <v>0</v>
      </c>
      <c r="J52" s="16">
        <f>9182-140+105.2</f>
        <v>9147.2</v>
      </c>
      <c r="K52" s="16">
        <f t="shared" si="5"/>
        <v>21610.72</v>
      </c>
      <c r="S52" s="6">
        <v>36923</v>
      </c>
      <c r="T52">
        <v>421</v>
      </c>
      <c r="U52">
        <v>232</v>
      </c>
      <c r="V52">
        <f t="shared" si="0"/>
        <v>653</v>
      </c>
      <c r="X52" s="7">
        <v>0.27542</v>
      </c>
      <c r="Y52" s="7">
        <v>0.21393</v>
      </c>
      <c r="Z52" s="2">
        <f t="shared" si="1"/>
        <v>115.95</v>
      </c>
      <c r="AA52" s="2">
        <f t="shared" si="2"/>
        <v>49.63</v>
      </c>
      <c r="AB52" s="8">
        <f t="shared" si="3"/>
        <v>165.58</v>
      </c>
    </row>
    <row r="53" spans="1:28" ht="12.75">
      <c r="A53" s="9" t="s">
        <v>43</v>
      </c>
      <c r="B53">
        <v>49</v>
      </c>
      <c r="C53">
        <v>4400</v>
      </c>
      <c r="D53" s="16">
        <v>2.69</v>
      </c>
      <c r="E53" s="16">
        <f t="shared" si="4"/>
        <v>11836</v>
      </c>
      <c r="F53" s="14">
        <v>18000</v>
      </c>
      <c r="G53" s="29">
        <v>0.036913</v>
      </c>
      <c r="H53" s="16">
        <f t="shared" si="6"/>
        <v>664.43</v>
      </c>
      <c r="I53" s="14">
        <f t="shared" si="7"/>
        <v>0</v>
      </c>
      <c r="J53" s="16">
        <f>9182+139.93</f>
        <v>9321.93</v>
      </c>
      <c r="K53" s="16">
        <f t="shared" si="5"/>
        <v>21822.36</v>
      </c>
      <c r="S53" s="6">
        <v>36924</v>
      </c>
      <c r="T53">
        <v>385</v>
      </c>
      <c r="U53">
        <v>240</v>
      </c>
      <c r="V53">
        <f t="shared" si="0"/>
        <v>625</v>
      </c>
      <c r="X53" s="7">
        <v>0.22018</v>
      </c>
      <c r="Y53" s="7">
        <v>0.21596</v>
      </c>
      <c r="Z53" s="2">
        <f t="shared" si="1"/>
        <v>84.77</v>
      </c>
      <c r="AA53" s="2">
        <f t="shared" si="2"/>
        <v>51.83</v>
      </c>
      <c r="AB53" s="8">
        <f t="shared" si="3"/>
        <v>136.6</v>
      </c>
    </row>
    <row r="54" spans="1:28" ht="12.75">
      <c r="A54" s="9" t="s">
        <v>44</v>
      </c>
      <c r="B54">
        <v>49</v>
      </c>
      <c r="C54" s="33">
        <v>4400</v>
      </c>
      <c r="D54" s="34">
        <v>2.69</v>
      </c>
      <c r="E54" s="34">
        <f t="shared" si="4"/>
        <v>11836</v>
      </c>
      <c r="F54" s="35">
        <v>19000</v>
      </c>
      <c r="G54" s="36">
        <v>0.036913</v>
      </c>
      <c r="H54" s="34">
        <f t="shared" si="6"/>
        <v>701.35</v>
      </c>
      <c r="I54" s="35">
        <f t="shared" si="7"/>
        <v>0</v>
      </c>
      <c r="J54" s="34">
        <f>9182+158.99</f>
        <v>9340.99</v>
      </c>
      <c r="K54" s="34">
        <f t="shared" si="5"/>
        <v>21878.34</v>
      </c>
      <c r="S54" s="6">
        <v>36925</v>
      </c>
      <c r="T54">
        <v>367</v>
      </c>
      <c r="U54">
        <v>221</v>
      </c>
      <c r="V54">
        <f t="shared" si="0"/>
        <v>588</v>
      </c>
      <c r="X54" s="7">
        <v>0.19996</v>
      </c>
      <c r="Y54" s="7">
        <v>0.2159</v>
      </c>
      <c r="Z54" s="2">
        <f t="shared" si="1"/>
        <v>73.39</v>
      </c>
      <c r="AA54" s="2">
        <f t="shared" si="2"/>
        <v>47.71</v>
      </c>
      <c r="AB54" s="8">
        <f t="shared" si="3"/>
        <v>121.1</v>
      </c>
    </row>
    <row r="55" spans="2:28" ht="12.75">
      <c r="B55" s="14"/>
      <c r="C55" s="18">
        <f>SUM(C46:C54)</f>
        <v>39600</v>
      </c>
      <c r="D55" s="16"/>
      <c r="E55" s="16">
        <f>SUM(E46:E54)</f>
        <v>106524</v>
      </c>
      <c r="F55" s="14">
        <f>SUM(F46:F54)</f>
        <v>142000</v>
      </c>
      <c r="H55" s="16">
        <f>SUM(H46:H54)</f>
        <v>5011.61</v>
      </c>
      <c r="I55" s="16"/>
      <c r="J55" s="16">
        <f>SUM(J46:J54)</f>
        <v>73476.81</v>
      </c>
      <c r="K55" s="16">
        <f>SUM(K46:K54)</f>
        <v>185012.42</v>
      </c>
      <c r="S55" s="6">
        <v>36926</v>
      </c>
      <c r="U55">
        <v>608</v>
      </c>
      <c r="V55">
        <f t="shared" si="0"/>
        <v>608</v>
      </c>
      <c r="X55" s="7"/>
      <c r="Y55" s="7">
        <v>0.18941</v>
      </c>
      <c r="Z55" s="2">
        <f t="shared" si="1"/>
        <v>0</v>
      </c>
      <c r="AA55" s="2">
        <f t="shared" si="2"/>
        <v>115.16</v>
      </c>
      <c r="AB55" s="8">
        <f t="shared" si="3"/>
        <v>115.16</v>
      </c>
    </row>
    <row r="56" spans="19:28" ht="12.75">
      <c r="S56" s="6">
        <v>36927</v>
      </c>
      <c r="T56">
        <v>414</v>
      </c>
      <c r="U56">
        <v>224</v>
      </c>
      <c r="V56">
        <f t="shared" si="0"/>
        <v>638</v>
      </c>
      <c r="X56" s="7">
        <v>0.22079</v>
      </c>
      <c r="Y56" s="7">
        <v>0.19421</v>
      </c>
      <c r="Z56" s="2">
        <f t="shared" si="1"/>
        <v>91.41</v>
      </c>
      <c r="AA56" s="2">
        <f t="shared" si="2"/>
        <v>43.5</v>
      </c>
      <c r="AB56" s="8">
        <f t="shared" si="3"/>
        <v>134.91</v>
      </c>
    </row>
    <row r="57" spans="1:28" ht="12.75">
      <c r="A57" s="27"/>
      <c r="B57" s="27"/>
      <c r="C57" s="27"/>
      <c r="D57" s="27" t="s">
        <v>78</v>
      </c>
      <c r="S57" s="6">
        <v>36928</v>
      </c>
      <c r="T57">
        <v>426</v>
      </c>
      <c r="U57">
        <v>228</v>
      </c>
      <c r="V57">
        <f t="shared" si="0"/>
        <v>654</v>
      </c>
      <c r="X57" s="7">
        <v>0.27989</v>
      </c>
      <c r="Y57" s="7">
        <v>0.21187</v>
      </c>
      <c r="Z57" s="2">
        <f t="shared" si="1"/>
        <v>119.23</v>
      </c>
      <c r="AA57" s="2">
        <f t="shared" si="2"/>
        <v>48.31</v>
      </c>
      <c r="AB57" s="8">
        <f t="shared" si="3"/>
        <v>167.54000000000002</v>
      </c>
    </row>
    <row r="58" spans="19:28" ht="12.75">
      <c r="S58" s="6">
        <v>36929</v>
      </c>
      <c r="T58">
        <v>433</v>
      </c>
      <c r="U58">
        <v>231</v>
      </c>
      <c r="V58">
        <f t="shared" si="0"/>
        <v>664</v>
      </c>
      <c r="X58" s="7">
        <v>0.31728</v>
      </c>
      <c r="Y58" s="7">
        <v>0.27039</v>
      </c>
      <c r="Z58" s="2">
        <f t="shared" si="1"/>
        <v>137.38</v>
      </c>
      <c r="AA58" s="2">
        <f t="shared" si="2"/>
        <v>62.46</v>
      </c>
      <c r="AB58" s="8">
        <f t="shared" si="3"/>
        <v>199.84</v>
      </c>
    </row>
    <row r="59" spans="3:28" ht="12.75">
      <c r="C59" t="s">
        <v>51</v>
      </c>
      <c r="D59" s="4" t="s">
        <v>0</v>
      </c>
      <c r="E59" s="4" t="s">
        <v>0</v>
      </c>
      <c r="G59" t="s">
        <v>68</v>
      </c>
      <c r="H59" s="4" t="s">
        <v>24</v>
      </c>
      <c r="J59" s="4" t="s">
        <v>72</v>
      </c>
      <c r="K59" s="4" t="s">
        <v>54</v>
      </c>
      <c r="S59" s="6">
        <v>36930</v>
      </c>
      <c r="T59">
        <v>463</v>
      </c>
      <c r="U59">
        <v>240</v>
      </c>
      <c r="V59">
        <f aca="true" t="shared" si="8" ref="V59:V90">SUM(T59:U59)</f>
        <v>703</v>
      </c>
      <c r="X59" s="7">
        <v>0.36651</v>
      </c>
      <c r="Y59" s="7">
        <v>0.34501</v>
      </c>
      <c r="Z59" s="2">
        <f aca="true" t="shared" si="9" ref="Z59:Z90">IF(W59="YES","NA",ROUND(+T59*X59,2))</f>
        <v>169.69</v>
      </c>
      <c r="AA59" s="2">
        <f aca="true" t="shared" si="10" ref="AA59:AA90">IF(W59="YES",ROUND(V59*Y59,2),ROUND(+U59*Y59,2))</f>
        <v>82.8</v>
      </c>
      <c r="AB59" s="8">
        <f aca="true" t="shared" si="11" ref="AB59:AB90">SUM(Z59:AA59)</f>
        <v>252.49</v>
      </c>
    </row>
    <row r="60" spans="2:28" ht="12.75">
      <c r="B60" s="4" t="s">
        <v>70</v>
      </c>
      <c r="C60" s="4" t="s">
        <v>0</v>
      </c>
      <c r="D60" s="4" t="s">
        <v>31</v>
      </c>
      <c r="E60" s="4" t="s">
        <v>45</v>
      </c>
      <c r="F60" s="4" t="s">
        <v>46</v>
      </c>
      <c r="G60" s="4" t="s">
        <v>69</v>
      </c>
      <c r="H60" s="4" t="s">
        <v>45</v>
      </c>
      <c r="I60" s="4" t="s">
        <v>53</v>
      </c>
      <c r="J60" s="4" t="s">
        <v>71</v>
      </c>
      <c r="K60" s="4" t="s">
        <v>55</v>
      </c>
      <c r="L60" s="4" t="s">
        <v>25</v>
      </c>
      <c r="M60" s="4" t="s">
        <v>26</v>
      </c>
      <c r="S60" s="6">
        <v>36931</v>
      </c>
      <c r="T60">
        <v>397</v>
      </c>
      <c r="U60">
        <v>254</v>
      </c>
      <c r="V60">
        <f t="shared" si="8"/>
        <v>651</v>
      </c>
      <c r="X60" s="7">
        <v>0.36731</v>
      </c>
      <c r="Y60" s="7">
        <v>0.33031</v>
      </c>
      <c r="Z60" s="2">
        <f t="shared" si="9"/>
        <v>145.82</v>
      </c>
      <c r="AA60" s="2">
        <f t="shared" si="10"/>
        <v>83.9</v>
      </c>
      <c r="AB60" s="8">
        <f t="shared" si="11"/>
        <v>229.72</v>
      </c>
    </row>
    <row r="61" spans="19:28" ht="12.75">
      <c r="S61" s="6">
        <v>36932</v>
      </c>
      <c r="T61">
        <v>369</v>
      </c>
      <c r="U61">
        <v>229</v>
      </c>
      <c r="V61">
        <f t="shared" si="8"/>
        <v>598</v>
      </c>
      <c r="X61" s="7">
        <v>0.34618</v>
      </c>
      <c r="Y61" s="7">
        <v>0.33256</v>
      </c>
      <c r="Z61" s="2">
        <f t="shared" si="9"/>
        <v>127.74</v>
      </c>
      <c r="AA61" s="2">
        <f t="shared" si="10"/>
        <v>76.16</v>
      </c>
      <c r="AB61" s="8">
        <f t="shared" si="11"/>
        <v>203.89999999999998</v>
      </c>
    </row>
    <row r="62" spans="1:28" ht="12.75">
      <c r="A62" s="9" t="s">
        <v>33</v>
      </c>
      <c r="B62">
        <v>31</v>
      </c>
      <c r="C62">
        <v>71</v>
      </c>
      <c r="D62" s="28">
        <v>6.23</v>
      </c>
      <c r="E62" s="16">
        <f aca="true" t="shared" si="12" ref="E62:E73">ROUND(C62*D62,2)</f>
        <v>442.33</v>
      </c>
      <c r="F62" s="26">
        <v>18971</v>
      </c>
      <c r="G62" s="44">
        <v>0.042173</v>
      </c>
      <c r="H62" s="16">
        <f>ROUND(+F62*G62,2)</f>
        <v>800.06</v>
      </c>
      <c r="I62" s="39">
        <v>46000</v>
      </c>
      <c r="J62" s="30">
        <v>0.00078</v>
      </c>
      <c r="K62" s="28">
        <f>IF(C62&gt;100,ROUND(I62*J62,2),0)</f>
        <v>0</v>
      </c>
      <c r="L62" s="28">
        <f>156.17-20.35+9182+200</f>
        <v>9517.82</v>
      </c>
      <c r="M62" s="31">
        <f aca="true" t="shared" si="13" ref="M62:M73">E62+H62+K62+L62</f>
        <v>10760.21</v>
      </c>
      <c r="S62" s="6">
        <v>36933</v>
      </c>
      <c r="U62">
        <v>601</v>
      </c>
      <c r="V62">
        <f t="shared" si="8"/>
        <v>601</v>
      </c>
      <c r="X62" s="7"/>
      <c r="Y62" s="7">
        <v>0.35042</v>
      </c>
      <c r="Z62" s="2">
        <f t="shared" si="9"/>
        <v>0</v>
      </c>
      <c r="AA62" s="2">
        <f t="shared" si="10"/>
        <v>210.6</v>
      </c>
      <c r="AB62" s="8">
        <f t="shared" si="11"/>
        <v>210.6</v>
      </c>
    </row>
    <row r="63" spans="1:28" ht="12.75">
      <c r="A63" s="9" t="s">
        <v>34</v>
      </c>
      <c r="B63">
        <v>31</v>
      </c>
      <c r="C63">
        <v>72</v>
      </c>
      <c r="D63" s="28">
        <v>6.23</v>
      </c>
      <c r="E63" s="16">
        <f t="shared" si="12"/>
        <v>448.56</v>
      </c>
      <c r="F63" s="26">
        <v>17602</v>
      </c>
      <c r="G63" s="44">
        <v>0.042173</v>
      </c>
      <c r="H63" s="16">
        <f aca="true" t="shared" si="14" ref="H63:H73">ROUND(+F63*G63,2)</f>
        <v>742.33</v>
      </c>
      <c r="I63" s="39">
        <v>40000</v>
      </c>
      <c r="J63" s="30">
        <v>0.00078</v>
      </c>
      <c r="K63" s="28">
        <f aca="true" t="shared" si="15" ref="K63:K73">IF(C63&gt;100,ROUND(I63*J63,2),0)</f>
        <v>0</v>
      </c>
      <c r="L63" s="28">
        <f>9182+126.07+200</f>
        <v>9508.07</v>
      </c>
      <c r="M63" s="31">
        <f t="shared" si="13"/>
        <v>10698.96</v>
      </c>
      <c r="S63" s="6">
        <v>36934</v>
      </c>
      <c r="T63">
        <v>383</v>
      </c>
      <c r="U63">
        <v>232</v>
      </c>
      <c r="V63">
        <f t="shared" si="8"/>
        <v>615</v>
      </c>
      <c r="X63" s="7">
        <v>0.2926</v>
      </c>
      <c r="Y63" s="7">
        <v>0.34859</v>
      </c>
      <c r="Z63" s="2">
        <f t="shared" si="9"/>
        <v>112.07</v>
      </c>
      <c r="AA63" s="2">
        <f t="shared" si="10"/>
        <v>80.87</v>
      </c>
      <c r="AB63" s="8">
        <f t="shared" si="11"/>
        <v>192.94</v>
      </c>
    </row>
    <row r="64" spans="1:28" ht="12.75">
      <c r="A64" s="9" t="s">
        <v>35</v>
      </c>
      <c r="B64">
        <v>31</v>
      </c>
      <c r="C64">
        <v>3886</v>
      </c>
      <c r="D64" s="28">
        <v>6.23</v>
      </c>
      <c r="E64" s="16">
        <f t="shared" si="12"/>
        <v>24209.78</v>
      </c>
      <c r="F64" s="26">
        <v>20167</v>
      </c>
      <c r="G64" s="44">
        <v>0.042173</v>
      </c>
      <c r="H64" s="16">
        <f t="shared" si="14"/>
        <v>850.5</v>
      </c>
      <c r="I64" s="39">
        <v>43000</v>
      </c>
      <c r="J64" s="30">
        <v>0.00078</v>
      </c>
      <c r="K64" s="28">
        <f t="shared" si="15"/>
        <v>33.54</v>
      </c>
      <c r="L64" s="28">
        <f>9292.72+200</f>
        <v>9492.72</v>
      </c>
      <c r="M64" s="31">
        <f t="shared" si="13"/>
        <v>34586.54</v>
      </c>
      <c r="S64" s="6">
        <v>36935</v>
      </c>
      <c r="T64">
        <v>405</v>
      </c>
      <c r="U64">
        <v>232</v>
      </c>
      <c r="V64">
        <f t="shared" si="8"/>
        <v>637</v>
      </c>
      <c r="X64" s="7">
        <v>0.41479</v>
      </c>
      <c r="Y64" s="7">
        <v>0.35465</v>
      </c>
      <c r="Z64" s="2">
        <f t="shared" si="9"/>
        <v>167.99</v>
      </c>
      <c r="AA64" s="2">
        <f t="shared" si="10"/>
        <v>82.28</v>
      </c>
      <c r="AB64" s="8">
        <f t="shared" si="11"/>
        <v>250.27</v>
      </c>
    </row>
    <row r="65" spans="1:28" ht="12.75">
      <c r="A65" s="9" t="s">
        <v>36</v>
      </c>
      <c r="B65">
        <v>31</v>
      </c>
      <c r="C65">
        <v>418</v>
      </c>
      <c r="D65" s="28">
        <v>4.15</v>
      </c>
      <c r="E65" s="16">
        <f t="shared" si="12"/>
        <v>1734.7</v>
      </c>
      <c r="F65" s="26">
        <f>7404+10000</f>
        <v>17404</v>
      </c>
      <c r="G65" s="44">
        <v>0.042173</v>
      </c>
      <c r="H65" s="16">
        <f t="shared" si="14"/>
        <v>733.98</v>
      </c>
      <c r="I65" s="39">
        <f>18000+27000</f>
        <v>45000</v>
      </c>
      <c r="J65" s="30">
        <v>0.00078</v>
      </c>
      <c r="K65" s="28">
        <f t="shared" si="15"/>
        <v>35.1</v>
      </c>
      <c r="L65" s="28">
        <f>129.92+9182+200</f>
        <v>9511.92</v>
      </c>
      <c r="M65" s="31">
        <f t="shared" si="13"/>
        <v>12015.7</v>
      </c>
      <c r="S65" s="6">
        <v>36936</v>
      </c>
      <c r="T65">
        <v>438</v>
      </c>
      <c r="U65">
        <v>236</v>
      </c>
      <c r="V65">
        <f t="shared" si="8"/>
        <v>674</v>
      </c>
      <c r="X65" s="7">
        <v>0.51365</v>
      </c>
      <c r="Y65" s="7">
        <v>0.50626</v>
      </c>
      <c r="Z65" s="2">
        <f t="shared" si="9"/>
        <v>224.98</v>
      </c>
      <c r="AA65" s="2">
        <f t="shared" si="10"/>
        <v>119.48</v>
      </c>
      <c r="AB65" s="8">
        <f t="shared" si="11"/>
        <v>344.46</v>
      </c>
    </row>
    <row r="66" spans="1:28" ht="12.75">
      <c r="A66" s="9" t="s">
        <v>37</v>
      </c>
      <c r="B66">
        <v>31</v>
      </c>
      <c r="C66">
        <v>69</v>
      </c>
      <c r="D66" s="28">
        <v>4.15</v>
      </c>
      <c r="E66" s="16">
        <f t="shared" si="12"/>
        <v>286.35</v>
      </c>
      <c r="F66" s="14">
        <v>16000</v>
      </c>
      <c r="G66" s="44">
        <v>0.042173</v>
      </c>
      <c r="H66" s="16">
        <f t="shared" si="14"/>
        <v>674.77</v>
      </c>
      <c r="I66" s="39">
        <v>44000</v>
      </c>
      <c r="J66" s="30">
        <v>0.00078</v>
      </c>
      <c r="K66" s="28">
        <f t="shared" si="15"/>
        <v>0</v>
      </c>
      <c r="L66" s="28">
        <f>101.83+9182+200</f>
        <v>9483.83</v>
      </c>
      <c r="M66" s="31">
        <f t="shared" si="13"/>
        <v>10444.95</v>
      </c>
      <c r="S66" s="6">
        <v>36937</v>
      </c>
      <c r="T66">
        <v>398</v>
      </c>
      <c r="U66">
        <v>254</v>
      </c>
      <c r="V66">
        <f t="shared" si="8"/>
        <v>652</v>
      </c>
      <c r="X66" s="7">
        <v>0.3747</v>
      </c>
      <c r="Y66" s="7">
        <v>0.42743</v>
      </c>
      <c r="Z66" s="2">
        <f t="shared" si="9"/>
        <v>149.13</v>
      </c>
      <c r="AA66" s="2">
        <f t="shared" si="10"/>
        <v>108.57</v>
      </c>
      <c r="AB66" s="8">
        <f t="shared" si="11"/>
        <v>257.7</v>
      </c>
    </row>
    <row r="67" spans="1:28" ht="12.75">
      <c r="A67" s="9" t="s">
        <v>38</v>
      </c>
      <c r="B67">
        <v>31</v>
      </c>
      <c r="C67">
        <v>69</v>
      </c>
      <c r="D67" s="28">
        <v>4.15</v>
      </c>
      <c r="E67" s="16">
        <f t="shared" si="12"/>
        <v>286.35</v>
      </c>
      <c r="F67" s="14">
        <v>15000</v>
      </c>
      <c r="G67" s="44">
        <v>0.042173</v>
      </c>
      <c r="H67" s="16">
        <f t="shared" si="14"/>
        <v>632.6</v>
      </c>
      <c r="I67" s="39">
        <v>43000</v>
      </c>
      <c r="J67" s="30">
        <v>0.00078</v>
      </c>
      <c r="K67" s="28">
        <f t="shared" si="15"/>
        <v>0</v>
      </c>
      <c r="L67" s="28">
        <f>81.85+9182+200</f>
        <v>9463.85</v>
      </c>
      <c r="M67" s="31">
        <f t="shared" si="13"/>
        <v>10382.800000000001</v>
      </c>
      <c r="S67" s="6">
        <v>36938</v>
      </c>
      <c r="T67">
        <v>416</v>
      </c>
      <c r="U67">
        <v>229</v>
      </c>
      <c r="V67">
        <f t="shared" si="8"/>
        <v>645</v>
      </c>
      <c r="X67" s="7">
        <v>0.42642</v>
      </c>
      <c r="Y67" s="7">
        <v>0.37598</v>
      </c>
      <c r="Z67" s="2">
        <f t="shared" si="9"/>
        <v>177.39</v>
      </c>
      <c r="AA67" s="2">
        <f t="shared" si="10"/>
        <v>86.1</v>
      </c>
      <c r="AB67" s="8">
        <f t="shared" si="11"/>
        <v>263.49</v>
      </c>
    </row>
    <row r="68" spans="1:28" ht="12.75">
      <c r="A68" s="9" t="s">
        <v>39</v>
      </c>
      <c r="B68">
        <v>31</v>
      </c>
      <c r="C68">
        <v>68</v>
      </c>
      <c r="D68" s="28">
        <v>4.15</v>
      </c>
      <c r="E68" s="16">
        <f t="shared" si="12"/>
        <v>282.2</v>
      </c>
      <c r="F68" s="14">
        <v>16000</v>
      </c>
      <c r="G68" s="44">
        <v>0.042173</v>
      </c>
      <c r="H68" s="16">
        <f t="shared" si="14"/>
        <v>674.77</v>
      </c>
      <c r="I68" s="39">
        <v>45000</v>
      </c>
      <c r="J68" s="30">
        <v>0.00078</v>
      </c>
      <c r="K68" s="28">
        <f t="shared" si="15"/>
        <v>0</v>
      </c>
      <c r="L68" s="28">
        <f>80.57+9182+200</f>
        <v>9462.57</v>
      </c>
      <c r="M68" s="31">
        <f t="shared" si="13"/>
        <v>10419.539999999999</v>
      </c>
      <c r="S68" s="6">
        <v>36939</v>
      </c>
      <c r="T68">
        <v>372</v>
      </c>
      <c r="U68">
        <v>228</v>
      </c>
      <c r="V68">
        <f t="shared" si="8"/>
        <v>600</v>
      </c>
      <c r="X68" s="7">
        <v>0.37352</v>
      </c>
      <c r="Y68" s="7">
        <v>0.35731</v>
      </c>
      <c r="Z68" s="2">
        <f t="shared" si="9"/>
        <v>138.95</v>
      </c>
      <c r="AA68" s="2">
        <f t="shared" si="10"/>
        <v>81.47</v>
      </c>
      <c r="AB68" s="8">
        <f t="shared" si="11"/>
        <v>220.42</v>
      </c>
    </row>
    <row r="69" spans="1:28" ht="12.75">
      <c r="A69" s="9" t="s">
        <v>40</v>
      </c>
      <c r="B69">
        <v>31</v>
      </c>
      <c r="C69">
        <v>70</v>
      </c>
      <c r="D69" s="28">
        <v>4.15</v>
      </c>
      <c r="E69" s="16">
        <f t="shared" si="12"/>
        <v>290.5</v>
      </c>
      <c r="F69" s="14">
        <v>15000</v>
      </c>
      <c r="G69" s="44">
        <v>0.042173</v>
      </c>
      <c r="H69" s="16">
        <f t="shared" si="14"/>
        <v>632.6</v>
      </c>
      <c r="I69" s="39">
        <v>45000</v>
      </c>
      <c r="J69" s="30">
        <v>0.00078</v>
      </c>
      <c r="K69" s="28">
        <f t="shared" si="15"/>
        <v>0</v>
      </c>
      <c r="L69" s="28">
        <f>73.95+9182+200</f>
        <v>9455.95</v>
      </c>
      <c r="M69" s="31">
        <f t="shared" si="13"/>
        <v>10379.050000000001</v>
      </c>
      <c r="S69" s="6">
        <v>36940</v>
      </c>
      <c r="U69">
        <v>586</v>
      </c>
      <c r="V69">
        <f t="shared" si="8"/>
        <v>586</v>
      </c>
      <c r="X69" s="7"/>
      <c r="Y69" s="7">
        <v>0.28661</v>
      </c>
      <c r="Z69" s="2">
        <f t="shared" si="9"/>
        <v>0</v>
      </c>
      <c r="AA69" s="2">
        <f t="shared" si="10"/>
        <v>167.95</v>
      </c>
      <c r="AB69" s="8">
        <f t="shared" si="11"/>
        <v>167.95</v>
      </c>
    </row>
    <row r="70" spans="1:28" ht="12.75">
      <c r="A70" s="9" t="s">
        <v>41</v>
      </c>
      <c r="B70">
        <v>31</v>
      </c>
      <c r="C70">
        <v>71</v>
      </c>
      <c r="D70" s="28">
        <v>4.15</v>
      </c>
      <c r="E70" s="16">
        <f t="shared" si="12"/>
        <v>294.65</v>
      </c>
      <c r="F70" s="14">
        <v>16000</v>
      </c>
      <c r="G70" s="44">
        <v>0.042173</v>
      </c>
      <c r="H70" s="16">
        <f t="shared" si="14"/>
        <v>674.77</v>
      </c>
      <c r="I70" s="39">
        <v>44000</v>
      </c>
      <c r="J70" s="30">
        <v>0.00078</v>
      </c>
      <c r="K70" s="28">
        <f t="shared" si="15"/>
        <v>0</v>
      </c>
      <c r="L70" s="28">
        <f>73.49+9182+200</f>
        <v>9455.49</v>
      </c>
      <c r="M70" s="31">
        <f t="shared" si="13"/>
        <v>10424.91</v>
      </c>
      <c r="S70" s="6">
        <v>36941</v>
      </c>
      <c r="T70">
        <v>431</v>
      </c>
      <c r="U70">
        <v>237</v>
      </c>
      <c r="V70">
        <f t="shared" si="8"/>
        <v>668</v>
      </c>
      <c r="X70" s="7">
        <v>0.36035</v>
      </c>
      <c r="Y70" s="7">
        <v>0.27974</v>
      </c>
      <c r="Z70" s="2">
        <f t="shared" si="9"/>
        <v>155.31</v>
      </c>
      <c r="AA70" s="2">
        <f t="shared" si="10"/>
        <v>66.3</v>
      </c>
      <c r="AB70" s="8">
        <f t="shared" si="11"/>
        <v>221.61</v>
      </c>
    </row>
    <row r="71" spans="1:28" ht="12.75">
      <c r="A71" s="9" t="s">
        <v>42</v>
      </c>
      <c r="B71">
        <v>31</v>
      </c>
      <c r="C71">
        <v>85</v>
      </c>
      <c r="D71" s="28">
        <v>6.23</v>
      </c>
      <c r="E71" s="16">
        <f t="shared" si="12"/>
        <v>529.55</v>
      </c>
      <c r="F71" s="14">
        <v>17000</v>
      </c>
      <c r="G71" s="44">
        <v>0.042173</v>
      </c>
      <c r="H71" s="16">
        <f t="shared" si="14"/>
        <v>716.94</v>
      </c>
      <c r="I71" s="39">
        <v>43000</v>
      </c>
      <c r="J71" s="30">
        <v>0.00078</v>
      </c>
      <c r="K71" s="28">
        <f t="shared" si="15"/>
        <v>0</v>
      </c>
      <c r="L71" s="28">
        <f>105.2+9182+200</f>
        <v>9487.2</v>
      </c>
      <c r="M71" s="31">
        <f t="shared" si="13"/>
        <v>10733.69</v>
      </c>
      <c r="S71" s="6">
        <v>36942</v>
      </c>
      <c r="T71">
        <v>368</v>
      </c>
      <c r="U71">
        <v>253</v>
      </c>
      <c r="V71">
        <f t="shared" si="8"/>
        <v>621</v>
      </c>
      <c r="X71" s="7">
        <v>0.29597</v>
      </c>
      <c r="Y71" s="7">
        <v>0.24044</v>
      </c>
      <c r="Z71" s="2">
        <f t="shared" si="9"/>
        <v>108.92</v>
      </c>
      <c r="AA71" s="2">
        <f t="shared" si="10"/>
        <v>60.83</v>
      </c>
      <c r="AB71" s="8">
        <f t="shared" si="11"/>
        <v>169.75</v>
      </c>
    </row>
    <row r="72" spans="1:28" ht="12.75">
      <c r="A72" s="9" t="s">
        <v>43</v>
      </c>
      <c r="B72">
        <v>31</v>
      </c>
      <c r="C72">
        <v>36</v>
      </c>
      <c r="D72" s="28">
        <v>6.23</v>
      </c>
      <c r="E72" s="16">
        <f t="shared" si="12"/>
        <v>224.28</v>
      </c>
      <c r="F72" s="14">
        <v>18000</v>
      </c>
      <c r="G72" s="44">
        <v>0.042173</v>
      </c>
      <c r="H72" s="16">
        <f t="shared" si="14"/>
        <v>759.11</v>
      </c>
      <c r="I72" s="39">
        <v>43000</v>
      </c>
      <c r="J72" s="30">
        <v>0.00078</v>
      </c>
      <c r="K72" s="28">
        <f t="shared" si="15"/>
        <v>0</v>
      </c>
      <c r="L72" s="28">
        <f>139.93+9182+200</f>
        <v>9521.93</v>
      </c>
      <c r="M72" s="31">
        <f t="shared" si="13"/>
        <v>10505.32</v>
      </c>
      <c r="S72" s="6">
        <v>36943</v>
      </c>
      <c r="T72">
        <v>383</v>
      </c>
      <c r="U72">
        <v>224</v>
      </c>
      <c r="V72">
        <f t="shared" si="8"/>
        <v>607</v>
      </c>
      <c r="X72" s="7">
        <v>0.31731</v>
      </c>
      <c r="Y72" s="7">
        <v>0.23791</v>
      </c>
      <c r="Z72" s="2">
        <f t="shared" si="9"/>
        <v>121.53</v>
      </c>
      <c r="AA72" s="2">
        <f t="shared" si="10"/>
        <v>53.29</v>
      </c>
      <c r="AB72" s="8">
        <f t="shared" si="11"/>
        <v>174.82</v>
      </c>
    </row>
    <row r="73" spans="1:28" ht="12.75">
      <c r="A73" s="9" t="s">
        <v>44</v>
      </c>
      <c r="B73">
        <v>31</v>
      </c>
      <c r="C73" s="33">
        <v>74</v>
      </c>
      <c r="D73" s="37">
        <v>6.23</v>
      </c>
      <c r="E73" s="34">
        <f t="shared" si="12"/>
        <v>461.02</v>
      </c>
      <c r="F73" s="35">
        <v>19000</v>
      </c>
      <c r="G73" s="45">
        <v>0.042173</v>
      </c>
      <c r="H73" s="34">
        <f t="shared" si="14"/>
        <v>801.29</v>
      </c>
      <c r="I73" s="40">
        <v>42000</v>
      </c>
      <c r="J73" s="38">
        <v>0.00078</v>
      </c>
      <c r="K73" s="37">
        <f t="shared" si="15"/>
        <v>0</v>
      </c>
      <c r="L73" s="37">
        <f>158.99+9182+200</f>
        <v>9540.99</v>
      </c>
      <c r="M73" s="41">
        <f t="shared" si="13"/>
        <v>10803.3</v>
      </c>
      <c r="S73" s="6">
        <v>36944</v>
      </c>
      <c r="T73">
        <v>368</v>
      </c>
      <c r="U73">
        <v>221</v>
      </c>
      <c r="V73">
        <f t="shared" si="8"/>
        <v>589</v>
      </c>
      <c r="X73" s="7">
        <v>0.20566</v>
      </c>
      <c r="Y73" s="7">
        <v>0.15541</v>
      </c>
      <c r="Z73" s="2">
        <f t="shared" si="9"/>
        <v>75.68</v>
      </c>
      <c r="AA73" s="2">
        <f t="shared" si="10"/>
        <v>34.35</v>
      </c>
      <c r="AB73" s="8">
        <f t="shared" si="11"/>
        <v>110.03</v>
      </c>
    </row>
    <row r="74" spans="3:28" ht="12.75">
      <c r="C74" s="18">
        <f>SUM(C62:C73)</f>
        <v>4989</v>
      </c>
      <c r="D74" s="16"/>
      <c r="E74" s="16">
        <f>SUM(E62:E73)</f>
        <v>29490.269999999997</v>
      </c>
      <c r="F74" s="14">
        <f>SUM(F62:F73)</f>
        <v>206144</v>
      </c>
      <c r="H74" s="16">
        <f>SUM(H62:H73)</f>
        <v>8693.720000000001</v>
      </c>
      <c r="I74" s="14">
        <f>SUM(I62:I73)</f>
        <v>523000</v>
      </c>
      <c r="K74" s="28">
        <f>SUM(K62:K73)</f>
        <v>68.64</v>
      </c>
      <c r="L74" s="16">
        <f>SUM(L62:L73)</f>
        <v>113902.34000000001</v>
      </c>
      <c r="M74" s="16">
        <f>SUM(M62:M73)</f>
        <v>152154.97</v>
      </c>
      <c r="S74" s="6">
        <v>36945</v>
      </c>
      <c r="T74">
        <v>385</v>
      </c>
      <c r="U74">
        <v>218</v>
      </c>
      <c r="V74">
        <f t="shared" si="8"/>
        <v>603</v>
      </c>
      <c r="X74" s="7">
        <v>0.30016</v>
      </c>
      <c r="Y74" s="7">
        <v>0.20155</v>
      </c>
      <c r="Z74" s="2">
        <f t="shared" si="9"/>
        <v>115.56</v>
      </c>
      <c r="AA74" s="2">
        <f t="shared" si="10"/>
        <v>43.94</v>
      </c>
      <c r="AB74" s="8">
        <f t="shared" si="11"/>
        <v>159.5</v>
      </c>
    </row>
    <row r="75" spans="19:28" ht="12.75">
      <c r="S75" s="6">
        <v>36946</v>
      </c>
      <c r="T75">
        <v>352</v>
      </c>
      <c r="U75">
        <v>220</v>
      </c>
      <c r="V75">
        <f t="shared" si="8"/>
        <v>572</v>
      </c>
      <c r="X75" s="7">
        <v>0.2019</v>
      </c>
      <c r="Y75" s="7">
        <v>0.19913</v>
      </c>
      <c r="Z75" s="2">
        <f t="shared" si="9"/>
        <v>71.07</v>
      </c>
      <c r="AA75" s="2">
        <f t="shared" si="10"/>
        <v>43.81</v>
      </c>
      <c r="AB75" s="8">
        <f t="shared" si="11"/>
        <v>114.88</v>
      </c>
    </row>
    <row r="76" spans="1:28" ht="12.75">
      <c r="A76" t="s">
        <v>73</v>
      </c>
      <c r="H76" s="30"/>
      <c r="S76" s="6">
        <v>36947</v>
      </c>
      <c r="U76">
        <v>586</v>
      </c>
      <c r="V76">
        <f t="shared" si="8"/>
        <v>586</v>
      </c>
      <c r="X76" s="7"/>
      <c r="Y76" s="7">
        <v>0.17227</v>
      </c>
      <c r="Z76" s="2">
        <f t="shared" si="9"/>
        <v>0</v>
      </c>
      <c r="AA76" s="2">
        <f t="shared" si="10"/>
        <v>100.95</v>
      </c>
      <c r="AB76" s="8">
        <f t="shared" si="11"/>
        <v>100.95</v>
      </c>
    </row>
    <row r="77" spans="19:28" ht="12.75">
      <c r="S77" s="6">
        <v>36948</v>
      </c>
      <c r="T77">
        <v>433</v>
      </c>
      <c r="U77">
        <v>239</v>
      </c>
      <c r="V77">
        <f t="shared" si="8"/>
        <v>672</v>
      </c>
      <c r="X77" s="7">
        <v>0.21402</v>
      </c>
      <c r="Y77" s="7">
        <v>0.17329</v>
      </c>
      <c r="Z77" s="2">
        <f t="shared" si="9"/>
        <v>92.67</v>
      </c>
      <c r="AA77" s="2">
        <f t="shared" si="10"/>
        <v>41.42</v>
      </c>
      <c r="AB77" s="8">
        <f t="shared" si="11"/>
        <v>134.09</v>
      </c>
    </row>
    <row r="78" spans="4:28" ht="12.75">
      <c r="D78" s="27" t="s">
        <v>79</v>
      </c>
      <c r="S78" s="6">
        <v>36949</v>
      </c>
      <c r="T78">
        <v>395</v>
      </c>
      <c r="U78">
        <v>266</v>
      </c>
      <c r="V78">
        <f t="shared" si="8"/>
        <v>661</v>
      </c>
      <c r="X78" s="7">
        <v>0.26315</v>
      </c>
      <c r="Y78" s="7">
        <v>0.22035</v>
      </c>
      <c r="Z78" s="2">
        <f t="shared" si="9"/>
        <v>103.94</v>
      </c>
      <c r="AA78" s="2">
        <f t="shared" si="10"/>
        <v>58.61</v>
      </c>
      <c r="AB78" s="8">
        <f t="shared" si="11"/>
        <v>162.55</v>
      </c>
    </row>
    <row r="79" spans="4:30" ht="12.75">
      <c r="D79" s="27" t="s">
        <v>66</v>
      </c>
      <c r="S79" s="6">
        <v>36950</v>
      </c>
      <c r="T79">
        <v>374</v>
      </c>
      <c r="U79">
        <v>257</v>
      </c>
      <c r="V79">
        <f t="shared" si="8"/>
        <v>631</v>
      </c>
      <c r="X79" s="7">
        <v>0.34017</v>
      </c>
      <c r="Y79" s="7">
        <v>0.27879</v>
      </c>
      <c r="Z79" s="2">
        <f t="shared" si="9"/>
        <v>127.22</v>
      </c>
      <c r="AA79" s="2">
        <f t="shared" si="10"/>
        <v>71.65</v>
      </c>
      <c r="AB79" s="8">
        <f t="shared" si="11"/>
        <v>198.87</v>
      </c>
      <c r="AC79" s="17">
        <f>SUM(V52:V79)</f>
        <v>17602</v>
      </c>
      <c r="AD79" s="8">
        <f>SUM(AB52:AB79)</f>
        <v>5181.719999999999</v>
      </c>
    </row>
    <row r="80" spans="19:28" ht="12.75">
      <c r="S80" s="6">
        <v>36951</v>
      </c>
      <c r="T80">
        <v>378</v>
      </c>
      <c r="U80">
        <v>221</v>
      </c>
      <c r="V80">
        <f t="shared" si="8"/>
        <v>599</v>
      </c>
      <c r="X80" s="7">
        <v>0.4001</v>
      </c>
      <c r="Y80" s="7">
        <v>0.27464</v>
      </c>
      <c r="Z80" s="2">
        <f t="shared" si="9"/>
        <v>151.24</v>
      </c>
      <c r="AA80" s="2">
        <f t="shared" si="10"/>
        <v>60.7</v>
      </c>
      <c r="AB80" s="8">
        <f t="shared" si="11"/>
        <v>211.94</v>
      </c>
    </row>
    <row r="81" spans="3:28" ht="12.75">
      <c r="C81" t="s">
        <v>51</v>
      </c>
      <c r="D81" s="4" t="s">
        <v>67</v>
      </c>
      <c r="E81" s="4" t="s">
        <v>0</v>
      </c>
      <c r="G81" t="s">
        <v>68</v>
      </c>
      <c r="H81" s="4" t="s">
        <v>24</v>
      </c>
      <c r="J81" s="4" t="s">
        <v>72</v>
      </c>
      <c r="K81" s="4" t="s">
        <v>54</v>
      </c>
      <c r="S81" s="6">
        <v>36952</v>
      </c>
      <c r="T81">
        <v>388</v>
      </c>
      <c r="U81">
        <v>223</v>
      </c>
      <c r="V81">
        <f t="shared" si="8"/>
        <v>611</v>
      </c>
      <c r="X81" s="7">
        <v>0.40503</v>
      </c>
      <c r="Y81" s="7">
        <v>0.32264</v>
      </c>
      <c r="Z81" s="2">
        <f t="shared" si="9"/>
        <v>157.15</v>
      </c>
      <c r="AA81" s="2">
        <f t="shared" si="10"/>
        <v>71.95</v>
      </c>
      <c r="AB81" s="8">
        <f t="shared" si="11"/>
        <v>229.10000000000002</v>
      </c>
    </row>
    <row r="82" spans="2:28" ht="12.75">
      <c r="B82" s="4" t="s">
        <v>70</v>
      </c>
      <c r="C82" s="4" t="s">
        <v>0</v>
      </c>
      <c r="D82" s="4" t="s">
        <v>31</v>
      </c>
      <c r="E82" s="4" t="s">
        <v>45</v>
      </c>
      <c r="F82" s="4" t="s">
        <v>46</v>
      </c>
      <c r="G82" s="4" t="s">
        <v>69</v>
      </c>
      <c r="H82" s="4" t="s">
        <v>45</v>
      </c>
      <c r="I82" s="4" t="s">
        <v>53</v>
      </c>
      <c r="J82" s="4" t="s">
        <v>71</v>
      </c>
      <c r="K82" s="4" t="s">
        <v>55</v>
      </c>
      <c r="L82" s="4" t="s">
        <v>25</v>
      </c>
      <c r="M82" s="4" t="s">
        <v>26</v>
      </c>
      <c r="S82" s="6">
        <v>36953</v>
      </c>
      <c r="T82">
        <v>359</v>
      </c>
      <c r="U82">
        <v>224</v>
      </c>
      <c r="V82">
        <f t="shared" si="8"/>
        <v>583</v>
      </c>
      <c r="X82" s="7">
        <v>0.26969</v>
      </c>
      <c r="Y82" s="7">
        <v>0.30264</v>
      </c>
      <c r="Z82" s="2">
        <f t="shared" si="9"/>
        <v>96.82</v>
      </c>
      <c r="AA82" s="2">
        <f t="shared" si="10"/>
        <v>67.79</v>
      </c>
      <c r="AB82" s="8">
        <f t="shared" si="11"/>
        <v>164.61</v>
      </c>
    </row>
    <row r="83" spans="19:28" ht="12.75">
      <c r="S83" s="6">
        <v>36954</v>
      </c>
      <c r="U83">
        <v>605</v>
      </c>
      <c r="V83">
        <f t="shared" si="8"/>
        <v>605</v>
      </c>
      <c r="X83" s="7"/>
      <c r="Y83" s="7">
        <v>0.26575</v>
      </c>
      <c r="Z83" s="2">
        <f t="shared" si="9"/>
        <v>0</v>
      </c>
      <c r="AA83" s="2">
        <f t="shared" si="10"/>
        <v>160.78</v>
      </c>
      <c r="AB83" s="8">
        <f t="shared" si="11"/>
        <v>160.78</v>
      </c>
    </row>
    <row r="84" spans="1:28" ht="12.75">
      <c r="A84" t="s">
        <v>33</v>
      </c>
      <c r="B84">
        <v>49</v>
      </c>
      <c r="C84">
        <v>4400</v>
      </c>
      <c r="D84" s="16">
        <v>2.69</v>
      </c>
      <c r="E84" s="16">
        <f>ROUND(C84*D84,0)</f>
        <v>11836</v>
      </c>
      <c r="F84" s="14">
        <v>19000</v>
      </c>
      <c r="G84" s="29">
        <v>0.036913</v>
      </c>
      <c r="H84" s="28">
        <f aca="true" t="shared" si="16" ref="H84:H95">ROUND(F84*G105,2)</f>
        <v>801.29</v>
      </c>
      <c r="I84" s="39">
        <v>0</v>
      </c>
      <c r="J84" s="30">
        <v>0</v>
      </c>
      <c r="K84" s="28">
        <f>ROUND(I84*J84,2)</f>
        <v>0</v>
      </c>
      <c r="L84" s="16">
        <v>9343.76</v>
      </c>
      <c r="M84" s="16">
        <f aca="true" t="shared" si="17" ref="M84:M95">E84+H84+K84+L84</f>
        <v>21981.050000000003</v>
      </c>
      <c r="S84" s="6">
        <v>36955</v>
      </c>
      <c r="T84">
        <v>358</v>
      </c>
      <c r="U84">
        <v>223</v>
      </c>
      <c r="V84">
        <f t="shared" si="8"/>
        <v>581</v>
      </c>
      <c r="X84" s="7">
        <v>0.32859</v>
      </c>
      <c r="Y84" s="7">
        <v>0.2715</v>
      </c>
      <c r="Z84" s="2">
        <f t="shared" si="9"/>
        <v>117.64</v>
      </c>
      <c r="AA84" s="2">
        <f t="shared" si="10"/>
        <v>60.54</v>
      </c>
      <c r="AB84" s="8">
        <f t="shared" si="11"/>
        <v>178.18</v>
      </c>
    </row>
    <row r="85" spans="1:28" ht="12.75">
      <c r="A85" t="s">
        <v>34</v>
      </c>
      <c r="B85">
        <v>31</v>
      </c>
      <c r="C85">
        <v>34</v>
      </c>
      <c r="D85" s="16">
        <v>5.53</v>
      </c>
      <c r="E85" s="16">
        <f aca="true" t="shared" si="18" ref="E85:E95">ROUND(C85*D85,0)</f>
        <v>188</v>
      </c>
      <c r="F85" s="14">
        <v>17000</v>
      </c>
      <c r="G85" s="29">
        <v>0.042111</v>
      </c>
      <c r="H85" s="28">
        <f t="shared" si="16"/>
        <v>716.94</v>
      </c>
      <c r="I85" s="39">
        <v>37000</v>
      </c>
      <c r="J85" s="30">
        <v>0.00066</v>
      </c>
      <c r="K85" s="28">
        <f>IF(C85&gt;100,ROUND(I85*J85,2),0)</f>
        <v>0</v>
      </c>
      <c r="L85" s="16">
        <v>9493.25</v>
      </c>
      <c r="M85" s="16">
        <f t="shared" si="17"/>
        <v>10398.19</v>
      </c>
      <c r="S85" s="6">
        <v>36956</v>
      </c>
      <c r="T85">
        <v>343</v>
      </c>
      <c r="U85">
        <v>218</v>
      </c>
      <c r="V85">
        <f t="shared" si="8"/>
        <v>561</v>
      </c>
      <c r="X85" s="7">
        <v>0.36191</v>
      </c>
      <c r="Y85" s="7">
        <v>0.25203</v>
      </c>
      <c r="Z85" s="2">
        <f t="shared" si="9"/>
        <v>124.14</v>
      </c>
      <c r="AA85" s="2">
        <f t="shared" si="10"/>
        <v>54.94</v>
      </c>
      <c r="AB85" s="8">
        <f t="shared" si="11"/>
        <v>179.07999999999998</v>
      </c>
    </row>
    <row r="86" spans="1:28" ht="12.75">
      <c r="A86" t="s">
        <v>35</v>
      </c>
      <c r="B86">
        <v>31</v>
      </c>
      <c r="C86">
        <v>34</v>
      </c>
      <c r="D86" s="16">
        <v>5.53</v>
      </c>
      <c r="E86" s="16">
        <f t="shared" si="18"/>
        <v>188</v>
      </c>
      <c r="F86" s="14">
        <v>18000</v>
      </c>
      <c r="G86" s="29">
        <v>0.042111</v>
      </c>
      <c r="H86" s="28">
        <f t="shared" si="16"/>
        <v>759.11</v>
      </c>
      <c r="I86" s="39">
        <v>39000</v>
      </c>
      <c r="J86" s="30">
        <v>0.00066</v>
      </c>
      <c r="K86" s="28">
        <f aca="true" t="shared" si="19" ref="K86:K95">IF(C86&gt;100,ROUND(I86*J86,2),0)</f>
        <v>0</v>
      </c>
      <c r="L86" s="16">
        <v>9456.07</v>
      </c>
      <c r="M86" s="16">
        <f t="shared" si="17"/>
        <v>10403.18</v>
      </c>
      <c r="S86" s="6">
        <v>36957</v>
      </c>
      <c r="T86">
        <v>365</v>
      </c>
      <c r="U86">
        <v>219</v>
      </c>
      <c r="V86">
        <f t="shared" si="8"/>
        <v>584</v>
      </c>
      <c r="X86" s="7">
        <v>0.35519</v>
      </c>
      <c r="Y86" s="7">
        <v>0.25037</v>
      </c>
      <c r="Z86" s="2">
        <f t="shared" si="9"/>
        <v>129.64</v>
      </c>
      <c r="AA86" s="2">
        <f t="shared" si="10"/>
        <v>54.83</v>
      </c>
      <c r="AB86" s="8">
        <f t="shared" si="11"/>
        <v>184.46999999999997</v>
      </c>
    </row>
    <row r="87" spans="1:28" ht="12.75">
      <c r="A87" t="s">
        <v>36</v>
      </c>
      <c r="B87">
        <v>31</v>
      </c>
      <c r="C87">
        <v>31</v>
      </c>
      <c r="D87" s="16">
        <v>4.1</v>
      </c>
      <c r="E87" s="16">
        <f t="shared" si="18"/>
        <v>127</v>
      </c>
      <c r="F87" s="14">
        <v>16000</v>
      </c>
      <c r="G87" s="29">
        <v>0.044066</v>
      </c>
      <c r="H87" s="28">
        <f t="shared" si="16"/>
        <v>674.77</v>
      </c>
      <c r="I87" s="39">
        <f>18000+27000</f>
        <v>45000</v>
      </c>
      <c r="J87" s="30">
        <v>0.00074</v>
      </c>
      <c r="K87" s="28">
        <f t="shared" si="19"/>
        <v>0</v>
      </c>
      <c r="L87" s="16">
        <v>9468.87</v>
      </c>
      <c r="M87" s="16">
        <f t="shared" si="17"/>
        <v>10270.640000000001</v>
      </c>
      <c r="S87" s="6">
        <v>36958</v>
      </c>
      <c r="T87">
        <v>404</v>
      </c>
      <c r="U87">
        <v>216</v>
      </c>
      <c r="V87">
        <f t="shared" si="8"/>
        <v>620</v>
      </c>
      <c r="X87" s="7">
        <v>0.30357</v>
      </c>
      <c r="Y87" s="7">
        <v>0.26655</v>
      </c>
      <c r="Z87" s="2">
        <f t="shared" si="9"/>
        <v>122.64</v>
      </c>
      <c r="AA87" s="2">
        <f t="shared" si="10"/>
        <v>57.57</v>
      </c>
      <c r="AB87" s="8">
        <f t="shared" si="11"/>
        <v>180.21</v>
      </c>
    </row>
    <row r="88" spans="1:28" ht="12.75">
      <c r="A88" t="s">
        <v>37</v>
      </c>
      <c r="B88">
        <v>31</v>
      </c>
      <c r="C88">
        <v>31</v>
      </c>
      <c r="D88" s="16">
        <v>4.1</v>
      </c>
      <c r="E88" s="16">
        <f t="shared" si="18"/>
        <v>127</v>
      </c>
      <c r="F88" s="14">
        <v>15000</v>
      </c>
      <c r="G88" s="29">
        <v>0.044066</v>
      </c>
      <c r="H88" s="28">
        <f t="shared" si="16"/>
        <v>632.6</v>
      </c>
      <c r="I88" s="39">
        <v>44000</v>
      </c>
      <c r="J88" s="30">
        <v>0.00074</v>
      </c>
      <c r="K88" s="28">
        <f t="shared" si="19"/>
        <v>0</v>
      </c>
      <c r="L88" s="16">
        <v>9445.62</v>
      </c>
      <c r="M88" s="16">
        <f t="shared" si="17"/>
        <v>10205.220000000001</v>
      </c>
      <c r="S88" s="6">
        <v>36959</v>
      </c>
      <c r="T88">
        <v>423</v>
      </c>
      <c r="U88">
        <v>230</v>
      </c>
      <c r="V88">
        <f t="shared" si="8"/>
        <v>653</v>
      </c>
      <c r="X88" s="7">
        <v>0.29864</v>
      </c>
      <c r="Y88" s="7">
        <v>0.24817</v>
      </c>
      <c r="Z88" s="2">
        <f t="shared" si="9"/>
        <v>126.32</v>
      </c>
      <c r="AA88" s="2">
        <f t="shared" si="10"/>
        <v>57.08</v>
      </c>
      <c r="AB88" s="8">
        <f t="shared" si="11"/>
        <v>183.39999999999998</v>
      </c>
    </row>
    <row r="89" spans="1:28" ht="12.75">
      <c r="A89" t="s">
        <v>38</v>
      </c>
      <c r="B89">
        <v>31</v>
      </c>
      <c r="C89">
        <v>34</v>
      </c>
      <c r="D89" s="16">
        <v>4.1</v>
      </c>
      <c r="E89" s="16">
        <f t="shared" si="18"/>
        <v>139</v>
      </c>
      <c r="F89" s="14">
        <v>17000</v>
      </c>
      <c r="G89" s="29">
        <v>0.044066</v>
      </c>
      <c r="H89" s="28">
        <f t="shared" si="16"/>
        <v>716.94</v>
      </c>
      <c r="I89" s="39">
        <v>43000</v>
      </c>
      <c r="J89" s="30">
        <v>0.00074</v>
      </c>
      <c r="K89" s="28">
        <f t="shared" si="19"/>
        <v>0</v>
      </c>
      <c r="L89" s="16">
        <v>9282</v>
      </c>
      <c r="M89" s="16">
        <f t="shared" si="17"/>
        <v>10137.94</v>
      </c>
      <c r="S89" s="6">
        <v>36960</v>
      </c>
      <c r="T89">
        <v>427</v>
      </c>
      <c r="U89">
        <v>265</v>
      </c>
      <c r="V89">
        <f t="shared" si="8"/>
        <v>692</v>
      </c>
      <c r="X89" s="7">
        <v>0.26622</v>
      </c>
      <c r="Y89" s="7">
        <v>0.2456</v>
      </c>
      <c r="Z89" s="2">
        <f t="shared" si="9"/>
        <v>113.68</v>
      </c>
      <c r="AA89" s="2">
        <f t="shared" si="10"/>
        <v>65.08</v>
      </c>
      <c r="AB89" s="8">
        <f t="shared" si="11"/>
        <v>178.76</v>
      </c>
    </row>
    <row r="90" spans="1:28" ht="12.75">
      <c r="A90" t="s">
        <v>39</v>
      </c>
      <c r="B90">
        <v>31</v>
      </c>
      <c r="C90">
        <v>34</v>
      </c>
      <c r="D90" s="16">
        <v>4.15</v>
      </c>
      <c r="E90" s="16">
        <f t="shared" si="18"/>
        <v>141</v>
      </c>
      <c r="F90" s="14">
        <v>17000</v>
      </c>
      <c r="G90" s="44">
        <v>0.042173</v>
      </c>
      <c r="H90" s="28">
        <f t="shared" si="16"/>
        <v>716.94</v>
      </c>
      <c r="I90" s="39">
        <v>45000</v>
      </c>
      <c r="J90" s="30">
        <v>0.00078</v>
      </c>
      <c r="K90" s="28">
        <f t="shared" si="19"/>
        <v>0</v>
      </c>
      <c r="L90" s="16">
        <v>9282</v>
      </c>
      <c r="M90" s="16">
        <f t="shared" si="17"/>
        <v>10139.94</v>
      </c>
      <c r="S90" s="6">
        <v>36961</v>
      </c>
      <c r="U90">
        <v>678</v>
      </c>
      <c r="V90">
        <f t="shared" si="8"/>
        <v>678</v>
      </c>
      <c r="X90" s="7"/>
      <c r="Y90" s="7">
        <v>0.18919</v>
      </c>
      <c r="Z90" s="2">
        <f t="shared" si="9"/>
        <v>0</v>
      </c>
      <c r="AA90" s="2">
        <f t="shared" si="10"/>
        <v>128.27</v>
      </c>
      <c r="AB90" s="8">
        <f t="shared" si="11"/>
        <v>128.27</v>
      </c>
    </row>
    <row r="91" spans="1:28" ht="12.75">
      <c r="A91" t="s">
        <v>40</v>
      </c>
      <c r="B91">
        <v>31</v>
      </c>
      <c r="C91">
        <v>34</v>
      </c>
      <c r="D91" s="16">
        <v>4.15</v>
      </c>
      <c r="E91" s="16">
        <f t="shared" si="18"/>
        <v>141</v>
      </c>
      <c r="F91" s="14">
        <v>17000</v>
      </c>
      <c r="G91" s="44">
        <v>0.042173</v>
      </c>
      <c r="H91" s="28">
        <f t="shared" si="16"/>
        <v>716.94</v>
      </c>
      <c r="I91" s="39">
        <v>45000</v>
      </c>
      <c r="J91" s="30">
        <v>0.00078</v>
      </c>
      <c r="K91" s="28">
        <f t="shared" si="19"/>
        <v>0</v>
      </c>
      <c r="L91" s="16">
        <v>9282</v>
      </c>
      <c r="M91" s="16">
        <f t="shared" si="17"/>
        <v>10139.94</v>
      </c>
      <c r="S91" s="6">
        <v>36962</v>
      </c>
      <c r="T91">
        <v>392</v>
      </c>
      <c r="U91">
        <v>245</v>
      </c>
      <c r="V91">
        <f aca="true" t="shared" si="20" ref="V91:V122">SUM(T91:U91)</f>
        <v>637</v>
      </c>
      <c r="X91" s="7">
        <v>0.24082</v>
      </c>
      <c r="Y91" s="7">
        <v>0.1907</v>
      </c>
      <c r="Z91" s="2">
        <f aca="true" t="shared" si="21" ref="Z91:Z122">IF(W91="YES","NA",ROUND(+T91*X91,2))</f>
        <v>94.4</v>
      </c>
      <c r="AA91" s="2">
        <f aca="true" t="shared" si="22" ref="AA91:AA122">IF(W91="YES",ROUND(V91*Y91,2),ROUND(+U91*Y91,2))</f>
        <v>46.72</v>
      </c>
      <c r="AB91" s="8">
        <f aca="true" t="shared" si="23" ref="AB91:AB122">SUM(Z91:AA91)</f>
        <v>141.12</v>
      </c>
    </row>
    <row r="92" spans="1:28" ht="12.75">
      <c r="A92" t="s">
        <v>41</v>
      </c>
      <c r="B92">
        <v>31</v>
      </c>
      <c r="C92">
        <v>34</v>
      </c>
      <c r="D92" s="16">
        <v>4.15</v>
      </c>
      <c r="E92" s="16">
        <f t="shared" si="18"/>
        <v>141</v>
      </c>
      <c r="F92" s="14">
        <v>17000</v>
      </c>
      <c r="G92" s="44">
        <v>0.042173</v>
      </c>
      <c r="H92" s="28">
        <f t="shared" si="16"/>
        <v>716.94</v>
      </c>
      <c r="I92" s="39">
        <v>44000</v>
      </c>
      <c r="J92" s="30">
        <v>0.00078</v>
      </c>
      <c r="K92" s="28">
        <f t="shared" si="19"/>
        <v>0</v>
      </c>
      <c r="L92" s="16">
        <v>9282</v>
      </c>
      <c r="M92" s="16">
        <f t="shared" si="17"/>
        <v>10139.94</v>
      </c>
      <c r="S92" s="6">
        <v>36963</v>
      </c>
      <c r="T92">
        <v>372</v>
      </c>
      <c r="U92">
        <v>216</v>
      </c>
      <c r="V92">
        <f t="shared" si="20"/>
        <v>588</v>
      </c>
      <c r="X92" s="7">
        <v>0.25378</v>
      </c>
      <c r="Y92" s="7">
        <v>0.16301</v>
      </c>
      <c r="Z92" s="2">
        <f t="shared" si="21"/>
        <v>94.41</v>
      </c>
      <c r="AA92" s="2">
        <f t="shared" si="22"/>
        <v>35.21</v>
      </c>
      <c r="AB92" s="8">
        <f t="shared" si="23"/>
        <v>129.62</v>
      </c>
    </row>
    <row r="93" spans="1:28" ht="12.75">
      <c r="A93" t="s">
        <v>42</v>
      </c>
      <c r="B93">
        <v>31</v>
      </c>
      <c r="C93">
        <v>34</v>
      </c>
      <c r="D93" s="16">
        <v>6.23</v>
      </c>
      <c r="E93" s="16">
        <f t="shared" si="18"/>
        <v>212</v>
      </c>
      <c r="F93" s="14">
        <v>17000</v>
      </c>
      <c r="G93" s="44">
        <v>0.042173</v>
      </c>
      <c r="H93" s="28">
        <f t="shared" si="16"/>
        <v>716.94</v>
      </c>
      <c r="I93" s="39">
        <v>43000</v>
      </c>
      <c r="J93" s="30">
        <v>0.00078</v>
      </c>
      <c r="K93" s="28">
        <f t="shared" si="19"/>
        <v>0</v>
      </c>
      <c r="L93" s="16">
        <v>9282</v>
      </c>
      <c r="M93" s="16">
        <f t="shared" si="17"/>
        <v>10210.94</v>
      </c>
      <c r="S93" s="6">
        <v>36964</v>
      </c>
      <c r="T93">
        <v>401</v>
      </c>
      <c r="U93">
        <v>230</v>
      </c>
      <c r="V93">
        <f t="shared" si="20"/>
        <v>631</v>
      </c>
      <c r="X93" s="7">
        <v>0.24356</v>
      </c>
      <c r="Y93" s="7">
        <v>0.17063</v>
      </c>
      <c r="Z93" s="2">
        <f t="shared" si="21"/>
        <v>97.67</v>
      </c>
      <c r="AA93" s="2">
        <f t="shared" si="22"/>
        <v>39.24</v>
      </c>
      <c r="AB93" s="8">
        <f t="shared" si="23"/>
        <v>136.91</v>
      </c>
    </row>
    <row r="94" spans="1:28" ht="12.75">
      <c r="A94" t="s">
        <v>43</v>
      </c>
      <c r="B94">
        <v>31</v>
      </c>
      <c r="C94">
        <v>34</v>
      </c>
      <c r="D94" s="16">
        <v>6.23</v>
      </c>
      <c r="E94" s="16">
        <f t="shared" si="18"/>
        <v>212</v>
      </c>
      <c r="F94" s="14">
        <v>17000</v>
      </c>
      <c r="G94" s="44">
        <v>0.042173</v>
      </c>
      <c r="H94" s="28">
        <f t="shared" si="16"/>
        <v>716.94</v>
      </c>
      <c r="I94" s="39">
        <v>43000</v>
      </c>
      <c r="J94" s="30">
        <v>0.00078</v>
      </c>
      <c r="K94" s="28">
        <f t="shared" si="19"/>
        <v>0</v>
      </c>
      <c r="L94" s="16">
        <v>9282</v>
      </c>
      <c r="M94" s="16">
        <f t="shared" si="17"/>
        <v>10210.94</v>
      </c>
      <c r="S94" s="6">
        <v>36965</v>
      </c>
      <c r="T94">
        <v>422</v>
      </c>
      <c r="U94">
        <v>254</v>
      </c>
      <c r="V94">
        <f t="shared" si="20"/>
        <v>676</v>
      </c>
      <c r="X94" s="7">
        <v>0.25605</v>
      </c>
      <c r="Y94" s="7">
        <v>0.2013</v>
      </c>
      <c r="Z94" s="2">
        <f t="shared" si="21"/>
        <v>108.05</v>
      </c>
      <c r="AA94" s="2">
        <f t="shared" si="22"/>
        <v>51.13</v>
      </c>
      <c r="AB94" s="8">
        <f t="shared" si="23"/>
        <v>159.18</v>
      </c>
    </row>
    <row r="95" spans="1:28" ht="12.75">
      <c r="A95" t="s">
        <v>44</v>
      </c>
      <c r="B95">
        <v>31</v>
      </c>
      <c r="C95" s="33">
        <v>34</v>
      </c>
      <c r="D95" s="34">
        <v>6.23</v>
      </c>
      <c r="E95" s="34">
        <f t="shared" si="18"/>
        <v>212</v>
      </c>
      <c r="F95" s="35">
        <v>17000</v>
      </c>
      <c r="G95" s="45">
        <v>0.042173</v>
      </c>
      <c r="H95" s="37">
        <f t="shared" si="16"/>
        <v>716.94</v>
      </c>
      <c r="I95" s="40">
        <v>42000</v>
      </c>
      <c r="J95" s="38">
        <v>0.00078</v>
      </c>
      <c r="K95" s="37">
        <f t="shared" si="19"/>
        <v>0</v>
      </c>
      <c r="L95" s="34">
        <v>9282</v>
      </c>
      <c r="M95" s="34">
        <f t="shared" si="17"/>
        <v>10210.94</v>
      </c>
      <c r="S95" s="6">
        <v>36966</v>
      </c>
      <c r="T95">
        <v>2102</v>
      </c>
      <c r="U95">
        <v>221</v>
      </c>
      <c r="V95">
        <f t="shared" si="20"/>
        <v>2323</v>
      </c>
      <c r="X95" s="7">
        <v>0.34931</v>
      </c>
      <c r="Y95" s="7">
        <v>0.20411</v>
      </c>
      <c r="Z95" s="2">
        <f t="shared" si="21"/>
        <v>734.25</v>
      </c>
      <c r="AA95" s="2">
        <f t="shared" si="22"/>
        <v>45.11</v>
      </c>
      <c r="AB95" s="8">
        <f t="shared" si="23"/>
        <v>779.36</v>
      </c>
    </row>
    <row r="96" spans="3:28" ht="12.75">
      <c r="C96">
        <f>SUM(C84:C95)</f>
        <v>4768</v>
      </c>
      <c r="E96" s="31">
        <f>SUM(E84:E95)</f>
        <v>13664</v>
      </c>
      <c r="F96" s="26">
        <f>SUM(F84:F95)</f>
        <v>204000</v>
      </c>
      <c r="H96" s="28">
        <f>SUM(H84:H95)</f>
        <v>8603.290000000003</v>
      </c>
      <c r="I96" s="26">
        <f>SUM(I84:I95)</f>
        <v>470000</v>
      </c>
      <c r="K96" s="28">
        <f>SUM(K84:K95)</f>
        <v>0</v>
      </c>
      <c r="L96" s="31">
        <f>SUM(L84:L95)</f>
        <v>112181.57</v>
      </c>
      <c r="M96" s="31">
        <f>SUM(M84:M95)</f>
        <v>134448.86000000002</v>
      </c>
      <c r="S96" s="6">
        <v>36967</v>
      </c>
      <c r="T96">
        <v>347</v>
      </c>
      <c r="U96">
        <v>218</v>
      </c>
      <c r="V96">
        <f t="shared" si="20"/>
        <v>565</v>
      </c>
      <c r="X96" s="7">
        <v>0.42932</v>
      </c>
      <c r="Y96" s="7">
        <v>0.23216</v>
      </c>
      <c r="Z96" s="2">
        <f t="shared" si="21"/>
        <v>148.97</v>
      </c>
      <c r="AA96" s="2">
        <f t="shared" si="22"/>
        <v>50.61</v>
      </c>
      <c r="AB96" s="8">
        <f t="shared" si="23"/>
        <v>199.57999999999998</v>
      </c>
    </row>
    <row r="97" spans="8:28" ht="12.75">
      <c r="H97" s="16"/>
      <c r="I97" s="28"/>
      <c r="S97" s="6">
        <v>36968</v>
      </c>
      <c r="U97">
        <v>586</v>
      </c>
      <c r="V97">
        <f t="shared" si="20"/>
        <v>586</v>
      </c>
      <c r="X97" s="7"/>
      <c r="Y97" s="7">
        <v>0.15859</v>
      </c>
      <c r="Z97" s="2">
        <f t="shared" si="21"/>
        <v>0</v>
      </c>
      <c r="AA97" s="2">
        <f t="shared" si="22"/>
        <v>92.93</v>
      </c>
      <c r="AB97" s="8">
        <f t="shared" si="23"/>
        <v>92.93</v>
      </c>
    </row>
    <row r="98" spans="1:28" ht="12.75">
      <c r="A98" t="s">
        <v>73</v>
      </c>
      <c r="E98" s="29"/>
      <c r="S98" s="6">
        <v>36969</v>
      </c>
      <c r="T98">
        <v>360</v>
      </c>
      <c r="U98">
        <v>222</v>
      </c>
      <c r="V98">
        <f t="shared" si="20"/>
        <v>582</v>
      </c>
      <c r="X98" s="7">
        <v>0.42769</v>
      </c>
      <c r="Y98" s="7">
        <v>0.1583</v>
      </c>
      <c r="Z98" s="2">
        <f t="shared" si="21"/>
        <v>153.97</v>
      </c>
      <c r="AA98" s="2">
        <f t="shared" si="22"/>
        <v>35.14</v>
      </c>
      <c r="AB98" s="8">
        <f t="shared" si="23"/>
        <v>189.11</v>
      </c>
    </row>
    <row r="99" spans="19:28" ht="12.75">
      <c r="S99" s="6">
        <v>36970</v>
      </c>
      <c r="T99">
        <v>335</v>
      </c>
      <c r="U99">
        <v>221</v>
      </c>
      <c r="V99">
        <f t="shared" si="20"/>
        <v>556</v>
      </c>
      <c r="X99" s="7">
        <v>0.48922</v>
      </c>
      <c r="Y99" s="7">
        <v>0.33977</v>
      </c>
      <c r="Z99" s="2">
        <f t="shared" si="21"/>
        <v>163.89</v>
      </c>
      <c r="AA99" s="2">
        <f t="shared" si="22"/>
        <v>75.09</v>
      </c>
      <c r="AB99" s="8">
        <f t="shared" si="23"/>
        <v>238.98</v>
      </c>
    </row>
    <row r="100" spans="1:28" ht="12.75">
      <c r="A100" s="27" t="s">
        <v>49</v>
      </c>
      <c r="B100" s="27"/>
      <c r="C100" s="27"/>
      <c r="D100" s="27" t="s">
        <v>80</v>
      </c>
      <c r="S100" s="6">
        <v>36971</v>
      </c>
      <c r="T100">
        <v>362</v>
      </c>
      <c r="U100">
        <v>226</v>
      </c>
      <c r="V100">
        <f t="shared" si="20"/>
        <v>588</v>
      </c>
      <c r="X100" s="7">
        <v>0.47623</v>
      </c>
      <c r="Y100" s="7">
        <v>0.31636</v>
      </c>
      <c r="Z100" s="2">
        <f t="shared" si="21"/>
        <v>172.4</v>
      </c>
      <c r="AA100" s="2">
        <f t="shared" si="22"/>
        <v>71.5</v>
      </c>
      <c r="AB100" s="8">
        <f t="shared" si="23"/>
        <v>243.9</v>
      </c>
    </row>
    <row r="101" spans="1:28" ht="12.75">
      <c r="A101" s="27"/>
      <c r="B101" s="27"/>
      <c r="C101" s="27"/>
      <c r="D101" s="27"/>
      <c r="S101" s="6">
        <v>36972</v>
      </c>
      <c r="T101">
        <v>334</v>
      </c>
      <c r="U101">
        <v>224</v>
      </c>
      <c r="V101">
        <f t="shared" si="20"/>
        <v>558</v>
      </c>
      <c r="X101" s="7">
        <v>0.2522</v>
      </c>
      <c r="Y101" s="7">
        <v>0.28651</v>
      </c>
      <c r="Z101" s="2">
        <f t="shared" si="21"/>
        <v>84.23</v>
      </c>
      <c r="AA101" s="2">
        <f t="shared" si="22"/>
        <v>64.18</v>
      </c>
      <c r="AB101" s="8">
        <f t="shared" si="23"/>
        <v>148.41000000000003</v>
      </c>
    </row>
    <row r="102" spans="3:28" ht="12.75">
      <c r="C102" t="s">
        <v>51</v>
      </c>
      <c r="D102" s="4" t="s">
        <v>0</v>
      </c>
      <c r="E102" s="4" t="s">
        <v>0</v>
      </c>
      <c r="G102" t="s">
        <v>68</v>
      </c>
      <c r="H102" s="4" t="s">
        <v>24</v>
      </c>
      <c r="J102" s="4" t="s">
        <v>72</v>
      </c>
      <c r="K102" s="4" t="s">
        <v>54</v>
      </c>
      <c r="S102" s="6">
        <v>36973</v>
      </c>
      <c r="T102">
        <v>333</v>
      </c>
      <c r="U102">
        <v>224</v>
      </c>
      <c r="V102">
        <f t="shared" si="20"/>
        <v>557</v>
      </c>
      <c r="X102" s="7">
        <v>0.35659</v>
      </c>
      <c r="Y102" s="7">
        <v>0.16262</v>
      </c>
      <c r="Z102" s="2">
        <f t="shared" si="21"/>
        <v>118.74</v>
      </c>
      <c r="AA102" s="2">
        <f t="shared" si="22"/>
        <v>36.43</v>
      </c>
      <c r="AB102" s="8">
        <f t="shared" si="23"/>
        <v>155.17</v>
      </c>
    </row>
    <row r="103" spans="2:28" ht="12.75">
      <c r="B103" s="4" t="s">
        <v>70</v>
      </c>
      <c r="C103" s="4" t="s">
        <v>0</v>
      </c>
      <c r="D103" s="4" t="s">
        <v>31</v>
      </c>
      <c r="E103" s="4" t="s">
        <v>45</v>
      </c>
      <c r="F103" s="4" t="s">
        <v>46</v>
      </c>
      <c r="G103" s="4" t="s">
        <v>69</v>
      </c>
      <c r="H103" s="4" t="s">
        <v>45</v>
      </c>
      <c r="I103" s="4" t="s">
        <v>53</v>
      </c>
      <c r="J103" s="4" t="s">
        <v>71</v>
      </c>
      <c r="K103" s="4" t="s">
        <v>55</v>
      </c>
      <c r="L103" s="4" t="s">
        <v>25</v>
      </c>
      <c r="M103" s="4" t="s">
        <v>26</v>
      </c>
      <c r="S103" s="6">
        <v>36974</v>
      </c>
      <c r="T103">
        <v>334</v>
      </c>
      <c r="U103">
        <v>220</v>
      </c>
      <c r="V103">
        <f t="shared" si="20"/>
        <v>554</v>
      </c>
      <c r="X103" s="7">
        <v>0.12397</v>
      </c>
      <c r="Y103" s="7">
        <v>0.15136</v>
      </c>
      <c r="Z103" s="2">
        <f t="shared" si="21"/>
        <v>41.41</v>
      </c>
      <c r="AA103" s="2">
        <f t="shared" si="22"/>
        <v>33.3</v>
      </c>
      <c r="AB103" s="8">
        <f t="shared" si="23"/>
        <v>74.71</v>
      </c>
    </row>
    <row r="104" spans="19:28" ht="12.75">
      <c r="S104" s="6">
        <v>36975</v>
      </c>
      <c r="U104">
        <v>552</v>
      </c>
      <c r="V104">
        <f t="shared" si="20"/>
        <v>552</v>
      </c>
      <c r="X104" s="7"/>
      <c r="Y104" s="7">
        <v>0.04669</v>
      </c>
      <c r="Z104" s="2">
        <f t="shared" si="21"/>
        <v>0</v>
      </c>
      <c r="AA104" s="2">
        <f t="shared" si="22"/>
        <v>25.77</v>
      </c>
      <c r="AB104" s="8">
        <f t="shared" si="23"/>
        <v>25.77</v>
      </c>
    </row>
    <row r="105" spans="1:28" ht="12.75">
      <c r="A105" t="s">
        <v>33</v>
      </c>
      <c r="B105">
        <v>31</v>
      </c>
      <c r="C105">
        <v>70</v>
      </c>
      <c r="D105" s="16">
        <v>6.23</v>
      </c>
      <c r="E105" s="16">
        <f>ROUND(C105*D105,0)</f>
        <v>436</v>
      </c>
      <c r="F105" s="14">
        <v>19000</v>
      </c>
      <c r="G105" s="44">
        <v>0.042173</v>
      </c>
      <c r="H105" s="28">
        <f>ROUND(F105*G105,2)</f>
        <v>801.29</v>
      </c>
      <c r="I105" s="39">
        <v>42000</v>
      </c>
      <c r="J105" s="30">
        <v>0.00078</v>
      </c>
      <c r="K105" s="28">
        <f>IF(C105&gt;100,ROUND(I105*J105,2),0)</f>
        <v>0</v>
      </c>
      <c r="L105" s="16">
        <v>9343.76</v>
      </c>
      <c r="M105" s="16">
        <f aca="true" t="shared" si="24" ref="M105:M116">E105+H105+K105+L105</f>
        <v>10581.05</v>
      </c>
      <c r="S105" s="6">
        <v>36976</v>
      </c>
      <c r="T105">
        <v>338</v>
      </c>
      <c r="U105">
        <v>223</v>
      </c>
      <c r="V105">
        <f t="shared" si="20"/>
        <v>561</v>
      </c>
      <c r="X105" s="7">
        <v>0.11205</v>
      </c>
      <c r="Y105" s="7">
        <v>0.06764</v>
      </c>
      <c r="Z105" s="2">
        <f t="shared" si="21"/>
        <v>37.87</v>
      </c>
      <c r="AA105" s="2">
        <f t="shared" si="22"/>
        <v>15.08</v>
      </c>
      <c r="AB105" s="8">
        <f t="shared" si="23"/>
        <v>52.949999999999996</v>
      </c>
    </row>
    <row r="106" spans="1:28" ht="12.75">
      <c r="A106" t="s">
        <v>34</v>
      </c>
      <c r="B106">
        <v>31</v>
      </c>
      <c r="C106">
        <v>34</v>
      </c>
      <c r="D106" s="16">
        <v>6.23</v>
      </c>
      <c r="E106" s="16">
        <f aca="true" t="shared" si="25" ref="E106:E116">ROUND(C106*D106,0)</f>
        <v>212</v>
      </c>
      <c r="F106" s="14">
        <v>17000</v>
      </c>
      <c r="G106" s="44">
        <v>0.042173</v>
      </c>
      <c r="H106" s="28">
        <f aca="true" t="shared" si="26" ref="H106:H116">ROUND(F106*G106,2)</f>
        <v>716.94</v>
      </c>
      <c r="I106" s="39">
        <v>37000</v>
      </c>
      <c r="J106" s="30">
        <v>0.00078</v>
      </c>
      <c r="K106" s="28">
        <f aca="true" t="shared" si="27" ref="K106:K116">IF(C106&gt;100,ROUND(I106*J106,2),0)</f>
        <v>0</v>
      </c>
      <c r="L106" s="16">
        <v>9493.25</v>
      </c>
      <c r="M106" s="16">
        <f t="shared" si="24"/>
        <v>10422.19</v>
      </c>
      <c r="S106" s="6">
        <v>36977</v>
      </c>
      <c r="T106">
        <v>371</v>
      </c>
      <c r="U106">
        <v>221</v>
      </c>
      <c r="V106">
        <f t="shared" si="20"/>
        <v>592</v>
      </c>
      <c r="X106" s="7">
        <v>0.16484</v>
      </c>
      <c r="Y106" s="7">
        <v>0.13194</v>
      </c>
      <c r="Z106" s="2">
        <f t="shared" si="21"/>
        <v>61.16</v>
      </c>
      <c r="AA106" s="2">
        <f t="shared" si="22"/>
        <v>29.16</v>
      </c>
      <c r="AB106" s="8">
        <f t="shared" si="23"/>
        <v>90.32</v>
      </c>
    </row>
    <row r="107" spans="1:28" ht="12.75">
      <c r="A107" t="s">
        <v>35</v>
      </c>
      <c r="B107">
        <v>31</v>
      </c>
      <c r="C107">
        <v>34</v>
      </c>
      <c r="D107" s="16">
        <v>6.23</v>
      </c>
      <c r="E107" s="16">
        <f t="shared" si="25"/>
        <v>212</v>
      </c>
      <c r="F107" s="14">
        <v>18000</v>
      </c>
      <c r="G107" s="44">
        <v>0.042173</v>
      </c>
      <c r="H107" s="28">
        <f t="shared" si="26"/>
        <v>759.11</v>
      </c>
      <c r="I107" s="39">
        <v>39000</v>
      </c>
      <c r="J107" s="30">
        <v>0.00078</v>
      </c>
      <c r="K107" s="28">
        <f t="shared" si="27"/>
        <v>0</v>
      </c>
      <c r="L107" s="16">
        <v>9456.07</v>
      </c>
      <c r="M107" s="16">
        <f t="shared" si="24"/>
        <v>10427.18</v>
      </c>
      <c r="S107" s="6">
        <v>36978</v>
      </c>
      <c r="T107">
        <v>353</v>
      </c>
      <c r="U107">
        <v>220</v>
      </c>
      <c r="V107">
        <f t="shared" si="20"/>
        <v>573</v>
      </c>
      <c r="X107" s="7">
        <v>0.18468</v>
      </c>
      <c r="Y107" s="7">
        <v>0.12086</v>
      </c>
      <c r="Z107" s="2">
        <f t="shared" si="21"/>
        <v>65.19</v>
      </c>
      <c r="AA107" s="2">
        <f t="shared" si="22"/>
        <v>26.59</v>
      </c>
      <c r="AB107" s="8">
        <f t="shared" si="23"/>
        <v>91.78</v>
      </c>
    </row>
    <row r="108" spans="1:28" ht="12.75">
      <c r="A108" t="s">
        <v>36</v>
      </c>
      <c r="B108">
        <v>31</v>
      </c>
      <c r="C108">
        <v>31</v>
      </c>
      <c r="D108" s="16">
        <v>4.15</v>
      </c>
      <c r="E108" s="16">
        <f t="shared" si="25"/>
        <v>129</v>
      </c>
      <c r="F108" s="14">
        <v>16000</v>
      </c>
      <c r="G108" s="44">
        <v>0.042173</v>
      </c>
      <c r="H108" s="28">
        <f t="shared" si="26"/>
        <v>674.77</v>
      </c>
      <c r="I108" s="39">
        <f>18000+27000</f>
        <v>45000</v>
      </c>
      <c r="J108" s="30">
        <v>0.00078</v>
      </c>
      <c r="K108" s="28">
        <f t="shared" si="27"/>
        <v>0</v>
      </c>
      <c r="L108" s="16">
        <v>9468.87</v>
      </c>
      <c r="M108" s="16">
        <f t="shared" si="24"/>
        <v>10272.640000000001</v>
      </c>
      <c r="S108" s="6">
        <v>36979</v>
      </c>
      <c r="T108">
        <v>367</v>
      </c>
      <c r="U108">
        <v>221</v>
      </c>
      <c r="V108">
        <f t="shared" si="20"/>
        <v>588</v>
      </c>
      <c r="X108" s="7">
        <v>0.19672</v>
      </c>
      <c r="Y108" s="7">
        <v>0.16471</v>
      </c>
      <c r="Z108" s="2">
        <f t="shared" si="21"/>
        <v>72.2</v>
      </c>
      <c r="AA108" s="2">
        <f t="shared" si="22"/>
        <v>36.4</v>
      </c>
      <c r="AB108" s="8">
        <f t="shared" si="23"/>
        <v>108.6</v>
      </c>
    </row>
    <row r="109" spans="1:28" ht="12.75">
      <c r="A109" t="s">
        <v>37</v>
      </c>
      <c r="B109">
        <v>31</v>
      </c>
      <c r="C109">
        <v>31</v>
      </c>
      <c r="D109" s="16">
        <v>4.15</v>
      </c>
      <c r="E109" s="16">
        <f t="shared" si="25"/>
        <v>129</v>
      </c>
      <c r="F109" s="14">
        <v>15000</v>
      </c>
      <c r="G109" s="44">
        <v>0.042173</v>
      </c>
      <c r="H109" s="28">
        <f t="shared" si="26"/>
        <v>632.6</v>
      </c>
      <c r="I109" s="39">
        <v>44000</v>
      </c>
      <c r="J109" s="30">
        <v>0.00078</v>
      </c>
      <c r="K109" s="28">
        <f t="shared" si="27"/>
        <v>0</v>
      </c>
      <c r="L109" s="16">
        <v>9445.62</v>
      </c>
      <c r="M109" s="16">
        <f t="shared" si="24"/>
        <v>10207.220000000001</v>
      </c>
      <c r="S109" s="6">
        <v>36980</v>
      </c>
      <c r="T109">
        <v>344</v>
      </c>
      <c r="U109">
        <v>217</v>
      </c>
      <c r="V109">
        <f t="shared" si="20"/>
        <v>561</v>
      </c>
      <c r="X109" s="7">
        <v>0.21941</v>
      </c>
      <c r="Y109" s="7">
        <v>0.1876</v>
      </c>
      <c r="Z109" s="2">
        <f t="shared" si="21"/>
        <v>75.48</v>
      </c>
      <c r="AA109" s="2">
        <f t="shared" si="22"/>
        <v>40.71</v>
      </c>
      <c r="AB109" s="8">
        <f t="shared" si="23"/>
        <v>116.19</v>
      </c>
    </row>
    <row r="110" spans="1:30" ht="12.75">
      <c r="A110" t="s">
        <v>38</v>
      </c>
      <c r="B110">
        <v>31</v>
      </c>
      <c r="C110">
        <v>34</v>
      </c>
      <c r="D110" s="16">
        <v>4.15</v>
      </c>
      <c r="E110" s="16">
        <f t="shared" si="25"/>
        <v>141</v>
      </c>
      <c r="F110" s="14">
        <v>17000</v>
      </c>
      <c r="G110" s="44">
        <v>0.042173</v>
      </c>
      <c r="H110" s="28">
        <f t="shared" si="26"/>
        <v>716.94</v>
      </c>
      <c r="I110" s="39">
        <v>43000</v>
      </c>
      <c r="J110" s="30">
        <v>0.00078</v>
      </c>
      <c r="K110" s="28">
        <f t="shared" si="27"/>
        <v>0</v>
      </c>
      <c r="L110" s="16">
        <v>9282</v>
      </c>
      <c r="M110" s="16">
        <f t="shared" si="24"/>
        <v>10139.94</v>
      </c>
      <c r="S110" s="6">
        <v>36981</v>
      </c>
      <c r="T110">
        <v>351</v>
      </c>
      <c r="U110">
        <v>221</v>
      </c>
      <c r="V110">
        <f t="shared" si="20"/>
        <v>572</v>
      </c>
      <c r="X110" s="7">
        <v>0.23812</v>
      </c>
      <c r="Y110" s="7">
        <v>0.10929</v>
      </c>
      <c r="Z110" s="2">
        <f t="shared" si="21"/>
        <v>83.58</v>
      </c>
      <c r="AA110" s="2">
        <f t="shared" si="22"/>
        <v>24.15</v>
      </c>
      <c r="AB110" s="8">
        <f t="shared" si="23"/>
        <v>107.72999999999999</v>
      </c>
      <c r="AC110" s="17">
        <f>SUM(V80:V110)</f>
        <v>20167</v>
      </c>
      <c r="AD110" s="8">
        <f>SUM(AB80:AB110)</f>
        <v>5261.119999999999</v>
      </c>
    </row>
    <row r="111" spans="1:30" ht="12.75">
      <c r="A111" t="s">
        <v>39</v>
      </c>
      <c r="B111">
        <v>31</v>
      </c>
      <c r="C111">
        <v>34</v>
      </c>
      <c r="D111" s="16">
        <v>4.15</v>
      </c>
      <c r="E111" s="16">
        <f t="shared" si="25"/>
        <v>141</v>
      </c>
      <c r="F111" s="14">
        <v>17000</v>
      </c>
      <c r="G111" s="44">
        <v>0.042173</v>
      </c>
      <c r="H111" s="28">
        <f t="shared" si="26"/>
        <v>716.94</v>
      </c>
      <c r="I111" s="39">
        <v>45000</v>
      </c>
      <c r="J111" s="30">
        <v>0.00078</v>
      </c>
      <c r="K111" s="28">
        <f t="shared" si="27"/>
        <v>0</v>
      </c>
      <c r="L111" s="16">
        <v>9282</v>
      </c>
      <c r="M111" s="16">
        <f t="shared" si="24"/>
        <v>10139.94</v>
      </c>
      <c r="S111" s="6">
        <v>36982</v>
      </c>
      <c r="U111">
        <v>563</v>
      </c>
      <c r="V111">
        <f t="shared" si="20"/>
        <v>563</v>
      </c>
      <c r="X111" s="7"/>
      <c r="Y111" s="7">
        <v>0.23707</v>
      </c>
      <c r="Z111" s="2">
        <f t="shared" si="21"/>
        <v>0</v>
      </c>
      <c r="AA111" s="2">
        <f t="shared" si="22"/>
        <v>133.47</v>
      </c>
      <c r="AB111" s="8">
        <f t="shared" si="23"/>
        <v>133.47</v>
      </c>
      <c r="AC111" s="17"/>
      <c r="AD111" s="8"/>
    </row>
    <row r="112" spans="1:28" ht="12.75">
      <c r="A112" t="s">
        <v>40</v>
      </c>
      <c r="B112">
        <v>31</v>
      </c>
      <c r="C112">
        <v>34</v>
      </c>
      <c r="D112" s="16">
        <v>4.15</v>
      </c>
      <c r="E112" s="16">
        <f t="shared" si="25"/>
        <v>141</v>
      </c>
      <c r="F112" s="14">
        <v>17000</v>
      </c>
      <c r="G112" s="44">
        <v>0.042173</v>
      </c>
      <c r="H112" s="28">
        <f t="shared" si="26"/>
        <v>716.94</v>
      </c>
      <c r="I112" s="39">
        <v>45000</v>
      </c>
      <c r="J112" s="30">
        <v>0.00078</v>
      </c>
      <c r="K112" s="28">
        <f t="shared" si="27"/>
        <v>0</v>
      </c>
      <c r="L112" s="16">
        <v>9282</v>
      </c>
      <c r="M112" s="16">
        <f t="shared" si="24"/>
        <v>10139.94</v>
      </c>
      <c r="S112" s="6">
        <v>36983</v>
      </c>
      <c r="T112">
        <v>383</v>
      </c>
      <c r="U112">
        <v>234</v>
      </c>
      <c r="V112">
        <f t="shared" si="20"/>
        <v>617</v>
      </c>
      <c r="X112" s="7">
        <v>0.31641</v>
      </c>
      <c r="Y112" s="7">
        <v>0.23405</v>
      </c>
      <c r="Z112" s="2">
        <f t="shared" si="21"/>
        <v>121.19</v>
      </c>
      <c r="AA112" s="2">
        <f t="shared" si="22"/>
        <v>54.77</v>
      </c>
      <c r="AB112" s="8">
        <f t="shared" si="23"/>
        <v>175.96</v>
      </c>
    </row>
    <row r="113" spans="1:28" ht="12.75">
      <c r="A113" t="s">
        <v>41</v>
      </c>
      <c r="B113">
        <v>31</v>
      </c>
      <c r="C113">
        <v>34</v>
      </c>
      <c r="D113" s="16">
        <v>4.15</v>
      </c>
      <c r="E113" s="16">
        <f t="shared" si="25"/>
        <v>141</v>
      </c>
      <c r="F113" s="14">
        <v>17000</v>
      </c>
      <c r="G113" s="44">
        <v>0.042173</v>
      </c>
      <c r="H113" s="28">
        <f t="shared" si="26"/>
        <v>716.94</v>
      </c>
      <c r="I113" s="39">
        <v>44000</v>
      </c>
      <c r="J113" s="30">
        <v>0.00078</v>
      </c>
      <c r="K113" s="28">
        <f t="shared" si="27"/>
        <v>0</v>
      </c>
      <c r="L113" s="16">
        <v>9282</v>
      </c>
      <c r="M113" s="16">
        <f t="shared" si="24"/>
        <v>10139.94</v>
      </c>
      <c r="S113" s="6">
        <v>36984</v>
      </c>
      <c r="T113">
        <v>350</v>
      </c>
      <c r="U113">
        <v>253</v>
      </c>
      <c r="V113">
        <f t="shared" si="20"/>
        <v>603</v>
      </c>
      <c r="X113" s="7">
        <v>0.32312</v>
      </c>
      <c r="Y113" s="7">
        <v>0.31011</v>
      </c>
      <c r="Z113" s="2">
        <f t="shared" si="21"/>
        <v>113.09</v>
      </c>
      <c r="AA113" s="2">
        <f t="shared" si="22"/>
        <v>78.46</v>
      </c>
      <c r="AB113" s="8">
        <f t="shared" si="23"/>
        <v>191.55</v>
      </c>
    </row>
    <row r="114" spans="1:28" ht="12.75">
      <c r="A114" t="s">
        <v>42</v>
      </c>
      <c r="B114">
        <v>31</v>
      </c>
      <c r="C114">
        <v>34</v>
      </c>
      <c r="D114" s="16">
        <v>6.23</v>
      </c>
      <c r="E114" s="16">
        <f t="shared" si="25"/>
        <v>212</v>
      </c>
      <c r="F114" s="14">
        <v>17000</v>
      </c>
      <c r="G114" s="44">
        <v>0.042173</v>
      </c>
      <c r="H114" s="28">
        <f t="shared" si="26"/>
        <v>716.94</v>
      </c>
      <c r="I114" s="39">
        <v>43000</v>
      </c>
      <c r="J114" s="30">
        <v>0.00078</v>
      </c>
      <c r="K114" s="28">
        <f t="shared" si="27"/>
        <v>0</v>
      </c>
      <c r="L114" s="16">
        <v>9282</v>
      </c>
      <c r="M114" s="16">
        <f t="shared" si="24"/>
        <v>10210.94</v>
      </c>
      <c r="S114" s="6">
        <v>36985</v>
      </c>
      <c r="T114">
        <v>353</v>
      </c>
      <c r="U114">
        <v>221</v>
      </c>
      <c r="V114">
        <f t="shared" si="20"/>
        <v>574</v>
      </c>
      <c r="X114" s="7">
        <v>0.33059</v>
      </c>
      <c r="Y114" s="7">
        <v>0.26559</v>
      </c>
      <c r="Z114" s="2">
        <f t="shared" si="21"/>
        <v>116.7</v>
      </c>
      <c r="AA114" s="2">
        <f t="shared" si="22"/>
        <v>58.7</v>
      </c>
      <c r="AB114" s="8">
        <f t="shared" si="23"/>
        <v>175.4</v>
      </c>
    </row>
    <row r="115" spans="1:28" ht="12.75">
      <c r="A115" t="s">
        <v>43</v>
      </c>
      <c r="B115">
        <v>31</v>
      </c>
      <c r="C115">
        <v>34</v>
      </c>
      <c r="D115" s="16">
        <v>6.23</v>
      </c>
      <c r="E115" s="16">
        <f t="shared" si="25"/>
        <v>212</v>
      </c>
      <c r="F115" s="14">
        <v>17000</v>
      </c>
      <c r="G115" s="44">
        <v>0.042173</v>
      </c>
      <c r="H115" s="28">
        <f t="shared" si="26"/>
        <v>716.94</v>
      </c>
      <c r="I115" s="39">
        <v>43000</v>
      </c>
      <c r="J115" s="30">
        <v>0.00078</v>
      </c>
      <c r="K115" s="28">
        <f t="shared" si="27"/>
        <v>0</v>
      </c>
      <c r="L115" s="16">
        <v>9282</v>
      </c>
      <c r="M115" s="16">
        <f t="shared" si="24"/>
        <v>10210.94</v>
      </c>
      <c r="S115" s="6">
        <v>36986</v>
      </c>
      <c r="T115">
        <v>358</v>
      </c>
      <c r="U115">
        <v>215</v>
      </c>
      <c r="V115">
        <f t="shared" si="20"/>
        <v>573</v>
      </c>
      <c r="X115" s="7">
        <v>0.27931</v>
      </c>
      <c r="Y115" s="7">
        <v>0.17216</v>
      </c>
      <c r="Z115" s="2">
        <f t="shared" si="21"/>
        <v>99.99</v>
      </c>
      <c r="AA115" s="2">
        <f t="shared" si="22"/>
        <v>37.01</v>
      </c>
      <c r="AB115" s="8">
        <f t="shared" si="23"/>
        <v>137</v>
      </c>
    </row>
    <row r="116" spans="1:28" ht="12.75">
      <c r="A116" t="s">
        <v>44</v>
      </c>
      <c r="B116">
        <v>31</v>
      </c>
      <c r="C116" s="33">
        <v>34</v>
      </c>
      <c r="D116" s="34">
        <v>6.23</v>
      </c>
      <c r="E116" s="34">
        <f t="shared" si="25"/>
        <v>212</v>
      </c>
      <c r="F116" s="35">
        <v>17000</v>
      </c>
      <c r="G116" s="45">
        <v>0.042173</v>
      </c>
      <c r="H116" s="37">
        <f t="shared" si="26"/>
        <v>716.94</v>
      </c>
      <c r="I116" s="40">
        <v>42000</v>
      </c>
      <c r="J116" s="38">
        <v>0.00078</v>
      </c>
      <c r="K116" s="37">
        <f t="shared" si="27"/>
        <v>0</v>
      </c>
      <c r="L116" s="34">
        <v>9282</v>
      </c>
      <c r="M116" s="34">
        <f t="shared" si="24"/>
        <v>10210.94</v>
      </c>
      <c r="S116" s="6">
        <v>36987</v>
      </c>
      <c r="T116">
        <v>382</v>
      </c>
      <c r="U116">
        <v>221</v>
      </c>
      <c r="V116">
        <f t="shared" si="20"/>
        <v>603</v>
      </c>
      <c r="X116" s="7">
        <v>0.31291</v>
      </c>
      <c r="Y116" s="7">
        <v>0.2451</v>
      </c>
      <c r="Z116" s="2">
        <f t="shared" si="21"/>
        <v>119.53</v>
      </c>
      <c r="AA116" s="2">
        <f t="shared" si="22"/>
        <v>54.17</v>
      </c>
      <c r="AB116" s="8">
        <f t="shared" si="23"/>
        <v>173.7</v>
      </c>
    </row>
    <row r="117" spans="3:28" ht="12.75">
      <c r="C117">
        <f>SUM(C105:C116)</f>
        <v>438</v>
      </c>
      <c r="E117" s="31">
        <f>SUM(E105:E116)</f>
        <v>2318</v>
      </c>
      <c r="F117" s="26">
        <f>SUM(F105:F116)</f>
        <v>204000</v>
      </c>
      <c r="H117" s="28">
        <f>SUM(H105:H116)</f>
        <v>8603.290000000003</v>
      </c>
      <c r="I117" s="26">
        <f>SUM(I105:I116)</f>
        <v>512000</v>
      </c>
      <c r="K117" s="28">
        <f>SUM(K105:K116)</f>
        <v>0</v>
      </c>
      <c r="L117" s="31">
        <f>SUM(L105:L116)</f>
        <v>112181.57</v>
      </c>
      <c r="M117" s="31">
        <f>SUM(M105:M116)</f>
        <v>123102.86000000002</v>
      </c>
      <c r="S117" s="6">
        <v>36988</v>
      </c>
      <c r="T117">
        <v>430</v>
      </c>
      <c r="U117">
        <v>235</v>
      </c>
      <c r="V117">
        <f t="shared" si="20"/>
        <v>665</v>
      </c>
      <c r="X117" s="7">
        <v>0.31523</v>
      </c>
      <c r="Y117" s="7">
        <v>0.30119</v>
      </c>
      <c r="Z117" s="2">
        <f t="shared" si="21"/>
        <v>135.55</v>
      </c>
      <c r="AA117" s="2">
        <f t="shared" si="22"/>
        <v>70.78</v>
      </c>
      <c r="AB117" s="8">
        <f t="shared" si="23"/>
        <v>206.33</v>
      </c>
    </row>
    <row r="118" spans="19:28" ht="12.75">
      <c r="S118" s="6">
        <v>36989</v>
      </c>
      <c r="U118">
        <v>695</v>
      </c>
      <c r="V118">
        <f t="shared" si="20"/>
        <v>695</v>
      </c>
      <c r="X118" s="7"/>
      <c r="Y118" s="7">
        <v>0.36768</v>
      </c>
      <c r="Z118" s="2">
        <f t="shared" si="21"/>
        <v>0</v>
      </c>
      <c r="AA118" s="2">
        <f t="shared" si="22"/>
        <v>255.54</v>
      </c>
      <c r="AB118" s="8">
        <f t="shared" si="23"/>
        <v>255.54</v>
      </c>
    </row>
    <row r="119" spans="1:28" ht="12.75">
      <c r="A119" t="s">
        <v>73</v>
      </c>
      <c r="S119" s="6">
        <v>36990</v>
      </c>
      <c r="T119">
        <v>362</v>
      </c>
      <c r="U119">
        <v>258</v>
      </c>
      <c r="V119">
        <f t="shared" si="20"/>
        <v>620</v>
      </c>
      <c r="X119" s="7">
        <v>0.35907</v>
      </c>
      <c r="Y119" s="7">
        <v>0.36265</v>
      </c>
      <c r="Z119" s="2">
        <f t="shared" si="21"/>
        <v>129.98</v>
      </c>
      <c r="AA119" s="2">
        <f t="shared" si="22"/>
        <v>93.56</v>
      </c>
      <c r="AB119" s="8">
        <f t="shared" si="23"/>
        <v>223.54</v>
      </c>
    </row>
    <row r="120" spans="19:28" ht="12.75">
      <c r="S120" s="6">
        <v>36991</v>
      </c>
      <c r="T120">
        <v>441</v>
      </c>
      <c r="U120">
        <v>229</v>
      </c>
      <c r="V120">
        <f t="shared" si="20"/>
        <v>670</v>
      </c>
      <c r="X120" s="7">
        <v>0.42719</v>
      </c>
      <c r="Y120" s="7">
        <v>0.36254</v>
      </c>
      <c r="Z120" s="2">
        <f t="shared" si="21"/>
        <v>188.39</v>
      </c>
      <c r="AA120" s="2">
        <f t="shared" si="22"/>
        <v>83.02</v>
      </c>
      <c r="AB120" s="8">
        <f t="shared" si="23"/>
        <v>271.40999999999997</v>
      </c>
    </row>
    <row r="121" spans="19:28" ht="12.75">
      <c r="S121" s="6">
        <v>36992</v>
      </c>
      <c r="T121">
        <v>368</v>
      </c>
      <c r="U121">
        <v>259</v>
      </c>
      <c r="V121">
        <f t="shared" si="20"/>
        <v>627</v>
      </c>
      <c r="X121" s="7">
        <v>0.41989</v>
      </c>
      <c r="Y121" s="7">
        <v>0.3999</v>
      </c>
      <c r="Z121" s="2">
        <f t="shared" si="21"/>
        <v>154.52</v>
      </c>
      <c r="AA121" s="2">
        <f t="shared" si="22"/>
        <v>103.57</v>
      </c>
      <c r="AB121" s="8">
        <f t="shared" si="23"/>
        <v>258.09000000000003</v>
      </c>
    </row>
    <row r="122" spans="19:30" ht="12.75">
      <c r="S122" s="6">
        <v>36993</v>
      </c>
      <c r="T122">
        <v>365</v>
      </c>
      <c r="U122">
        <v>229</v>
      </c>
      <c r="V122">
        <f t="shared" si="20"/>
        <v>594</v>
      </c>
      <c r="X122" s="7">
        <v>0.46286</v>
      </c>
      <c r="Y122" s="7">
        <v>0.36491</v>
      </c>
      <c r="Z122" s="2">
        <f t="shared" si="21"/>
        <v>168.94</v>
      </c>
      <c r="AA122" s="2">
        <f t="shared" si="22"/>
        <v>83.56</v>
      </c>
      <c r="AB122" s="8">
        <f t="shared" si="23"/>
        <v>252.5</v>
      </c>
      <c r="AC122" s="17">
        <f>SUM(V111:V122)</f>
        <v>7404</v>
      </c>
      <c r="AD122" s="8">
        <f>SUM(AB111:AB122)</f>
        <v>2454.49</v>
      </c>
    </row>
  </sheetData>
  <printOptions/>
  <pageMargins left="0.75" right="0.75" top="0.64" bottom="0.62" header="0.5" footer="0.5"/>
  <pageSetup horizontalDpi="600" verticalDpi="600" orientation="landscape" scale="65" r:id="rId1"/>
  <headerFooter alignWithMargins="0">
    <oddFooter>&amp;L&amp;D&amp;CPage &amp;P of &amp;N&amp;R&amp;B&amp;08&amp;D/&amp;T/Excel</oddFooter>
  </headerFooter>
  <rowBreaks count="2" manualBreakCount="2">
    <brk id="19" max="16" man="1"/>
    <brk id="77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0+</dc:subject>
  <dc:creator>MAR, JEANNIE M.</dc:creator>
  <cp:keywords/>
  <dc:description/>
  <cp:lastModifiedBy>Mike Sommerville</cp:lastModifiedBy>
  <cp:lastPrinted>2002-08-06T18:10:26Z</cp:lastPrinted>
  <dcterms:created xsi:type="dcterms:W3CDTF">2002-07-03T13:48:58Z</dcterms:created>
  <dcterms:modified xsi:type="dcterms:W3CDTF">2002-08-07T17:08:10Z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lication">
    <vt:lpwstr>EXCEL - .XLS</vt:lpwstr>
  </property>
  <property fmtid="{D5CDD505-2E9C-101B-9397-08002B2CF9AE}" pid="3" name="author">
    <vt:lpwstr>Mar, Jeannie M.</vt:lpwstr>
  </property>
  <property fmtid="{D5CDD505-2E9C-101B-9397-08002B2CF9AE}" pid="4" name="archive">
    <vt:lpwstr/>
  </property>
  <property fmtid="{D5CDD505-2E9C-101B-9397-08002B2CF9AE}" pid="5" name="template">
    <vt:lpwstr>IMPORT</vt:lpwstr>
  </property>
  <property fmtid="{D5CDD505-2E9C-101B-9397-08002B2CF9AE}" pid="6" name="encrypt">
    <vt:lpwstr>0</vt:lpwstr>
  </property>
  <property fmtid="{D5CDD505-2E9C-101B-9397-08002B2CF9AE}" pid="7" name="association">
    <vt:lpwstr>BUSINESS LAW</vt:lpwstr>
  </property>
  <property fmtid="{D5CDD505-2E9C-101B-9397-08002B2CF9AE}" pid="8" name="reference">
    <vt:lpwstr/>
  </property>
  <property fmtid="{D5CDD505-2E9C-101B-9397-08002B2CF9AE}" pid="9" name="doctype">
    <vt:lpwstr>IMPORT</vt:lpwstr>
  </property>
  <property fmtid="{D5CDD505-2E9C-101B-9397-08002B2CF9AE}" pid="10" name="title">
    <vt:lpwstr/>
  </property>
  <property fmtid="{D5CDD505-2E9C-101B-9397-08002B2CF9AE}" pid="11" name="catid">
    <vt:lpwstr>BA</vt:lpwstr>
  </property>
  <property fmtid="{D5CDD505-2E9C-101B-9397-08002B2CF9AE}" pid="12" name="refname1">
    <vt:lpwstr/>
  </property>
  <property fmtid="{D5CDD505-2E9C-101B-9397-08002B2CF9AE}" pid="13" name="refname2">
    <vt:lpwstr/>
  </property>
  <property fmtid="{D5CDD505-2E9C-101B-9397-08002B2CF9AE}" pid="14" name="indextext">
    <vt:lpwstr>0</vt:lpwstr>
  </property>
  <property fmtid="{D5CDD505-2E9C-101B-9397-08002B2CF9AE}" pid="15" name="filecat">
    <vt:lpwstr>DOCUMENTS</vt:lpwstr>
  </property>
  <property fmtid="{D5CDD505-2E9C-101B-9397-08002B2CF9AE}" pid="16" name="ckogroup">
    <vt:lpwstr/>
  </property>
  <property fmtid="{D5CDD505-2E9C-101B-9397-08002B2CF9AE}" pid="17" name="version">
    <vt:lpwstr>0+</vt:lpwstr>
  </property>
  <property fmtid="{D5CDD505-2E9C-101B-9397-08002B2CF9AE}" pid="18" name="typist">
    <vt:lpwstr>MAR, JEANNIE M.</vt:lpwstr>
  </property>
  <property fmtid="{D5CDD505-2E9C-101B-9397-08002B2CF9AE}" pid="19" name="filename">
    <vt:lpwstr>WORKBOOK.05</vt:lpwstr>
  </property>
  <property fmtid="{D5CDD505-2E9C-101B-9397-08002B2CF9AE}" pid="20" name="refname3">
    <vt:lpwstr/>
  </property>
  <property fmtid="{D5CDD505-2E9C-101B-9397-08002B2CF9AE}" pid="21" name="DocumentSetType">
    <vt:lpwstr>Response</vt:lpwstr>
  </property>
  <property fmtid="{D5CDD505-2E9C-101B-9397-08002B2CF9AE}" pid="22" name="IsHighlyConfidential">
    <vt:lpwstr>0</vt:lpwstr>
  </property>
  <property fmtid="{D5CDD505-2E9C-101B-9397-08002B2CF9AE}" pid="23" name="DocketNumber">
    <vt:lpwstr>011472</vt:lpwstr>
  </property>
  <property fmtid="{D5CDD505-2E9C-101B-9397-08002B2CF9AE}" pid="24" name="IsConfidential">
    <vt:lpwstr>0</vt:lpwstr>
  </property>
  <property fmtid="{D5CDD505-2E9C-101B-9397-08002B2CF9AE}" pid="25" name="Date1">
    <vt:lpwstr>2002-08-06T00:00:00Z</vt:lpwstr>
  </property>
  <property fmtid="{D5CDD505-2E9C-101B-9397-08002B2CF9AE}" pid="26" name="CaseType">
    <vt:lpwstr>Tariff Revision</vt:lpwstr>
  </property>
  <property fmtid="{D5CDD505-2E9C-101B-9397-08002B2CF9AE}" pid="27" name="OpenedDate">
    <vt:lpwstr>2001-10-31T00:00:00Z</vt:lpwstr>
  </property>
  <property fmtid="{D5CDD505-2E9C-101B-9397-08002B2CF9AE}" pid="28" name="Prefix">
    <vt:lpwstr>TO</vt:lpwstr>
  </property>
  <property fmtid="{D5CDD505-2E9C-101B-9397-08002B2CF9AE}" pid="29" name="CaseCompanyNames">
    <vt:lpwstr>Olympic Pipe Line Company</vt:lpwstr>
  </property>
  <property fmtid="{D5CDD505-2E9C-101B-9397-08002B2CF9AE}" pid="30" name="IndustryCode">
    <vt:lpwstr>223</vt:lpwstr>
  </property>
  <property fmtid="{D5CDD505-2E9C-101B-9397-08002B2CF9AE}" pid="31" name="CaseStatus">
    <vt:lpwstr>Closed</vt:lpwstr>
  </property>
  <property fmtid="{D5CDD505-2E9C-101B-9397-08002B2CF9AE}" pid="32" name="_docset_NoMedatataSyncRequired">
    <vt:lpwstr>False</vt:lpwstr>
  </property>
  <property fmtid="{D5CDD505-2E9C-101B-9397-08002B2CF9AE}" pid="33" name="Nickname">
    <vt:lpwstr/>
  </property>
  <property fmtid="{D5CDD505-2E9C-101B-9397-08002B2CF9AE}" pid="34" name="Process">
    <vt:lpwstr/>
  </property>
  <property fmtid="{D5CDD505-2E9C-101B-9397-08002B2CF9AE}" pid="35" name="Visibility">
    <vt:lpwstr/>
  </property>
  <property fmtid="{D5CDD505-2E9C-101B-9397-08002B2CF9AE}" pid="36" name="DocumentGroup">
    <vt:lpwstr/>
  </property>
</Properties>
</file>