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070" activeTab="0"/>
  </bookViews>
  <sheets>
    <sheet name="RR Summary" sheetId="1" r:id="rId1"/>
    <sheet name=" Rate Base P1" sheetId="2" r:id="rId2"/>
    <sheet name="Rate Base P2" sheetId="3" r:id="rId3"/>
    <sheet name="Cust Depts RB" sheetId="4" r:id="rId4"/>
    <sheet name=" Colstrip AFUDC RB" sheetId="5" r:id="rId5"/>
    <sheet name="Colstrip Common RB" sheetId="6" r:id="rId6"/>
    <sheet name="Kettle Falls RB" sheetId="7" r:id="rId7"/>
    <sheet name="Boulder Park RB" sheetId="8" r:id="rId8"/>
    <sheet name="Coyote" sheetId="9" r:id="rId9"/>
    <sheet name="Pro Transmission Project" sheetId="10" r:id="rId10"/>
    <sheet name="Production Factor" sheetId="11" r:id="rId11"/>
    <sheet name="New Colstrip RB" sheetId="12" r:id="rId12"/>
    <sheet name=" Inc State 1" sheetId="13" r:id="rId13"/>
    <sheet name="Inc State 2" sheetId="14" r:id="rId14"/>
    <sheet name="Inc State 3" sheetId="15" r:id="rId15"/>
    <sheet name="Cust Dep Interest" sheetId="16" r:id="rId16"/>
    <sheet name="CA Sale" sheetId="17" r:id="rId17"/>
    <sheet name="Int Synch" sheetId="18" r:id="rId18"/>
    <sheet name="Jobs Act" sheetId="19" r:id="rId19"/>
    <sheet name="Prod Tax Cr" sheetId="20" r:id="rId20"/>
    <sheet name="Veg Mgt" sheetId="21" r:id="rId21"/>
    <sheet name="Cancelled Projects" sheetId="22" r:id="rId22"/>
    <sheet name="Power Supply Adj" sheetId="23" r:id="rId23"/>
    <sheet name="Pole Rental Revs" sheetId="24" r:id="rId24"/>
    <sheet name="Gain on Sales" sheetId="25" r:id="rId25"/>
    <sheet name="Expiring Lease" sheetId="26" r:id="rId26"/>
    <sheet name="Misc Expense" sheetId="27" r:id="rId27"/>
    <sheet name="Hydro Reshaping" sheetId="28" r:id="rId28"/>
    <sheet name="New Colstrip Capacity" sheetId="29" r:id="rId29"/>
    <sheet name="COC" sheetId="30" r:id="rId30"/>
  </sheets>
  <definedNames>
    <definedName name="_xlnm.Print_Area" localSheetId="4">' Colstrip AFUDC RB'!$A$1:$O$52</definedName>
    <definedName name="_xlnm.Print_Area" localSheetId="12">' Inc State 1'!$A$2:$S$54</definedName>
    <definedName name="_xlnm.Print_Area" localSheetId="1">' Rate Base P1'!$A$1:$T$46</definedName>
    <definedName name="_xlnm.Print_Area" localSheetId="7">'Boulder Park RB'!$A$1:$J$39</definedName>
    <definedName name="_xlnm.Print_Area" localSheetId="16">'CA Sale'!$A$1:$K$38</definedName>
    <definedName name="_xlnm.Print_Area" localSheetId="29">'COC'!$A$1:$L$44</definedName>
    <definedName name="_xlnm.Print_Area" localSheetId="5">'Colstrip Common RB'!$A$1:$M$32</definedName>
    <definedName name="_xlnm.Print_Area" localSheetId="8">'Coyote'!$A$1:$K$57</definedName>
    <definedName name="_xlnm.Print_Area" localSheetId="15">'Cust Dep Interest'!$A$1:$L$26</definedName>
    <definedName name="_xlnm.Print_Area" localSheetId="25">'Expiring Lease'!$A$1:$J$27</definedName>
    <definedName name="_xlnm.Print_Area" localSheetId="24">'Gain on Sales'!$A$1:$J$31</definedName>
    <definedName name="_xlnm.Print_Area" localSheetId="27">'Hydro Reshaping'!$A$1:$J$27</definedName>
    <definedName name="_xlnm.Print_Area" localSheetId="13">'Inc State 2'!$A$2:$S$54</definedName>
    <definedName name="_xlnm.Print_Area" localSheetId="14">'Inc State 3'!$A$2:$S$54</definedName>
    <definedName name="_xlnm.Print_Area" localSheetId="17">'Int Synch'!$A$1:$J$35</definedName>
    <definedName name="_xlnm.Print_Area" localSheetId="18">'Jobs Act'!$A$1:$J$30</definedName>
    <definedName name="_xlnm.Print_Area" localSheetId="6">'Kettle Falls RB'!$B$1:$J$53</definedName>
    <definedName name="_xlnm.Print_Area" localSheetId="26">'Misc Expense'!$A$1:$J$52</definedName>
    <definedName name="_xlnm.Print_Area" localSheetId="28">'New Colstrip Capacity'!$A$3:$J$35</definedName>
    <definedName name="_xlnm.Print_Area" localSheetId="23">'Pole Rental Revs'!$A$1:$J$33</definedName>
    <definedName name="_xlnm.Print_Area" localSheetId="22">'Power Supply Adj'!$A$1:$J$35</definedName>
    <definedName name="_xlnm.Print_Area" localSheetId="9">'Pro Transmission Project'!$A$1:$K$63</definedName>
    <definedName name="_xlnm.Print_Area" localSheetId="19">'Prod Tax Cr'!$A$1:$J$26</definedName>
    <definedName name="_xlnm.Print_Area" localSheetId="10">'Production Factor'!$A$1:$J$46</definedName>
    <definedName name="_xlnm.Print_Area" localSheetId="2">'Rate Base P2'!$A$1:$T$45</definedName>
    <definedName name="_xlnm.Print_Area" localSheetId="0">'RR Summary'!$A$1:$I$46</definedName>
    <definedName name="_xlnm.Print_Area" localSheetId="20">'Veg Mgt'!$A$1:$J$33</definedName>
  </definedNames>
  <calcPr fullCalcOnLoad="1"/>
</workbook>
</file>

<file path=xl/comments10.xml><?xml version="1.0" encoding="utf-8"?>
<comments xmlns="http://schemas.openxmlformats.org/spreadsheetml/2006/main">
  <authors>
    <author> </author>
  </authors>
  <commentList>
    <comment ref="E18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 </author>
  </authors>
  <commentList>
    <comment ref="E3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<sst xmlns="http://schemas.openxmlformats.org/spreadsheetml/2006/main" count="1420" uniqueCount="799">
  <si>
    <t>Amount</t>
  </si>
  <si>
    <t>Company</t>
  </si>
  <si>
    <t>Allocations</t>
  </si>
  <si>
    <t>Line</t>
  </si>
  <si>
    <t>No.</t>
  </si>
  <si>
    <t>Description</t>
  </si>
  <si>
    <t>Transmission</t>
  </si>
  <si>
    <t>Distribution</t>
  </si>
  <si>
    <t xml:space="preserve">   Operating Revenues:</t>
  </si>
  <si>
    <t>General Business Revenues</t>
  </si>
  <si>
    <t>Interdepartmental</t>
  </si>
  <si>
    <t>Other Operating Revenues</t>
  </si>
  <si>
    <t xml:space="preserve">   Total Operating Revenues</t>
  </si>
  <si>
    <t xml:space="preserve">   Operating Expenses:</t>
  </si>
  <si>
    <t>Customer Accounting</t>
  </si>
  <si>
    <t>Electric Plant In Service</t>
  </si>
  <si>
    <t>Rate Base Deductions:</t>
  </si>
  <si>
    <t>Interest</t>
  </si>
  <si>
    <t>WA Jurisdictional</t>
  </si>
  <si>
    <t>As Adjusted</t>
  </si>
  <si>
    <t>by Company</t>
  </si>
  <si>
    <t>WA Jurisdictional Rate Base</t>
  </si>
  <si>
    <t>Overall Rate of Return</t>
  </si>
  <si>
    <t>Net Operating Income Required</t>
  </si>
  <si>
    <t>NOI -- Existing Rates</t>
  </si>
  <si>
    <t>NOI Deficiency (Excess)</t>
  </si>
  <si>
    <t>Revenue Deficiency (Excess)</t>
  </si>
  <si>
    <t>OVERALL COST OF CAPITAL</t>
  </si>
  <si>
    <t>WT. AVG.</t>
  </si>
  <si>
    <t>Type of Capital</t>
  </si>
  <si>
    <t>PERCENT</t>
  </si>
  <si>
    <t>COST RATE</t>
  </si>
  <si>
    <t>Common Equity</t>
  </si>
  <si>
    <t>Preferred Stock</t>
  </si>
  <si>
    <t>Long-term Debt</t>
  </si>
  <si>
    <t>TOTAL CAPITAL</t>
  </si>
  <si>
    <t>As Proposed</t>
  </si>
  <si>
    <t>By Company</t>
  </si>
  <si>
    <t>Public</t>
  </si>
  <si>
    <t>Counsel</t>
  </si>
  <si>
    <t>Adjustments</t>
  </si>
  <si>
    <t>by Public</t>
  </si>
  <si>
    <t>Rate Base As Proposed by Public Counsel</t>
  </si>
  <si>
    <t>Public Counsel Proposed Weighted Cost</t>
  </si>
  <si>
    <t>of Debt</t>
  </si>
  <si>
    <t>Annualized Interest Deduction Calculated</t>
  </si>
  <si>
    <t>Utilizing Public Counsel Proposed Rate</t>
  </si>
  <si>
    <t>Base and Weighted Cost of Debt</t>
  </si>
  <si>
    <t>Annualized Interest Deduction Per</t>
  </si>
  <si>
    <t>Increase (decrease) in Public Counsel</t>
  </si>
  <si>
    <t>Proposed Tax Deductible Interest</t>
  </si>
  <si>
    <t>Deduction</t>
  </si>
  <si>
    <t>Synch.</t>
  </si>
  <si>
    <t>Customer</t>
  </si>
  <si>
    <t>Deposits</t>
  </si>
  <si>
    <t>by Public Counsel</t>
  </si>
  <si>
    <t>(a)</t>
  </si>
  <si>
    <t>(b)</t>
  </si>
  <si>
    <t>( c )</t>
  </si>
  <si>
    <t>(d)</t>
  </si>
  <si>
    <t>(e)</t>
  </si>
  <si>
    <t>(f)</t>
  </si>
  <si>
    <t>(g)</t>
  </si>
  <si>
    <t>(Sch. B-1)</t>
  </si>
  <si>
    <t>(Sch. B-2)</t>
  </si>
  <si>
    <t>(Sch. B-3)</t>
  </si>
  <si>
    <t>Deposit</t>
  </si>
  <si>
    <t>Expenses</t>
  </si>
  <si>
    <t>(Sch. C-1)</t>
  </si>
  <si>
    <t>(Sch. C-2)</t>
  </si>
  <si>
    <t>(Sch. C-3)</t>
  </si>
  <si>
    <t>(h)</t>
  </si>
  <si>
    <t>Customer Deposits Adjustment</t>
  </si>
  <si>
    <t>(Sch. B-4)</t>
  </si>
  <si>
    <t>(I)</t>
  </si>
  <si>
    <t>Jurisdictional</t>
  </si>
  <si>
    <t>Washington</t>
  </si>
  <si>
    <t>Reference</t>
  </si>
  <si>
    <t>Req. Incr. in NOI Per Company</t>
  </si>
  <si>
    <t>AVISTA UTILITIES</t>
  </si>
  <si>
    <t>Revenue Requirement Summary for Washington Retail Electric Operations</t>
  </si>
  <si>
    <t>Adjusted Operations for Test Year Ending December 31, 2004</t>
  </si>
  <si>
    <t>Conversion Factor (a)</t>
  </si>
  <si>
    <t>Rate Base Summary for Washington Retail Electric Operations</t>
  </si>
  <si>
    <t>Intangible</t>
  </si>
  <si>
    <t>Production</t>
  </si>
  <si>
    <t>General</t>
  </si>
  <si>
    <t>Total Plant in Service</t>
  </si>
  <si>
    <t>Accumulated Depreciation</t>
  </si>
  <si>
    <t>Accumulated Provision for Amort.</t>
  </si>
  <si>
    <t>Total Accum. Depre &amp; Amort.</t>
  </si>
  <si>
    <t>Net Electric Plant in Service</t>
  </si>
  <si>
    <t>Gain on Sale of Building</t>
  </si>
  <si>
    <t>Accum. Def. Income Taxes</t>
  </si>
  <si>
    <t>Customer Deposits</t>
  </si>
  <si>
    <t>Other (Reserved)</t>
  </si>
  <si>
    <t>Average of the Monthly Averages of</t>
  </si>
  <si>
    <t>WA Jurisdictional Electric &amp; Gas</t>
  </si>
  <si>
    <t>Customer Deposits Balances</t>
  </si>
  <si>
    <t>PC-94</t>
  </si>
  <si>
    <t>Electric/Gas Revenue Percentages</t>
  </si>
  <si>
    <t>Electric and Gas Rate Base Offset</t>
  </si>
  <si>
    <t>Electric</t>
  </si>
  <si>
    <t>Total Company</t>
  </si>
  <si>
    <t>Gas</t>
  </si>
  <si>
    <t>Source</t>
  </si>
  <si>
    <t>TY Actual General Business Revenues</t>
  </si>
  <si>
    <t>DMF-2 &amp; 3</t>
  </si>
  <si>
    <t>L. 3 X L. 10</t>
  </si>
  <si>
    <t>Idaho</t>
  </si>
  <si>
    <t>Workpaper E-2</t>
  </si>
  <si>
    <t xml:space="preserve">      years</t>
  </si>
  <si>
    <t>Number of years 1990-2003</t>
  </si>
  <si>
    <t>total accumulated depr 12/31/2003</t>
  </si>
  <si>
    <t>total accumulated depr 12/31/2004</t>
  </si>
  <si>
    <t>Allocated per books</t>
  </si>
  <si>
    <t>Allocated per actual</t>
  </si>
  <si>
    <t>Company Adjustment</t>
  </si>
  <si>
    <t>Colstrip AFUDC Elimination from Plant in Service</t>
  </si>
  <si>
    <t>Reallocation of AFUDC Elimination</t>
  </si>
  <si>
    <t>Adjustment to Jurisdictional Plant in Service</t>
  </si>
  <si>
    <t xml:space="preserve">Calculation of Accum. Depr. on Jurisdictional </t>
  </si>
  <si>
    <t>Plant Difference from 1/1/84-12/31/89</t>
  </si>
  <si>
    <t>Annual Depreciation Rate</t>
  </si>
  <si>
    <t>No. of Year</t>
  </si>
  <si>
    <t>Plant Difference 1990 - 2003</t>
  </si>
  <si>
    <t>Annual Depre. Rate</t>
  </si>
  <si>
    <t>Cum Depr Rate to 1990 - 2003</t>
  </si>
  <si>
    <t>Cum. Depr Rate to 12/89</t>
  </si>
  <si>
    <t>Cum Depr $s 1990 - 2003</t>
  </si>
  <si>
    <t>2004 Depre Exp @ Same Rate</t>
  </si>
  <si>
    <t>Average for 2004</t>
  </si>
  <si>
    <t>Colstrip AFUDC Accum. Depre. Adjustment</t>
  </si>
  <si>
    <t>Net Washington Electric Rate Base Adjustment</t>
  </si>
  <si>
    <t>Adjustment to Washington Jurisdictional Rate Base</t>
  </si>
  <si>
    <t>Colstrip</t>
  </si>
  <si>
    <t>AFUDC</t>
  </si>
  <si>
    <t>Net Operating Income Summary for Washington Electric Retail Operations</t>
  </si>
  <si>
    <t>Adjusted Operations for Test Year Ending December 31 2004</t>
  </si>
  <si>
    <t>Sales for Resale</t>
  </si>
  <si>
    <t>Production and Transmission</t>
  </si>
  <si>
    <t xml:space="preserve">  Operating Expenses</t>
  </si>
  <si>
    <t xml:space="preserve">  Purchased Power</t>
  </si>
  <si>
    <t xml:space="preserve">  Depre &amp; Amort</t>
  </si>
  <si>
    <t xml:space="preserve">      Total Prod. &amp; Trans.</t>
  </si>
  <si>
    <t xml:space="preserve">  Depreciation</t>
  </si>
  <si>
    <t xml:space="preserve">  Taxes</t>
  </si>
  <si>
    <t xml:space="preserve">      Total Distribution</t>
  </si>
  <si>
    <t>Cust. Svc. &amp; Information</t>
  </si>
  <si>
    <t>Sales Expenses</t>
  </si>
  <si>
    <t xml:space="preserve">     Total Admin &amp; General</t>
  </si>
  <si>
    <t>Total Electric Expenses</t>
  </si>
  <si>
    <t>Operating Inc. Before FIT</t>
  </si>
  <si>
    <t>Federal Income Taxes</t>
  </si>
  <si>
    <t xml:space="preserve">  Current Accrual</t>
  </si>
  <si>
    <t xml:space="preserve">  Deferred Income Taxes</t>
  </si>
  <si>
    <t>Net Operating Income</t>
  </si>
  <si>
    <r>
      <t>PF 10</t>
    </r>
    <r>
      <rPr>
        <sz val="8"/>
        <rFont val="Arial"/>
        <family val="2"/>
      </rPr>
      <t>2</t>
    </r>
  </si>
  <si>
    <t>Adjusted Operations for the Test Year Ended December 31, 2004</t>
  </si>
  <si>
    <t>Reflect 100% of Production Tax Credit within Retail Cost of Service</t>
  </si>
  <si>
    <t>Co. WP</t>
  </si>
  <si>
    <t>Adjustment for Customer Deposit Interest</t>
  </si>
  <si>
    <t>Sch B-1</t>
  </si>
  <si>
    <t>Total Washington Interest Expense</t>
  </si>
  <si>
    <t>Allocate Total WA Interest on Basis of RB Offset</t>
  </si>
  <si>
    <t>Federal Income Tax Rate</t>
  </si>
  <si>
    <t>Decrease in Related Federal Income Tax Expense</t>
  </si>
  <si>
    <t>From the American Jobs Creation Act of 2004</t>
  </si>
  <si>
    <t>Reflect Anticipated Federal Income Tax Savings Resulting</t>
  </si>
  <si>
    <t>Anticipated Washington Electric Jurisdictional</t>
  </si>
  <si>
    <t>Reduction in Federal Income Tax Expense</t>
  </si>
  <si>
    <t>Stemming from the American Jobs Creation</t>
  </si>
  <si>
    <t>Act of 2004 -- Provided by Avista</t>
  </si>
  <si>
    <t>Staff-70</t>
  </si>
  <si>
    <t>Proforma</t>
  </si>
  <si>
    <t>Reverse Avista's Proforma Adjustment to Reflect</t>
  </si>
  <si>
    <t>Vegetation Management Costs on the basis of</t>
  </si>
  <si>
    <t>the Company's 2006 Budget</t>
  </si>
  <si>
    <t>Co.'s</t>
  </si>
  <si>
    <t>Adj. No. 6</t>
  </si>
  <si>
    <t>Increase in Related Washington Jurisdictional</t>
  </si>
  <si>
    <t>Electric Federal Income Tax Expense</t>
  </si>
  <si>
    <t>Increase in Net Operating Income</t>
  </si>
  <si>
    <t>Reduction in Federal Income Tax Expense to Reflect</t>
  </si>
  <si>
    <t>100% of Savings in Production Tax Credit</t>
  </si>
  <si>
    <t xml:space="preserve">Increase in Washington Retail Electric Net </t>
  </si>
  <si>
    <t>Operating Income</t>
  </si>
  <si>
    <t>Reverse Company's Proforma Adjustment to Allocate Additional</t>
  </si>
  <si>
    <t>Common Overhead Cost to Washington Operations as a Result</t>
  </si>
  <si>
    <t>Of the Sale of Gas Property In California</t>
  </si>
  <si>
    <t>Reverse Avista's Proforma Adjustment to Allocate</t>
  </si>
  <si>
    <t>Additional Common Overhead Cost to Washington</t>
  </si>
  <si>
    <t>Operations Resulting from the Sale of California</t>
  </si>
  <si>
    <t>Gas Properties</t>
  </si>
  <si>
    <t>Operating Expense</t>
  </si>
  <si>
    <t>Depreciation Expense</t>
  </si>
  <si>
    <t>Total Operating Expenses</t>
  </si>
  <si>
    <t>Adj. No. 11</t>
  </si>
  <si>
    <t>As Proposed by Avista</t>
  </si>
  <si>
    <t xml:space="preserve">Capital </t>
  </si>
  <si>
    <t>Components</t>
  </si>
  <si>
    <t>Trust Preferred</t>
  </si>
  <si>
    <t>Witness:  S. Hill</t>
  </si>
  <si>
    <t>Common</t>
  </si>
  <si>
    <t>Kettle</t>
  </si>
  <si>
    <t>Falls</t>
  </si>
  <si>
    <t>Colstrip Common AFUDC Adjustment</t>
  </si>
  <si>
    <t>Boulder</t>
  </si>
  <si>
    <t>Park</t>
  </si>
  <si>
    <t>Reserved</t>
  </si>
  <si>
    <t>(Sch. B-5)</t>
  </si>
  <si>
    <t>(Sch. B-6)</t>
  </si>
  <si>
    <t>(i)</t>
  </si>
  <si>
    <t>Vegetation</t>
  </si>
  <si>
    <t>Manage't</t>
  </si>
  <si>
    <t>CA Sale -</t>
  </si>
  <si>
    <t>Overhead</t>
  </si>
  <si>
    <t>Page 1 of 2</t>
  </si>
  <si>
    <t>Page</t>
  </si>
  <si>
    <t>Subtotal</t>
  </si>
  <si>
    <t>Tax Credit</t>
  </si>
  <si>
    <t>(Sch. C-4)</t>
  </si>
  <si>
    <t>Witness:  J. Dittmer</t>
  </si>
  <si>
    <t>Witness:  M. Lott</t>
  </si>
  <si>
    <t>American</t>
  </si>
  <si>
    <t>Jobs Act</t>
  </si>
  <si>
    <t>of 2004</t>
  </si>
  <si>
    <t>(Sch. C-5)</t>
  </si>
  <si>
    <t>(Sch. C-6)</t>
  </si>
  <si>
    <t>Previous</t>
  </si>
  <si>
    <t xml:space="preserve">  Total CA, CS &amp; Sales</t>
  </si>
  <si>
    <t>Increase (decrease) in Federal</t>
  </si>
  <si>
    <t>Income Tax Expense</t>
  </si>
  <si>
    <t>Adjusted Operations for Test Year Ended December 31, 2004</t>
  </si>
  <si>
    <t>Adjust Federal Income Tax Expense for Interest Synchronization</t>
  </si>
  <si>
    <t>Numerous Power Supply Adjustments</t>
  </si>
  <si>
    <t>(Sch. C-7)</t>
  </si>
  <si>
    <t>Kettle Falls</t>
  </si>
  <si>
    <t>Depre.</t>
  </si>
  <si>
    <t>Expense</t>
  </si>
  <si>
    <t>Amortize</t>
  </si>
  <si>
    <t>Canceled</t>
  </si>
  <si>
    <t>Power</t>
  </si>
  <si>
    <t>Schedule A-Electric</t>
  </si>
  <si>
    <t>Rate Base</t>
  </si>
  <si>
    <t>Rate Base:</t>
  </si>
  <si>
    <t>Total WA Jurisdictional Rate Base:</t>
  </si>
  <si>
    <t>Schedule B-Electric</t>
  </si>
  <si>
    <t>Schedule B-1-Electric</t>
  </si>
  <si>
    <t>Schedule B-2-Electric</t>
  </si>
  <si>
    <t>Schedule C-Electric</t>
  </si>
  <si>
    <t>Schedule C-1-Electric</t>
  </si>
  <si>
    <t>Schedule C-2-Electric</t>
  </si>
  <si>
    <t>Schedule C-3-Electric</t>
  </si>
  <si>
    <t>Schedule C-5-Electric</t>
  </si>
  <si>
    <t>Schedule C-4-Electric</t>
  </si>
  <si>
    <t>Schedule C-6-Electric</t>
  </si>
  <si>
    <t>Schedule D-Electric</t>
  </si>
  <si>
    <t>As Proposed by Public Counsel</t>
  </si>
  <si>
    <t>AFUDC Eliminations -- Net Revenue Req't Impact</t>
  </si>
  <si>
    <t>Total</t>
  </si>
  <si>
    <t>Test year per books allocation of eliminations</t>
  </si>
  <si>
    <t>Plant in service</t>
  </si>
  <si>
    <t>Calculation of reallocated net elimination</t>
  </si>
  <si>
    <t>Plant in Service</t>
  </si>
  <si>
    <t>Adjustment to PIS</t>
  </si>
  <si>
    <t>Calculation of accumulated depreciation on diff</t>
  </si>
  <si>
    <t>1/1/84-12/31/89</t>
  </si>
  <si>
    <t xml:space="preserve">      annual depreciation rate</t>
  </si>
  <si>
    <t>rate for years 1990-2003</t>
  </si>
  <si>
    <t>Cumulative depreciation  1990-2003</t>
  </si>
  <si>
    <t>2004 depr same rate</t>
  </si>
  <si>
    <t>AMA for 2004</t>
  </si>
  <si>
    <t>accumulated depr adjustment</t>
  </si>
  <si>
    <t>Net rate base Adjustment</t>
  </si>
  <si>
    <t>Adjustment to Rate base</t>
  </si>
  <si>
    <t>Public Counsel's After-Tax Cost of Capital</t>
  </si>
  <si>
    <t>Reduction in Return Requirement</t>
  </si>
  <si>
    <t>conversion factor</t>
  </si>
  <si>
    <t>Revenue Change</t>
  </si>
  <si>
    <t>Colstrip Common -- Net Revenue Req't Impact</t>
  </si>
  <si>
    <t>Calculation of test year AMA</t>
  </si>
  <si>
    <t>WP F-2</t>
  </si>
  <si>
    <t>annual depr</t>
  </si>
  <si>
    <t>Per company which was 2006</t>
  </si>
  <si>
    <t>adjustment Col F</t>
  </si>
  <si>
    <t>Public Counsel's After-Tax COC</t>
  </si>
  <si>
    <t xml:space="preserve">per Falkner </t>
  </si>
  <si>
    <t>line 43-line 41</t>
  </si>
  <si>
    <t>Calculation of test year AMA rate base:</t>
  </si>
  <si>
    <t xml:space="preserve">   Balance December 31, 2003</t>
  </si>
  <si>
    <t xml:space="preserve">   Balance December 31, 2004</t>
  </si>
  <si>
    <t xml:space="preserve">   Annual depreciation</t>
  </si>
  <si>
    <t>l1+l2</t>
  </si>
  <si>
    <t>AMA average</t>
  </si>
  <si>
    <t>(l1+l3)/2</t>
  </si>
  <si>
    <t>Company adjustment based on 2006</t>
  </si>
  <si>
    <t>Net rate base adjustment</t>
  </si>
  <si>
    <t>All amounts are Washington Direct</t>
  </si>
  <si>
    <t>L1+L2</t>
  </si>
  <si>
    <t>(L1+L3)/2</t>
  </si>
  <si>
    <t>L4 * L5</t>
  </si>
  <si>
    <t>L6 * L2</t>
  </si>
  <si>
    <t>L2 *L10</t>
  </si>
  <si>
    <t>L7 + L11</t>
  </si>
  <si>
    <t>L13 + L12</t>
  </si>
  <si>
    <t>average L13 and L14</t>
  </si>
  <si>
    <t>Split based on line 2</t>
  </si>
  <si>
    <t>L17- L16</t>
  </si>
  <si>
    <t>L3 - L18</t>
  </si>
  <si>
    <t>L19 - L20</t>
  </si>
  <si>
    <t>L6 - L5</t>
  </si>
  <si>
    <t>Depreciation Expense adjustment</t>
  </si>
  <si>
    <t>Total disallowance on a Company basis</t>
  </si>
  <si>
    <t>Book life depreciation rate</t>
  </si>
  <si>
    <t>WP g2 also</t>
  </si>
  <si>
    <t>Annual depreciation</t>
  </si>
  <si>
    <t>also 35 year life</t>
  </si>
  <si>
    <t>Allocation to Washington for 2004</t>
  </si>
  <si>
    <t>Adjustment to depreciation expense</t>
  </si>
  <si>
    <t>Tax expense adjustment</t>
  </si>
  <si>
    <t>Tax Depreciation</t>
  </si>
  <si>
    <t>Book tax depreciation</t>
  </si>
  <si>
    <t>based on tax basis at 95% of book</t>
  </si>
  <si>
    <t>see WP G2</t>
  </si>
  <si>
    <t>Deferred tax reversal rate</t>
  </si>
  <si>
    <t>Deferred tax adjustment system</t>
  </si>
  <si>
    <t>Washington share</t>
  </si>
  <si>
    <t>NOI adjustment</t>
  </si>
  <si>
    <t>Company adjustment</t>
  </si>
  <si>
    <t>Net adjustment</t>
  </si>
  <si>
    <t>Plant in service Washington share</t>
  </si>
  <si>
    <t>Accumulated depr 12/31/04</t>
  </si>
  <si>
    <t>21 year 1 month</t>
  </si>
  <si>
    <t>Accumulated depr 12/31/03</t>
  </si>
  <si>
    <t>AMA accumulated depreciation</t>
  </si>
  <si>
    <t>Deferred tax company schedule 12/31/04</t>
  </si>
  <si>
    <t>Company PIS Disallowance</t>
  </si>
  <si>
    <t>PC PIS disallowance</t>
  </si>
  <si>
    <t>ratio</t>
  </si>
  <si>
    <t>Deferred tax PC 12/31/04</t>
  </si>
  <si>
    <t>Rate base adjustment</t>
  </si>
  <si>
    <t>Public Counsel's After Tax Cost of Capital</t>
  </si>
  <si>
    <t>Reduction in Return Req't &amp; Deferred Taxes</t>
  </si>
  <si>
    <t>Colstrip AFUDC Eliminations</t>
  </si>
  <si>
    <t>Calculation of System Disallowance</t>
  </si>
  <si>
    <t>Total Plant</t>
  </si>
  <si>
    <t>Allowed Plant</t>
  </si>
  <si>
    <t>System Disallowance</t>
  </si>
  <si>
    <t xml:space="preserve">Washington Allocation </t>
  </si>
  <si>
    <t>5th Supp P16</t>
  </si>
  <si>
    <t>Washington Share Plant in service</t>
  </si>
  <si>
    <t>Book life Depr Rate</t>
  </si>
  <si>
    <t>Annual system Depr. Disallowance</t>
  </si>
  <si>
    <t>Washington Allocated depr.</t>
  </si>
  <si>
    <t>Accumulated depreciation:</t>
  </si>
  <si>
    <t>Years to December 31,2003</t>
  </si>
  <si>
    <t>20 years 1 month</t>
  </si>
  <si>
    <t>Accumulated 12/31/03</t>
  </si>
  <si>
    <t>Accumulated 12/31/04</t>
  </si>
  <si>
    <t>Average System Accum. Depr</t>
  </si>
  <si>
    <t>Washington Allocated</t>
  </si>
  <si>
    <t>L1 -L2</t>
  </si>
  <si>
    <t>Production Allocator</t>
  </si>
  <si>
    <t>L3 * L4</t>
  </si>
  <si>
    <t>1/35 or WP G2</t>
  </si>
  <si>
    <t>L3*L6</t>
  </si>
  <si>
    <t>L7*L4</t>
  </si>
  <si>
    <t>L9*L7</t>
  </si>
  <si>
    <t>L10+L7</t>
  </si>
  <si>
    <t>average L10 and L11</t>
  </si>
  <si>
    <t>L12*L4</t>
  </si>
  <si>
    <t>Deferred Tax</t>
  </si>
  <si>
    <t>Accumulated Deferred Tax</t>
  </si>
  <si>
    <t>Tax value as % of book</t>
  </si>
  <si>
    <t>WP-G2</t>
  </si>
  <si>
    <t>Deferred Tax based on company</t>
  </si>
  <si>
    <t xml:space="preserve">    Disallowance of $5,247,725 Wa</t>
  </si>
  <si>
    <t xml:space="preserve">    End of Year</t>
  </si>
  <si>
    <t>WP G-2</t>
  </si>
  <si>
    <t>WP-G-2</t>
  </si>
  <si>
    <t>Ratio of correct disallowance to</t>
  </si>
  <si>
    <t xml:space="preserve">     Company disallowance</t>
  </si>
  <si>
    <t>Deferred Tax expense</t>
  </si>
  <si>
    <t>Reversal tax rate</t>
  </si>
  <si>
    <t>Net rate Base Adjustment</t>
  </si>
  <si>
    <t>Net Operating Income Adjustment</t>
  </si>
  <si>
    <t>Net Rate Base Adjustment</t>
  </si>
  <si>
    <t>L5/l15</t>
  </si>
  <si>
    <t>L16*L17</t>
  </si>
  <si>
    <t>95%*L8*L19</t>
  </si>
  <si>
    <t>L5-L13+L18</t>
  </si>
  <si>
    <t>L8-L20</t>
  </si>
  <si>
    <t>Net Adjustment</t>
  </si>
  <si>
    <t>L21-L23</t>
  </si>
  <si>
    <t>L22-L24</t>
  </si>
  <si>
    <t>This adjustment based on Idaho disallowance</t>
  </si>
  <si>
    <t>System disallowance</t>
  </si>
  <si>
    <t>Allocated</t>
  </si>
  <si>
    <t>Deferred Taxes</t>
  </si>
  <si>
    <t>26 months</t>
  </si>
  <si>
    <t>Depreciation</t>
  </si>
  <si>
    <t>32 months to end of year</t>
  </si>
  <si>
    <t>Tax effect</t>
  </si>
  <si>
    <t>book accum</t>
  </si>
  <si>
    <t>tax year 1</t>
  </si>
  <si>
    <t>Net operating income adjustment</t>
  </si>
  <si>
    <t>tax year 2</t>
  </si>
  <si>
    <t>tax year 3</t>
  </si>
  <si>
    <t>Revenue impact</t>
  </si>
  <si>
    <t>difference</t>
  </si>
  <si>
    <t>Reduction in After Tax Return requirement</t>
  </si>
  <si>
    <t>Subtotal Increase to NOI</t>
  </si>
  <si>
    <t>Washington Allocation</t>
  </si>
  <si>
    <t>Washington Amount</t>
  </si>
  <si>
    <t>Average Depreciation rate</t>
  </si>
  <si>
    <t>FERC Form 1</t>
  </si>
  <si>
    <t>Months to June 30, 2004</t>
  </si>
  <si>
    <t>Based on May 2002 in service</t>
  </si>
  <si>
    <t>Accumulated depreciation 12/31/04</t>
  </si>
  <si>
    <t>Accumulated depreciation 12/31/03</t>
  </si>
  <si>
    <t>Annual Depreciation</t>
  </si>
  <si>
    <t>Average Accum. Depreciation</t>
  </si>
  <si>
    <t>Deferred Taxes:</t>
  </si>
  <si>
    <t>Accumulated 3 first year tax rate</t>
  </si>
  <si>
    <t>Tax greater than book</t>
  </si>
  <si>
    <t>Deferred taxes</t>
  </si>
  <si>
    <t>32 months Depr</t>
  </si>
  <si>
    <t>20 months Depr</t>
  </si>
  <si>
    <t>Tax code</t>
  </si>
  <si>
    <t>L3*L9</t>
  </si>
  <si>
    <t>L3*l4</t>
  </si>
  <si>
    <t>35%*L12</t>
  </si>
  <si>
    <t>L10-L11</t>
  </si>
  <si>
    <t>Tax depreciation 3 year</t>
  </si>
  <si>
    <t>Accum Depr 12/31/04</t>
  </si>
  <si>
    <t>Boulder Park Rate Base Disallowance Adjustment</t>
  </si>
  <si>
    <t>Coyote Springs -- Net Revenue Req't Impact</t>
  </si>
  <si>
    <t>deferred tax calculation</t>
  </si>
  <si>
    <t>Backup</t>
  </si>
  <si>
    <t>1 st year</t>
  </si>
  <si>
    <t>per company</t>
  </si>
  <si>
    <t>2nd year</t>
  </si>
  <si>
    <t>book D</t>
  </si>
  <si>
    <t>tax</t>
  </si>
  <si>
    <t>dt</t>
  </si>
  <si>
    <t>average</t>
  </si>
  <si>
    <t>rounded</t>
  </si>
  <si>
    <t>book</t>
  </si>
  <si>
    <t>CS 2</t>
  </si>
  <si>
    <t>Coyote Springs adjusted to Rate Year</t>
  </si>
  <si>
    <t>NOI portion of the adjustment agree with company</t>
  </si>
  <si>
    <t>Plant in service, agree with company</t>
  </si>
  <si>
    <t>Annual depreciation System</t>
  </si>
  <si>
    <t>Accumulated depreciation 12/31/05</t>
  </si>
  <si>
    <t>Accumulated depreciation 12/31/06</t>
  </si>
  <si>
    <t>Average Accumulated depreciation</t>
  </si>
  <si>
    <t>Washington average at 65.16%</t>
  </si>
  <si>
    <t>WP T-2</t>
  </si>
  <si>
    <t>Tax depreciation to 12/31/04</t>
  </si>
  <si>
    <t>Rate</t>
  </si>
  <si>
    <t>2nd Half</t>
  </si>
  <si>
    <t>Tax less Book</t>
  </si>
  <si>
    <t>Deferred tax at 35%</t>
  </si>
  <si>
    <t>BackupTax depreciation 2006</t>
  </si>
  <si>
    <t>CS 2 Tax Depreciation 2006</t>
  </si>
  <si>
    <t>Total 2006 tax depreciation</t>
  </si>
  <si>
    <t>Tax less book</t>
  </si>
  <si>
    <t>Deferred tax expense 2006 at 35%</t>
  </si>
  <si>
    <t>Accumulated deferred tax 12/31/06</t>
  </si>
  <si>
    <t>11 1/2 months</t>
  </si>
  <si>
    <t>average L2 and L3</t>
  </si>
  <si>
    <t>WP T-3</t>
  </si>
  <si>
    <t>Allocated to Washington</t>
  </si>
  <si>
    <t>Washington Rate Base adjustment</t>
  </si>
  <si>
    <t>Company adjustments</t>
  </si>
  <si>
    <t>Accumulated depreciation</t>
  </si>
  <si>
    <t>Accumulated DFIT</t>
  </si>
  <si>
    <t xml:space="preserve">Net Company adjustment </t>
  </si>
  <si>
    <t>Net Accumulated adjustment</t>
  </si>
  <si>
    <t>Total tax depr 2005</t>
  </si>
  <si>
    <t>L11+L13</t>
  </si>
  <si>
    <t>L14-l2</t>
  </si>
  <si>
    <t>times L 10</t>
  </si>
  <si>
    <t>Times L12</t>
  </si>
  <si>
    <t>L17+L18</t>
  </si>
  <si>
    <t>L19-L1</t>
  </si>
  <si>
    <t>L20*35%</t>
  </si>
  <si>
    <t>L16+L21</t>
  </si>
  <si>
    <t>Average L16 and L22</t>
  </si>
  <si>
    <t>at 65.16%</t>
  </si>
  <si>
    <t>(-L+L24)</t>
  </si>
  <si>
    <t>L25-L28</t>
  </si>
  <si>
    <t>L15*35%</t>
  </si>
  <si>
    <t>Calculation Coyote Springs to 2006</t>
  </si>
  <si>
    <t>Calculation Transmission Project to 2006 year 2006</t>
  </si>
  <si>
    <t>Def tax</t>
  </si>
  <si>
    <t>Accum D</t>
  </si>
  <si>
    <t>exp</t>
  </si>
  <si>
    <t>PIS total</t>
  </si>
  <si>
    <t>Dry creek</t>
  </si>
  <si>
    <t>Boulder 230 sub</t>
  </si>
  <si>
    <t>accumulated</t>
  </si>
  <si>
    <t>depreciation</t>
  </si>
  <si>
    <t>12.31.2005</t>
  </si>
  <si>
    <t>rate</t>
  </si>
  <si>
    <t>Beacon 230 kV line</t>
  </si>
  <si>
    <t xml:space="preserve">average </t>
  </si>
  <si>
    <t>Tax rate</t>
  </si>
  <si>
    <t xml:space="preserve">deferred </t>
  </si>
  <si>
    <t xml:space="preserve">Tax </t>
  </si>
  <si>
    <t>AMA balance</t>
  </si>
  <si>
    <t xml:space="preserve">End of </t>
  </si>
  <si>
    <t>December</t>
  </si>
  <si>
    <t xml:space="preserve">Monthly </t>
  </si>
  <si>
    <t xml:space="preserve">annual </t>
  </si>
  <si>
    <t>Transmission calculation</t>
  </si>
  <si>
    <t>Beacon 230 Line</t>
  </si>
  <si>
    <t>As of December 31, 2005</t>
  </si>
  <si>
    <t>Bolder 230</t>
  </si>
  <si>
    <t>Dry Creek</t>
  </si>
  <si>
    <t>As of December 31, 2006</t>
  </si>
  <si>
    <t>Average</t>
  </si>
  <si>
    <t>Rate Base Adjustment</t>
  </si>
  <si>
    <t>Deferred FIT</t>
  </si>
  <si>
    <t>Based on PF7 pages 7-8</t>
  </si>
  <si>
    <t>Sum L1-L3</t>
  </si>
  <si>
    <t>SumL5-L8</t>
  </si>
  <si>
    <t>Average L 4 and L8</t>
  </si>
  <si>
    <t>Tax rates T 22</t>
  </si>
  <si>
    <t>Sum L11-13</t>
  </si>
  <si>
    <t>Sum L15-17</t>
  </si>
  <si>
    <t>Average L14 and L18</t>
  </si>
  <si>
    <t>(-L10+L20)</t>
  </si>
  <si>
    <t>(-L22+L23)</t>
  </si>
  <si>
    <t>L21-L24</t>
  </si>
  <si>
    <t>Production Rate base per Knox</t>
  </si>
  <si>
    <t>Adjustments to the initail case</t>
  </si>
  <si>
    <t>Depreciation adjustment</t>
  </si>
  <si>
    <t>Production Rate base with Adj</t>
  </si>
  <si>
    <t>Coyote adjustment</t>
  </si>
  <si>
    <t>depreciation adjusted</t>
  </si>
  <si>
    <t>AFUDC eliminations</t>
  </si>
  <si>
    <t>Annual growth rate</t>
  </si>
  <si>
    <t>AFUDC Common</t>
  </si>
  <si>
    <t>two years growth</t>
  </si>
  <si>
    <t>rate year to test year</t>
  </si>
  <si>
    <t>Boulder Park</t>
  </si>
  <si>
    <t>rate year Rate base</t>
  </si>
  <si>
    <t>rate year depreciation</t>
  </si>
  <si>
    <t>Rounded to 000</t>
  </si>
  <si>
    <t>Adjustments Rate Base</t>
  </si>
  <si>
    <t>Adjustment Depreciation Expense</t>
  </si>
  <si>
    <t>Taxes</t>
  </si>
  <si>
    <t>Amounts</t>
  </si>
  <si>
    <t>Production Rate Base Per Ms Knox Work Sheet</t>
  </si>
  <si>
    <t>TLK 123</t>
  </si>
  <si>
    <t>PC Adjustments to Production Rate Base</t>
  </si>
  <si>
    <t>Colstrip Eliminations</t>
  </si>
  <si>
    <t>Colstrip Common</t>
  </si>
  <si>
    <t>Kettle Falls Disallowance</t>
  </si>
  <si>
    <t>Coyote Springs</t>
  </si>
  <si>
    <t>Total Rate Base Adjustments</t>
  </si>
  <si>
    <t>Net Production Plant</t>
  </si>
  <si>
    <t>TLK 122</t>
  </si>
  <si>
    <t>Net Production Depreciation and Amortization</t>
  </si>
  <si>
    <t>Growth rate</t>
  </si>
  <si>
    <t>Work paper TLK 122</t>
  </si>
  <si>
    <t>Work paper TLK 123</t>
  </si>
  <si>
    <t>Two Year growth</t>
  </si>
  <si>
    <t>Test year rate base factored for Growth</t>
  </si>
  <si>
    <t>Test year depreciation Expense factored for Growth</t>
  </si>
  <si>
    <t>Net operating income</t>
  </si>
  <si>
    <t xml:space="preserve">Draft integrated </t>
  </si>
  <si>
    <t>resource plan</t>
  </si>
  <si>
    <t>squared</t>
  </si>
  <si>
    <t>L8/L14</t>
  </si>
  <si>
    <t>L11/L14</t>
  </si>
  <si>
    <t>L15-L 8</t>
  </si>
  <si>
    <t>L16-L11</t>
  </si>
  <si>
    <t>35% of -L19</t>
  </si>
  <si>
    <t>L18+L19</t>
  </si>
  <si>
    <t>Company investment in cancelled generators</t>
  </si>
  <si>
    <t>Estimated Market Value</t>
  </si>
  <si>
    <t>Estimated Loss</t>
  </si>
  <si>
    <t>Net of Tax</t>
  </si>
  <si>
    <t>Ten year amort</t>
  </si>
  <si>
    <t>Deferred tax amortization</t>
  </si>
  <si>
    <t>System Net operating income</t>
  </si>
  <si>
    <t>Washington Allocation at 65.16%</t>
  </si>
  <si>
    <t>Amortization</t>
  </si>
  <si>
    <t>Tax</t>
  </si>
  <si>
    <t>Net operating Income</t>
  </si>
  <si>
    <t>Net adjustment to net operating income</t>
  </si>
  <si>
    <t>WP PF9-2</t>
  </si>
  <si>
    <t>Cancelled Small Projects Amortization Adjustment</t>
  </si>
  <si>
    <t>Coyote</t>
  </si>
  <si>
    <t>(Sch. B-7)</t>
  </si>
  <si>
    <t>(Sch. B-8)</t>
  </si>
  <si>
    <t>(Sch. B-9)</t>
  </si>
  <si>
    <t>(Sch. B-10)</t>
  </si>
  <si>
    <t>(Sch. B-11)</t>
  </si>
  <si>
    <t>Rate Year load to test year load</t>
  </si>
  <si>
    <t>Production Depreciation Expense</t>
  </si>
  <si>
    <t>Factor</t>
  </si>
  <si>
    <t>Power Supply Adjustment to Per Book Recorded</t>
  </si>
  <si>
    <t>Amounts per Public Counsel Witness Merton Lott</t>
  </si>
  <si>
    <t>Amounts per Avista</t>
  </si>
  <si>
    <t>M. Lott</t>
  </si>
  <si>
    <t>Reduction in Proforma Washington Jurisdictional</t>
  </si>
  <si>
    <t>Power Supply Costs</t>
  </si>
  <si>
    <t>Increase in Federal Income Tax Expense</t>
  </si>
  <si>
    <t>L. 2 - L.4</t>
  </si>
  <si>
    <t>L.6 X L.7</t>
  </si>
  <si>
    <t>L. 6 - L. 8</t>
  </si>
  <si>
    <t>Supply</t>
  </si>
  <si>
    <t>Carried Forward</t>
  </si>
  <si>
    <t>From Page 1 of 2</t>
  </si>
  <si>
    <t>L9 *L2, also WP E-2</t>
  </si>
  <si>
    <t>WA L15 * 65.16%</t>
  </si>
  <si>
    <t>Net  Adjustment to Avista's Proforma Rate Base</t>
  </si>
  <si>
    <t>Rounded</t>
  </si>
  <si>
    <t>Production Factor Adjustment</t>
  </si>
  <si>
    <t>Sch. B</t>
  </si>
  <si>
    <t>Sch. D</t>
  </si>
  <si>
    <t>L. 1 X L. 3</t>
  </si>
  <si>
    <t>AC 2</t>
  </si>
  <si>
    <t xml:space="preserve">Company </t>
  </si>
  <si>
    <t>L. 11 X L. 12</t>
  </si>
  <si>
    <t>L. 3 X L. 4</t>
  </si>
  <si>
    <t>L. 3 - L. 26</t>
  </si>
  <si>
    <t>Schedule B-3 Electric</t>
  </si>
  <si>
    <t>Kettle Falls Disallowance Adjustment</t>
  </si>
  <si>
    <t>Schedule B-4 Electric</t>
  </si>
  <si>
    <t>Schedule B-5 Electric</t>
  </si>
  <si>
    <t>Schedule B-6 Electric</t>
  </si>
  <si>
    <t>Schedule B-7 Electric</t>
  </si>
  <si>
    <t>Schedule B-8 Electric</t>
  </si>
  <si>
    <t xml:space="preserve">Total As </t>
  </si>
  <si>
    <t>Public Counsel</t>
  </si>
  <si>
    <t>Adjusted Per WA</t>
  </si>
  <si>
    <t>Pro forma Transmission Project</t>
  </si>
  <si>
    <t>Project</t>
  </si>
  <si>
    <t>(Sch. C-8)</t>
  </si>
  <si>
    <t>(Sch. C-9)</t>
  </si>
  <si>
    <t>(Sch. C-10)</t>
  </si>
  <si>
    <t>Schedule C-7 Electric</t>
  </si>
  <si>
    <t>Allocated on Gen'l Business Revenues</t>
  </si>
  <si>
    <t>Allocation per books</t>
  </si>
  <si>
    <t xml:space="preserve">      Cumulative Depr to 12/31/89</t>
  </si>
  <si>
    <t>Falkner conversion factor</t>
  </si>
  <si>
    <t>Cumulative Depr Dollars thru 12/89</t>
  </si>
  <si>
    <t>AMA balance of Colstrip common Washing accrued AFUDC</t>
  </si>
  <si>
    <t>Calculation of Kettle Falls disallowance based on U-83-26</t>
  </si>
  <si>
    <t>Deferred Tax WA</t>
  </si>
  <si>
    <t>Deferred Tax expense WA</t>
  </si>
  <si>
    <t>total tax depr</t>
  </si>
  <si>
    <t>Average deferred tax 2006</t>
  </si>
  <si>
    <t>deferred tax</t>
  </si>
  <si>
    <t>In service December 2005</t>
  </si>
  <si>
    <t>Company Adjust to Accumulated Depreciation and Deferred FIT</t>
  </si>
  <si>
    <t>Kettle Falls Adjustment</t>
  </si>
  <si>
    <t>Prod. Facilities</t>
  </si>
  <si>
    <t>Docket Nos. UE-050482 &amp; UG-050483</t>
  </si>
  <si>
    <t>(first of two pages)</t>
  </si>
  <si>
    <t>(second of two pages)</t>
  </si>
  <si>
    <t>Pole</t>
  </si>
  <si>
    <t>Attachment</t>
  </si>
  <si>
    <t>Revenues</t>
  </si>
  <si>
    <t>Reflect Actual 2004 Billed Pole Rental Revenues</t>
  </si>
  <si>
    <t>Test Year Actual Pole Rental Revenues Billed</t>
  </si>
  <si>
    <t>Test Year Pole Rental Revenues Recorded on</t>
  </si>
  <si>
    <t>an Accrual Basis</t>
  </si>
  <si>
    <t xml:space="preserve">Adjust Test Year Pole Rental Revenues to </t>
  </si>
  <si>
    <t>that Actually Billed</t>
  </si>
  <si>
    <t>Staff - 59</t>
  </si>
  <si>
    <t>L. 1 - L. 3</t>
  </si>
  <si>
    <t>Gain on Sale</t>
  </si>
  <si>
    <t>of Utility Prop.</t>
  </si>
  <si>
    <t>L.5 X L.6</t>
  </si>
  <si>
    <t>L. 5 - L. 7</t>
  </si>
  <si>
    <t>Amortization Period</t>
  </si>
  <si>
    <t>Amortize Deferred Gains on Sales Over 10 Year</t>
  </si>
  <si>
    <t>Eliminate Expiring Computer System Leases</t>
  </si>
  <si>
    <t>Eliminate costs of expiring computer system leases</t>
  </si>
  <si>
    <t>Staff - 136c</t>
  </si>
  <si>
    <t>Gains on Sales of Utility Property 1998 - 2004</t>
  </si>
  <si>
    <t>Schedule C-9-Electric</t>
  </si>
  <si>
    <t>Schedule C-10-Electric</t>
  </si>
  <si>
    <t>Schedule C-11-Electric</t>
  </si>
  <si>
    <t>Acct No.</t>
  </si>
  <si>
    <t>WSU Athletics</t>
  </si>
  <si>
    <t>Brett Sports &amp; Entertainment</t>
  </si>
  <si>
    <t>Spokane Indians</t>
  </si>
  <si>
    <t>Interspace Airport Advertising</t>
  </si>
  <si>
    <t>Misc Dues, Donations, etc</t>
  </si>
  <si>
    <t>Disallowed % (Determined from review of</t>
  </si>
  <si>
    <t>Electric Percentage</t>
  </si>
  <si>
    <t>Total Electric Disallowance</t>
  </si>
  <si>
    <t>Washington Percentage</t>
  </si>
  <si>
    <t>Total Company Below-the-line adjustment</t>
  </si>
  <si>
    <t>Washington Electric Adjustment</t>
  </si>
  <si>
    <t>Total Edison Electric Institute Dues</t>
  </si>
  <si>
    <t>Summary of Expenses prepared by the Staff</t>
  </si>
  <si>
    <t>Subcommitte on Utility Association Oversight)</t>
  </si>
  <si>
    <t>EEI WA Electric Disallowance</t>
  </si>
  <si>
    <t>Total WA Electric Below-the-Line Adjustment</t>
  </si>
  <si>
    <t>Increase in Related Current Income Tax Expense</t>
  </si>
  <si>
    <t>Adjustment to Net Operating Income</t>
  </si>
  <si>
    <t>PC-218</t>
  </si>
  <si>
    <t>Sum Lns 2 - 6</t>
  </si>
  <si>
    <t>L. 7 * L. 8</t>
  </si>
  <si>
    <t>L. 9 * L. 10</t>
  </si>
  <si>
    <t>L. 12 - L. 15</t>
  </si>
  <si>
    <t>L. 11 + L. 41</t>
  </si>
  <si>
    <t>L. 17 * L. 18</t>
  </si>
  <si>
    <t>L. 17 + L. 20</t>
  </si>
  <si>
    <t>Schedule C-12-Electric</t>
  </si>
  <si>
    <t>Expiring</t>
  </si>
  <si>
    <t xml:space="preserve">Computer </t>
  </si>
  <si>
    <t>Leases</t>
  </si>
  <si>
    <t>(Sch. C-11)</t>
  </si>
  <si>
    <t>Misc.</t>
  </si>
  <si>
    <t>Line Exp.</t>
  </si>
  <si>
    <t>Below-the-</t>
  </si>
  <si>
    <t>(Sch. C-12)</t>
  </si>
  <si>
    <t>Revised Schedule C-8-Electric</t>
  </si>
  <si>
    <t>Schedule C-13-Electric</t>
  </si>
  <si>
    <t>Reduction in Purchased Power Expense -</t>
  </si>
  <si>
    <t>ICNU adjustment adopted by Public Counsel</t>
  </si>
  <si>
    <t xml:space="preserve">witness Merton Lott attributable to </t>
  </si>
  <si>
    <t>Hydro Reshaping</t>
  </si>
  <si>
    <t>L. 4 X L. 5</t>
  </si>
  <si>
    <t>L. 4 - L. 6</t>
  </si>
  <si>
    <t>Purchased Power Expense Adjustment Related to Hydro Reshaping</t>
  </si>
  <si>
    <t>(Sch. C-13)</t>
  </si>
  <si>
    <t>Purch. Power</t>
  </si>
  <si>
    <t>Hydro</t>
  </si>
  <si>
    <t>Reshaping</t>
  </si>
  <si>
    <t>New Colstrip Capacity Adjustment</t>
  </si>
  <si>
    <t>related to new Colstrip Capacity</t>
  </si>
  <si>
    <t>Purchased Power</t>
  </si>
  <si>
    <t>Total Before-tax expense adjustments</t>
  </si>
  <si>
    <t>Increase in Income Tax Expense</t>
  </si>
  <si>
    <t>L. 3 + L.4</t>
  </si>
  <si>
    <t>L. 5 X L.6</t>
  </si>
  <si>
    <t>Schedule C-14-Electric</t>
  </si>
  <si>
    <t>New</t>
  </si>
  <si>
    <t>Capacity</t>
  </si>
  <si>
    <t>Schedule B-9-Electric</t>
  </si>
  <si>
    <t>New Colstrip Capacity</t>
  </si>
  <si>
    <t>ICNU Adjustment Adtoped by Public Counsel</t>
  </si>
  <si>
    <t>Related to New Colstrip Capacity</t>
  </si>
  <si>
    <t>Net Rate Base</t>
  </si>
  <si>
    <t>L. 3 - L. 4</t>
  </si>
  <si>
    <t>Page 1 of 30</t>
  </si>
  <si>
    <t>Page 30 of 30</t>
  </si>
  <si>
    <t>Page 29 of 30</t>
  </si>
  <si>
    <t>Page 28 of 30</t>
  </si>
  <si>
    <t>Page 27 of 30</t>
  </si>
  <si>
    <t>Page 26 of 30</t>
  </si>
  <si>
    <t>Page 25 of 30</t>
  </si>
  <si>
    <t>Page 24 of 30</t>
  </si>
  <si>
    <t>Page 23 of 30</t>
  </si>
  <si>
    <t>Page 22 of 30</t>
  </si>
  <si>
    <t>Page 21 of 30</t>
  </si>
  <si>
    <t>Page 20 of 30</t>
  </si>
  <si>
    <t>Page 19 of 30</t>
  </si>
  <si>
    <t>Page 18 of 30</t>
  </si>
  <si>
    <t>Page 17 of 30</t>
  </si>
  <si>
    <t>Page 16 of 30</t>
  </si>
  <si>
    <t>Page 15 of 30</t>
  </si>
  <si>
    <t>Page 14 of 30</t>
  </si>
  <si>
    <t>Page 13 of 30</t>
  </si>
  <si>
    <t>Page 12 of 30</t>
  </si>
  <si>
    <t>Page 11 of 30</t>
  </si>
  <si>
    <t>Page 10 of 30</t>
  </si>
  <si>
    <t>Page 9 of 30</t>
  </si>
  <si>
    <t>Page 8 of 30</t>
  </si>
  <si>
    <t>Page 7 of 30</t>
  </si>
  <si>
    <t>Page 6 of 30</t>
  </si>
  <si>
    <t>Page 5 of 30</t>
  </si>
  <si>
    <t>Page 4 of 30</t>
  </si>
  <si>
    <t>Page 3 of 30</t>
  </si>
  <si>
    <t>Page 2 of 30</t>
  </si>
  <si>
    <t>(second of three pages)</t>
  </si>
  <si>
    <t>(first of three pages)</t>
  </si>
  <si>
    <t>(three of three pages)</t>
  </si>
  <si>
    <t>Amortize Gains on Sales of Real Property Over 10 Years</t>
  </si>
  <si>
    <t>L. 1 / L. 2</t>
  </si>
  <si>
    <t>L.3 X L.4</t>
  </si>
  <si>
    <t>L. 3 - L. 5</t>
  </si>
  <si>
    <t>(Sch. C-14)</t>
  </si>
  <si>
    <t>Miscellaneous Below-the-Line Expense Adjustments</t>
  </si>
  <si>
    <t>Exhibit No._____(JRD-6)</t>
  </si>
  <si>
    <t>Average L7 and L8</t>
  </si>
  <si>
    <t>From Eliminated Vegetation Management Costs</t>
  </si>
  <si>
    <t>(All amounts show in $000's)</t>
  </si>
  <si>
    <t>(All amounts shown in $000's)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</si>
</sst>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0.000%"/>
    <numFmt numFmtId="170" formatCode="0.0000%"/>
    <numFmt numFmtId="171" formatCode="_(* #,##0.0_);_(* \(#,##0.0\);_(* &quot;-&quot;?_);_(@_)"/>
    <numFmt numFmtId="172" formatCode="0.0"/>
    <numFmt numFmtId="173" formatCode="0.0000"/>
    <numFmt numFmtId="174" formatCode="0.000"/>
    <numFmt numFmtId="175" formatCode="_(* #,##0.000_);_(* \(#,##0.000\);_(* &quot;-&quot;??_);_(@_)"/>
    <numFmt numFmtId="176" formatCode="_(* #,##0.0000_);_(* \(#,##0.0000\);_(* &quot;-&quot;??_);_(@_)"/>
    <numFmt numFmtId="177" formatCode="0.00000%"/>
    <numFmt numFmtId="178" formatCode="0.000000%"/>
    <numFmt numFmtId="179" formatCode="0.0000000%"/>
    <numFmt numFmtId="180" formatCode="0.00000000"/>
    <numFmt numFmtId="181" formatCode="0.0000000"/>
    <numFmt numFmtId="182" formatCode="0.000000"/>
    <numFmt numFmtId="183" formatCode="0.00000"/>
    <numFmt numFmtId="184" formatCode="&quot;$&quot;#,##0"/>
    <numFmt numFmtId="185" formatCode="&quot;$&quot;#,##0.00"/>
    <numFmt numFmtId="186" formatCode="&quot;$&quot;#,##0.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00000"/>
  </numFmts>
  <fonts count="18">
    <font>
      <sz val="10"/>
      <name val="Arial"/>
      <family val="0"/>
    </font>
    <font>
      <b/>
      <sz val="12"/>
      <name val="Arial"/>
      <family val="2"/>
    </font>
    <font>
      <sz val="10"/>
      <name val="Tms Rmn"/>
      <family val="0"/>
    </font>
    <font>
      <b/>
      <sz val="10"/>
      <name val="Tms Rmn"/>
      <family val="0"/>
    </font>
    <font>
      <sz val="9"/>
      <name val="Tms Rmn"/>
      <family val="0"/>
    </font>
    <font>
      <u val="single"/>
      <sz val="10"/>
      <name val="Tms Rmn"/>
      <family val="0"/>
    </font>
    <font>
      <b/>
      <sz val="14"/>
      <name val="Tms Rmn"/>
      <family val="0"/>
    </font>
    <font>
      <b/>
      <sz val="12"/>
      <name val="Tms Rmn"/>
      <family val="0"/>
    </font>
    <font>
      <b/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165" fontId="0" fillId="0" borderId="0" xfId="17" applyNumberFormat="1" applyAlignment="1">
      <alignment/>
    </xf>
    <xf numFmtId="167" fontId="0" fillId="0" borderId="0" xfId="15" applyNumberFormat="1" applyAlignment="1">
      <alignment/>
    </xf>
    <xf numFmtId="167" fontId="0" fillId="0" borderId="1" xfId="15" applyNumberForma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9" fontId="0" fillId="0" borderId="0" xfId="21" applyNumberFormat="1" applyAlignment="1">
      <alignment/>
    </xf>
    <xf numFmtId="165" fontId="0" fillId="0" borderId="2" xfId="17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65" fontId="0" fillId="0" borderId="0" xfId="17" applyNumberFormat="1" applyBorder="1" applyAlignment="1">
      <alignment/>
    </xf>
    <xf numFmtId="167" fontId="0" fillId="0" borderId="0" xfId="15" applyNumberFormat="1" applyBorder="1" applyAlignment="1">
      <alignment/>
    </xf>
    <xf numFmtId="43" fontId="0" fillId="0" borderId="0" xfId="15" applyBorder="1" applyAlignment="1">
      <alignment/>
    </xf>
    <xf numFmtId="10" fontId="0" fillId="0" borderId="1" xfId="21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170" fontId="0" fillId="0" borderId="0" xfId="21" applyNumberFormat="1" applyBorder="1" applyAlignment="1">
      <alignment/>
    </xf>
    <xf numFmtId="167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14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0" fontId="2" fillId="0" borderId="0" xfId="0" applyNumberFormat="1" applyFont="1" applyBorder="1" applyAlignment="1">
      <alignment horizontal="center"/>
    </xf>
    <xf numFmtId="10" fontId="2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169" fontId="0" fillId="0" borderId="1" xfId="21" applyNumberFormat="1" applyBorder="1" applyAlignment="1">
      <alignment/>
    </xf>
    <xf numFmtId="183" fontId="0" fillId="0" borderId="1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1" xfId="0" applyNumberFormat="1" applyBorder="1" applyAlignment="1">
      <alignment/>
    </xf>
    <xf numFmtId="167" fontId="0" fillId="0" borderId="0" xfId="15" applyNumberFormat="1" applyFont="1" applyAlignment="1">
      <alignment/>
    </xf>
    <xf numFmtId="167" fontId="0" fillId="0" borderId="2" xfId="0" applyNumberFormat="1" applyBorder="1" applyAlignment="1">
      <alignment/>
    </xf>
    <xf numFmtId="183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10" fontId="2" fillId="0" borderId="2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7" fontId="0" fillId="0" borderId="0" xfId="15" applyNumberFormat="1" applyAlignment="1">
      <alignment horizontal="center"/>
    </xf>
    <xf numFmtId="167" fontId="0" fillId="0" borderId="1" xfId="15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84" fontId="0" fillId="0" borderId="2" xfId="0" applyNumberFormat="1" applyBorder="1" applyAlignment="1">
      <alignment/>
    </xf>
    <xf numFmtId="10" fontId="0" fillId="0" borderId="0" xfId="21" applyNumberFormat="1" applyBorder="1" applyAlignment="1">
      <alignment/>
    </xf>
    <xf numFmtId="0" fontId="0" fillId="0" borderId="0" xfId="0" applyBorder="1" applyAlignment="1">
      <alignment horizontal="right"/>
    </xf>
    <xf numFmtId="166" fontId="0" fillId="0" borderId="0" xfId="15" applyNumberFormat="1" applyBorder="1" applyAlignment="1">
      <alignment/>
    </xf>
    <xf numFmtId="43" fontId="0" fillId="0" borderId="0" xfId="0" applyNumberFormat="1" applyBorder="1" applyAlignment="1">
      <alignment/>
    </xf>
    <xf numFmtId="167" fontId="0" fillId="0" borderId="0" xfId="15" applyNumberFormat="1" applyFon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7" fontId="0" fillId="0" borderId="0" xfId="15" applyNumberFormat="1" applyBorder="1" applyAlignment="1">
      <alignment/>
    </xf>
    <xf numFmtId="167" fontId="0" fillId="0" borderId="0" xfId="0" applyNumberFormat="1" applyBorder="1" applyAlignment="1">
      <alignment/>
    </xf>
    <xf numFmtId="166" fontId="0" fillId="0" borderId="0" xfId="15" applyNumberFormat="1" applyBorder="1" applyAlignment="1">
      <alignment/>
    </xf>
    <xf numFmtId="184" fontId="0" fillId="0" borderId="0" xfId="0" applyNumberFormat="1" applyAlignment="1">
      <alignment/>
    </xf>
    <xf numFmtId="184" fontId="0" fillId="0" borderId="0" xfId="15" applyNumberFormat="1" applyAlignment="1">
      <alignment/>
    </xf>
    <xf numFmtId="184" fontId="0" fillId="0" borderId="0" xfId="21" applyNumberFormat="1" applyBorder="1" applyAlignment="1">
      <alignment/>
    </xf>
    <xf numFmtId="184" fontId="0" fillId="0" borderId="0" xfId="0" applyNumberFormat="1" applyBorder="1" applyAlignment="1">
      <alignment/>
    </xf>
    <xf numFmtId="184" fontId="0" fillId="0" borderId="1" xfId="0" applyNumberFormat="1" applyBorder="1" applyAlignment="1">
      <alignment/>
    </xf>
    <xf numFmtId="169" fontId="0" fillId="0" borderId="0" xfId="21" applyNumberFormat="1" applyBorder="1" applyAlignment="1">
      <alignment/>
    </xf>
    <xf numFmtId="177" fontId="0" fillId="0" borderId="0" xfId="21" applyNumberFormat="1" applyBorder="1" applyAlignment="1">
      <alignment/>
    </xf>
    <xf numFmtId="0" fontId="0" fillId="0" borderId="0" xfId="0" applyNumberFormat="1" applyBorder="1" applyAlignment="1">
      <alignment/>
    </xf>
    <xf numFmtId="9" fontId="0" fillId="0" borderId="1" xfId="21" applyBorder="1" applyAlignment="1">
      <alignment/>
    </xf>
    <xf numFmtId="165" fontId="0" fillId="0" borderId="1" xfId="17" applyNumberFormat="1" applyBorder="1" applyAlignment="1">
      <alignment/>
    </xf>
    <xf numFmtId="0" fontId="5" fillId="0" borderId="0" xfId="0" applyFont="1" applyBorder="1" applyAlignment="1">
      <alignment horizontal="center"/>
    </xf>
    <xf numFmtId="167" fontId="2" fillId="0" borderId="0" xfId="15" applyNumberFormat="1" applyFont="1" applyBorder="1" applyAlignment="1">
      <alignment/>
    </xf>
    <xf numFmtId="167" fontId="2" fillId="0" borderId="1" xfId="15" applyNumberFormat="1" applyFont="1" applyBorder="1" applyAlignment="1">
      <alignment/>
    </xf>
    <xf numFmtId="10" fontId="2" fillId="0" borderId="1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/>
    </xf>
    <xf numFmtId="169" fontId="0" fillId="0" borderId="0" xfId="21" applyNumberFormat="1" applyBorder="1" applyAlignment="1">
      <alignment/>
    </xf>
    <xf numFmtId="169" fontId="0" fillId="0" borderId="0" xfId="0" applyNumberFormat="1" applyBorder="1" applyAlignment="1">
      <alignment/>
    </xf>
    <xf numFmtId="169" fontId="2" fillId="0" borderId="0" xfId="0" applyNumberFormat="1" applyFont="1" applyBorder="1" applyAlignment="1">
      <alignment horizontal="center"/>
    </xf>
    <xf numFmtId="167" fontId="2" fillId="0" borderId="2" xfId="0" applyNumberFormat="1" applyFont="1" applyBorder="1" applyAlignment="1">
      <alignment/>
    </xf>
    <xf numFmtId="10" fontId="4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167" fontId="0" fillId="0" borderId="0" xfId="15" applyNumberFormat="1" applyBorder="1" applyAlignment="1">
      <alignment/>
    </xf>
    <xf numFmtId="167" fontId="0" fillId="0" borderId="1" xfId="15" applyNumberFormat="1" applyBorder="1" applyAlignment="1">
      <alignment/>
    </xf>
    <xf numFmtId="10" fontId="0" fillId="0" borderId="0" xfId="21" applyNumberFormat="1" applyBorder="1" applyAlignment="1">
      <alignment/>
    </xf>
    <xf numFmtId="167" fontId="0" fillId="0" borderId="0" xfId="15" applyNumberFormat="1" applyAlignment="1">
      <alignment/>
    </xf>
    <xf numFmtId="165" fontId="0" fillId="0" borderId="0" xfId="17" applyNumberFormat="1" applyBorder="1" applyAlignment="1">
      <alignment/>
    </xf>
    <xf numFmtId="170" fontId="0" fillId="0" borderId="0" xfId="21" applyNumberFormat="1" applyAlignment="1">
      <alignment/>
    </xf>
    <xf numFmtId="177" fontId="0" fillId="0" borderId="1" xfId="21" applyNumberFormat="1" applyBorder="1" applyAlignment="1">
      <alignment/>
    </xf>
    <xf numFmtId="0" fontId="0" fillId="0" borderId="1" xfId="0" applyNumberFormat="1" applyBorder="1" applyAlignment="1">
      <alignment/>
    </xf>
    <xf numFmtId="15" fontId="0" fillId="0" borderId="0" xfId="0" applyNumberFormat="1" applyAlignment="1">
      <alignment/>
    </xf>
    <xf numFmtId="3" fontId="0" fillId="0" borderId="1" xfId="15" applyNumberFormat="1" applyBorder="1" applyAlignment="1">
      <alignment/>
    </xf>
    <xf numFmtId="170" fontId="0" fillId="0" borderId="0" xfId="0" applyNumberFormat="1" applyAlignment="1">
      <alignment/>
    </xf>
    <xf numFmtId="10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84" fontId="0" fillId="0" borderId="0" xfId="15" applyNumberFormat="1" applyFont="1" applyBorder="1" applyAlignment="1">
      <alignment/>
    </xf>
    <xf numFmtId="174" fontId="0" fillId="0" borderId="0" xfId="0" applyNumberFormat="1" applyBorder="1" applyAlignment="1">
      <alignment/>
    </xf>
    <xf numFmtId="184" fontId="0" fillId="0" borderId="0" xfId="15" applyNumberFormat="1" applyBorder="1" applyAlignment="1">
      <alignment/>
    </xf>
    <xf numFmtId="184" fontId="13" fillId="0" borderId="0" xfId="0" applyNumberFormat="1" applyFont="1" applyBorder="1" applyAlignment="1">
      <alignment/>
    </xf>
    <xf numFmtId="184" fontId="13" fillId="0" borderId="2" xfId="0" applyNumberFormat="1" applyFont="1" applyBorder="1" applyAlignment="1">
      <alignment/>
    </xf>
    <xf numFmtId="17" fontId="0" fillId="0" borderId="0" xfId="0" applyNumberFormat="1" applyAlignment="1">
      <alignment/>
    </xf>
    <xf numFmtId="22" fontId="0" fillId="0" borderId="0" xfId="0" applyNumberFormat="1" applyAlignment="1">
      <alignment/>
    </xf>
    <xf numFmtId="184" fontId="0" fillId="0" borderId="0" xfId="15" applyNumberFormat="1" applyAlignment="1">
      <alignment horizontal="center"/>
    </xf>
    <xf numFmtId="169" fontId="0" fillId="0" borderId="0" xfId="0" applyNumberFormat="1" applyAlignment="1">
      <alignment/>
    </xf>
    <xf numFmtId="1" fontId="0" fillId="0" borderId="1" xfId="21" applyNumberFormat="1" applyBorder="1" applyAlignment="1">
      <alignment/>
    </xf>
    <xf numFmtId="10" fontId="0" fillId="0" borderId="0" xfId="0" applyNumberFormat="1" applyAlignment="1">
      <alignment/>
    </xf>
    <xf numFmtId="177" fontId="0" fillId="0" borderId="0" xfId="0" applyNumberFormat="1" applyAlignment="1">
      <alignment/>
    </xf>
    <xf numFmtId="169" fontId="0" fillId="0" borderId="1" xfId="0" applyNumberFormat="1" applyBorder="1" applyAlignment="1">
      <alignment/>
    </xf>
    <xf numFmtId="170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170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184" fontId="0" fillId="0" borderId="4" xfId="0" applyNumberFormat="1" applyBorder="1" applyAlignment="1">
      <alignment/>
    </xf>
    <xf numFmtId="3" fontId="0" fillId="0" borderId="0" xfId="0" applyNumberFormat="1" applyAlignment="1">
      <alignment/>
    </xf>
    <xf numFmtId="170" fontId="0" fillId="0" borderId="0" xfId="15" applyNumberFormat="1" applyBorder="1" applyAlignment="1">
      <alignment/>
    </xf>
    <xf numFmtId="0" fontId="0" fillId="0" borderId="0" xfId="15" applyNumberFormat="1" applyFont="1" applyBorder="1" applyAlignment="1">
      <alignment/>
    </xf>
    <xf numFmtId="3" fontId="0" fillId="0" borderId="0" xfId="0" applyNumberFormat="1" applyBorder="1" applyAlignment="1">
      <alignment/>
    </xf>
    <xf numFmtId="165" fontId="0" fillId="0" borderId="0" xfId="17" applyNumberFormat="1" applyAlignment="1">
      <alignment/>
    </xf>
    <xf numFmtId="165" fontId="0" fillId="0" borderId="2" xfId="17" applyNumberFormat="1" applyBorder="1" applyAlignment="1">
      <alignment/>
    </xf>
    <xf numFmtId="167" fontId="0" fillId="0" borderId="2" xfId="15" applyNumberFormat="1" applyBorder="1" applyAlignment="1">
      <alignment/>
    </xf>
    <xf numFmtId="0" fontId="0" fillId="0" borderId="1" xfId="0" applyBorder="1" applyAlignment="1">
      <alignment horizontal="right"/>
    </xf>
    <xf numFmtId="3" fontId="0" fillId="0" borderId="0" xfId="15" applyNumberFormat="1" applyBorder="1" applyAlignment="1">
      <alignment/>
    </xf>
    <xf numFmtId="167" fontId="0" fillId="0" borderId="0" xfId="15" applyNumberFormat="1" applyFont="1" applyAlignment="1">
      <alignment horizontal="center"/>
    </xf>
    <xf numFmtId="167" fontId="0" fillId="0" borderId="0" xfId="15" applyNumberFormat="1" applyFont="1" applyAlignment="1">
      <alignment/>
    </xf>
    <xf numFmtId="3" fontId="0" fillId="0" borderId="1" xfId="0" applyNumberFormat="1" applyFill="1" applyBorder="1" applyAlignment="1">
      <alignment/>
    </xf>
    <xf numFmtId="9" fontId="0" fillId="0" borderId="0" xfId="21" applyBorder="1" applyAlignment="1">
      <alignment/>
    </xf>
    <xf numFmtId="10" fontId="0" fillId="0" borderId="1" xfId="21" applyNumberFormat="1" applyBorder="1" applyAlignment="1">
      <alignment/>
    </xf>
    <xf numFmtId="165" fontId="0" fillId="0" borderId="1" xfId="17" applyNumberFormat="1" applyBorder="1" applyAlignment="1">
      <alignment/>
    </xf>
    <xf numFmtId="167" fontId="0" fillId="0" borderId="0" xfId="15" applyNumberFormat="1" applyFont="1" applyAlignment="1">
      <alignment/>
    </xf>
    <xf numFmtId="165" fontId="0" fillId="0" borderId="0" xfId="17" applyNumberFormat="1" applyFont="1" applyAlignment="1">
      <alignment/>
    </xf>
    <xf numFmtId="3" fontId="0" fillId="0" borderId="1" xfId="0" applyNumberFormat="1" applyBorder="1" applyAlignment="1">
      <alignment/>
    </xf>
    <xf numFmtId="0" fontId="16" fillId="0" borderId="0" xfId="0" applyFont="1" applyAlignment="1">
      <alignment horizontal="center"/>
    </xf>
    <xf numFmtId="10" fontId="0" fillId="0" borderId="1" xfId="0" applyNumberFormat="1" applyBorder="1" applyAlignment="1">
      <alignment/>
    </xf>
    <xf numFmtId="3" fontId="13" fillId="0" borderId="0" xfId="0" applyNumberFormat="1" applyFont="1" applyBorder="1" applyAlignment="1">
      <alignment/>
    </xf>
    <xf numFmtId="191" fontId="0" fillId="0" borderId="0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167" fontId="0" fillId="0" borderId="5" xfId="15" applyNumberFormat="1" applyBorder="1" applyAlignment="1">
      <alignment/>
    </xf>
    <xf numFmtId="165" fontId="0" fillId="0" borderId="2" xfId="0" applyNumberFormat="1" applyBorder="1" applyAlignment="1">
      <alignment/>
    </xf>
    <xf numFmtId="37" fontId="0" fillId="0" borderId="0" xfId="0" applyNumberFormat="1" applyBorder="1" applyAlignment="1">
      <alignment/>
    </xf>
    <xf numFmtId="0" fontId="16" fillId="0" borderId="0" xfId="0" applyFont="1" applyBorder="1" applyAlignment="1">
      <alignment horizontal="center"/>
    </xf>
    <xf numFmtId="37" fontId="13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tabSelected="1" workbookViewId="0" topLeftCell="A1">
      <selection activeCell="E9" sqref="E9"/>
    </sheetView>
  </sheetViews>
  <sheetFormatPr defaultColWidth="9.140625" defaultRowHeight="12.75"/>
  <cols>
    <col min="1" max="1" width="5.7109375" style="0" customWidth="1"/>
    <col min="2" max="2" width="2.7109375" style="0" customWidth="1"/>
    <col min="3" max="3" width="27.421875" style="0" bestFit="1" customWidth="1"/>
    <col min="4" max="4" width="2.7109375" style="0" customWidth="1"/>
    <col min="5" max="5" width="15.00390625" style="0" bestFit="1" customWidth="1"/>
    <col min="6" max="6" width="2.7109375" style="0" customWidth="1"/>
    <col min="7" max="7" width="14.57421875" style="0" bestFit="1" customWidth="1"/>
    <col min="8" max="8" width="2.7109375" style="0" customWidth="1"/>
    <col min="9" max="9" width="14.57421875" style="0" bestFit="1" customWidth="1"/>
    <col min="11" max="11" width="11.28125" style="0" bestFit="1" customWidth="1"/>
  </cols>
  <sheetData>
    <row r="1" spans="1:9" ht="12.75">
      <c r="A1" t="s">
        <v>222</v>
      </c>
      <c r="I1" s="43" t="s">
        <v>663</v>
      </c>
    </row>
    <row r="2" ht="12.75">
      <c r="I2" s="43" t="s">
        <v>794</v>
      </c>
    </row>
    <row r="3" ht="12.75">
      <c r="I3" s="43" t="s">
        <v>755</v>
      </c>
    </row>
    <row r="5" ht="12.75">
      <c r="I5" s="43" t="s">
        <v>243</v>
      </c>
    </row>
    <row r="6" spans="3:9" ht="18">
      <c r="C6" s="146" t="s">
        <v>79</v>
      </c>
      <c r="D6" s="146"/>
      <c r="E6" s="146"/>
      <c r="F6" s="146"/>
      <c r="G6" s="146"/>
      <c r="H6" s="146"/>
      <c r="I6" s="146"/>
    </row>
    <row r="7" spans="3:9" ht="12.75">
      <c r="C7" s="147" t="s">
        <v>80</v>
      </c>
      <c r="D7" s="147"/>
      <c r="E7" s="147"/>
      <c r="F7" s="147"/>
      <c r="G7" s="147"/>
      <c r="H7" s="147"/>
      <c r="I7" s="147"/>
    </row>
    <row r="8" spans="3:9" ht="12.75">
      <c r="C8" s="147" t="s">
        <v>81</v>
      </c>
      <c r="D8" s="147"/>
      <c r="E8" s="147"/>
      <c r="F8" s="147"/>
      <c r="G8" s="147"/>
      <c r="H8" s="147"/>
      <c r="I8" s="147"/>
    </row>
    <row r="9" spans="3:9" ht="12.75">
      <c r="C9" s="4"/>
      <c r="D9" s="4"/>
      <c r="E9" s="51" t="s">
        <v>797</v>
      </c>
      <c r="F9" s="4"/>
      <c r="G9" s="4"/>
      <c r="H9" s="4"/>
      <c r="I9" s="4"/>
    </row>
    <row r="11" spans="5:9" ht="12.75">
      <c r="E11" s="4"/>
      <c r="F11" s="4"/>
      <c r="G11" s="4" t="s">
        <v>38</v>
      </c>
      <c r="H11" s="4"/>
      <c r="I11" s="4" t="s">
        <v>36</v>
      </c>
    </row>
    <row r="12" spans="1:9" ht="12.75">
      <c r="A12" s="4" t="s">
        <v>3</v>
      </c>
      <c r="E12" s="4" t="s">
        <v>36</v>
      </c>
      <c r="F12" s="4"/>
      <c r="G12" s="4" t="s">
        <v>39</v>
      </c>
      <c r="H12" s="4"/>
      <c r="I12" s="4" t="s">
        <v>41</v>
      </c>
    </row>
    <row r="13" spans="1:9" ht="12.75">
      <c r="A13" s="5" t="s">
        <v>4</v>
      </c>
      <c r="C13" s="5" t="s">
        <v>5</v>
      </c>
      <c r="E13" s="5" t="s">
        <v>37</v>
      </c>
      <c r="F13" s="4"/>
      <c r="G13" s="5" t="s">
        <v>40</v>
      </c>
      <c r="H13" s="4"/>
      <c r="I13" s="5" t="s">
        <v>39</v>
      </c>
    </row>
    <row r="14" spans="1:9" ht="12.75">
      <c r="A14" s="4"/>
      <c r="E14" s="4"/>
      <c r="F14" s="4"/>
      <c r="G14" s="4"/>
      <c r="H14" s="4"/>
      <c r="I14" s="4"/>
    </row>
    <row r="15" spans="1:9" ht="12.75">
      <c r="A15" s="4">
        <v>1</v>
      </c>
      <c r="C15" t="s">
        <v>21</v>
      </c>
      <c r="E15" s="1">
        <f>+' Rate Base P1'!F44</f>
        <v>795845</v>
      </c>
      <c r="G15" s="2">
        <f>+I15-E15</f>
        <v>-24020.02188803733</v>
      </c>
      <c r="H15" s="2"/>
      <c r="I15" s="2">
        <f>+'Rate Base P2'!T44</f>
        <v>771824.9781119627</v>
      </c>
    </row>
    <row r="16" ht="12.75">
      <c r="A16" s="4"/>
    </row>
    <row r="17" spans="1:9" ht="12.75">
      <c r="A17" s="4">
        <v>2</v>
      </c>
      <c r="C17" t="s">
        <v>22</v>
      </c>
      <c r="E17" s="36">
        <f>+COC!L23</f>
        <v>0.09670000000000001</v>
      </c>
      <c r="G17" s="36">
        <f>+I17-E17</f>
        <v>-0.010299410000000009</v>
      </c>
      <c r="H17" s="36"/>
      <c r="I17" s="13">
        <f>+COC!L42</f>
        <v>0.08640059</v>
      </c>
    </row>
    <row r="18" ht="12.75">
      <c r="A18" s="4"/>
    </row>
    <row r="19" spans="1:9" ht="12.75">
      <c r="A19" s="4">
        <v>3</v>
      </c>
      <c r="C19" t="s">
        <v>23</v>
      </c>
      <c r="E19" s="2">
        <f>+E15*E17</f>
        <v>76958.2115</v>
      </c>
      <c r="G19" s="2">
        <f>+I19-E19</f>
        <v>-10272.07801438935</v>
      </c>
      <c r="H19" s="2"/>
      <c r="I19" s="2">
        <f>+I15*I17</f>
        <v>66686.13348561066</v>
      </c>
    </row>
    <row r="20" ht="12.75">
      <c r="A20" s="4"/>
    </row>
    <row r="21" spans="1:9" ht="12.75">
      <c r="A21" s="4">
        <v>4</v>
      </c>
      <c r="C21" t="s">
        <v>24</v>
      </c>
      <c r="E21" s="3">
        <v>54684</v>
      </c>
      <c r="G21" s="3">
        <f>+I21-E21</f>
        <v>8021.364087908885</v>
      </c>
      <c r="H21" s="3"/>
      <c r="I21" s="3">
        <f>+'Inc State 3'!S54</f>
        <v>62705.364087908885</v>
      </c>
    </row>
    <row r="22" ht="12.75">
      <c r="A22" s="4"/>
    </row>
    <row r="23" spans="1:9" ht="12.75">
      <c r="A23" s="4">
        <v>5</v>
      </c>
      <c r="C23" t="s">
        <v>25</v>
      </c>
      <c r="E23" s="17">
        <f>+E19-E21</f>
        <v>22274.211500000005</v>
      </c>
      <c r="G23" s="17">
        <f>+I23-E23</f>
        <v>-18293.442102298235</v>
      </c>
      <c r="H23" s="17"/>
      <c r="I23" s="17">
        <f>+I19-I21</f>
        <v>3980.76939770177</v>
      </c>
    </row>
    <row r="24" ht="12.75">
      <c r="A24" s="4"/>
    </row>
    <row r="25" spans="1:9" ht="12.75">
      <c r="A25" s="4">
        <v>6</v>
      </c>
      <c r="C25" t="s">
        <v>82</v>
      </c>
      <c r="E25" s="37">
        <v>0.621611</v>
      </c>
      <c r="G25" s="37">
        <f>+E25</f>
        <v>0.621611</v>
      </c>
      <c r="H25" s="37"/>
      <c r="I25" s="37">
        <f>+E25</f>
        <v>0.621611</v>
      </c>
    </row>
    <row r="26" spans="1:9" ht="12.75">
      <c r="A26" s="4"/>
      <c r="E26" s="42"/>
      <c r="G26" s="42"/>
      <c r="H26" s="42"/>
      <c r="I26" s="42"/>
    </row>
    <row r="27" spans="1:9" ht="12.75">
      <c r="A27" s="4"/>
      <c r="E27" s="42"/>
      <c r="G27" s="42"/>
      <c r="H27" s="42"/>
      <c r="I27" s="42"/>
    </row>
    <row r="28" ht="12.75">
      <c r="A28" s="4"/>
    </row>
    <row r="29" spans="1:11" ht="13.5" thickBot="1">
      <c r="A29" s="4">
        <v>7</v>
      </c>
      <c r="C29" t="s">
        <v>26</v>
      </c>
      <c r="E29" s="7">
        <f>+E23/E25</f>
        <v>35833.0394732397</v>
      </c>
      <c r="G29" s="7">
        <f>+G23/G25</f>
        <v>-29429.08362673478</v>
      </c>
      <c r="H29" s="11"/>
      <c r="I29" s="7">
        <f>+I23/I25</f>
        <v>6403.9558465049195</v>
      </c>
      <c r="K29" s="17"/>
    </row>
    <row r="30" ht="13.5" thickTop="1">
      <c r="A30" s="4"/>
    </row>
    <row r="31" spans="1:9" ht="12.75">
      <c r="A31" s="15"/>
      <c r="B31" s="9"/>
      <c r="C31" s="9"/>
      <c r="D31" s="9"/>
      <c r="E31" s="9"/>
      <c r="F31" s="9"/>
      <c r="G31" s="9"/>
      <c r="H31" s="9"/>
      <c r="I31" s="9"/>
    </row>
    <row r="32" spans="1:9" ht="12.75">
      <c r="A32" s="15"/>
      <c r="B32" s="9"/>
      <c r="C32" s="9"/>
      <c r="D32" s="9"/>
      <c r="E32" s="9"/>
      <c r="F32" s="9"/>
      <c r="G32" s="9"/>
      <c r="H32" s="9"/>
      <c r="I32" s="9"/>
    </row>
    <row r="33" spans="1:9" ht="12.75">
      <c r="A33" s="15"/>
      <c r="B33" s="9"/>
      <c r="C33" s="9"/>
      <c r="D33" s="9"/>
      <c r="E33" s="9"/>
      <c r="F33" s="9"/>
      <c r="G33" s="9"/>
      <c r="H33" s="9"/>
      <c r="I33" s="9"/>
    </row>
    <row r="34" spans="1:9" ht="12.75">
      <c r="A34" s="15"/>
      <c r="B34" s="9"/>
      <c r="C34" s="9"/>
      <c r="D34" s="9"/>
      <c r="E34" s="9"/>
      <c r="F34" s="9"/>
      <c r="G34" s="9"/>
      <c r="H34" s="9"/>
      <c r="I34" s="11"/>
    </row>
    <row r="35" spans="1:9" ht="12.75">
      <c r="A35" s="15"/>
      <c r="B35" s="9"/>
      <c r="C35" s="9"/>
      <c r="D35" s="9"/>
      <c r="E35" s="9"/>
      <c r="F35" s="9"/>
      <c r="G35" s="9"/>
      <c r="H35" s="9"/>
      <c r="I35" s="9"/>
    </row>
    <row r="36" spans="1:9" ht="12.75">
      <c r="A36" s="15"/>
      <c r="B36" s="9"/>
      <c r="C36" s="9"/>
      <c r="D36" s="9"/>
      <c r="E36" s="9"/>
      <c r="F36" s="9"/>
      <c r="G36" s="9"/>
      <c r="H36" s="9"/>
      <c r="I36" s="9"/>
    </row>
    <row r="37" spans="1:9" ht="12.75">
      <c r="A37" s="15"/>
      <c r="B37" s="9"/>
      <c r="C37" s="9"/>
      <c r="D37" s="9"/>
      <c r="E37" s="9"/>
      <c r="F37" s="9"/>
      <c r="G37" s="9"/>
      <c r="H37" s="9"/>
      <c r="I37" s="9"/>
    </row>
    <row r="38" spans="1:9" ht="12.75">
      <c r="A38" s="15"/>
      <c r="B38" s="9"/>
      <c r="C38" s="9"/>
      <c r="D38" s="9"/>
      <c r="E38" s="9"/>
      <c r="F38" s="9"/>
      <c r="G38" s="9"/>
      <c r="H38" s="9"/>
      <c r="I38" s="10"/>
    </row>
    <row r="39" spans="1:9" ht="12.75">
      <c r="A39" s="15"/>
      <c r="B39" s="9"/>
      <c r="C39" s="9"/>
      <c r="D39" s="9"/>
      <c r="E39" s="9"/>
      <c r="F39" s="9"/>
      <c r="G39" s="9"/>
      <c r="H39" s="9"/>
      <c r="I39" s="9"/>
    </row>
    <row r="40" spans="1:9" ht="12.75">
      <c r="A40" s="15"/>
      <c r="B40" s="9"/>
      <c r="C40" s="9"/>
      <c r="D40" s="9"/>
      <c r="E40" s="9"/>
      <c r="F40" s="9"/>
      <c r="G40" s="9"/>
      <c r="H40" s="9"/>
      <c r="I40" s="9"/>
    </row>
    <row r="41" spans="1:5" ht="12.75">
      <c r="A41" s="15"/>
      <c r="B41" s="9"/>
      <c r="C41" s="9"/>
      <c r="D41" s="9"/>
      <c r="E41" s="9"/>
    </row>
    <row r="42" spans="1:5" ht="12.75">
      <c r="A42" s="15"/>
      <c r="B42" s="9"/>
      <c r="C42" s="9"/>
      <c r="D42" s="9"/>
      <c r="E42" s="11"/>
    </row>
    <row r="43" spans="1:5" ht="12.75">
      <c r="A43" s="15"/>
      <c r="B43" s="9"/>
      <c r="C43" s="9"/>
      <c r="D43" s="9"/>
      <c r="E43" s="11"/>
    </row>
    <row r="44" spans="1:5" ht="12.75">
      <c r="A44" s="15"/>
      <c r="B44" s="9"/>
      <c r="C44" s="9"/>
      <c r="D44" s="9"/>
      <c r="E44" s="11"/>
    </row>
    <row r="45" spans="1:5" ht="12.75">
      <c r="A45" s="15"/>
      <c r="B45" s="9"/>
      <c r="C45" s="9"/>
      <c r="D45" s="9"/>
      <c r="E45" s="9"/>
    </row>
    <row r="46" spans="1:5" ht="12.75">
      <c r="A46" s="15"/>
      <c r="B46" s="9"/>
      <c r="C46" s="9"/>
      <c r="D46" s="9"/>
      <c r="E46" s="42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</sheetData>
  <mergeCells count="3">
    <mergeCell ref="C6:I6"/>
    <mergeCell ref="C7:I7"/>
    <mergeCell ref="C8:I8"/>
  </mergeCells>
  <printOptions/>
  <pageMargins left="1.18" right="1" top="1" bottom="1" header="0.5" footer="0.5"/>
  <pageSetup fitToHeight="1" fitToWidth="1" horizontalDpi="600" verticalDpi="600" orientation="portrait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3"/>
  <sheetViews>
    <sheetView workbookViewId="0" topLeftCell="A1">
      <selection activeCell="K4" sqref="K4"/>
    </sheetView>
  </sheetViews>
  <sheetFormatPr defaultColWidth="9.140625" defaultRowHeight="12.75"/>
  <cols>
    <col min="1" max="1" width="5.7109375" style="0" customWidth="1"/>
    <col min="2" max="2" width="2.7109375" style="0" customWidth="1"/>
    <col min="5" max="5" width="21.57421875" style="0" customWidth="1"/>
    <col min="6" max="6" width="11.140625" style="0" bestFit="1" customWidth="1"/>
    <col min="7" max="7" width="1.7109375" style="0" customWidth="1"/>
    <col min="8" max="8" width="10.7109375" style="0" bestFit="1" customWidth="1"/>
    <col min="9" max="9" width="1.7109375" style="0" customWidth="1"/>
    <col min="10" max="10" width="16.140625" style="0" bestFit="1" customWidth="1"/>
  </cols>
  <sheetData>
    <row r="1" spans="1:11" ht="12.75">
      <c r="A1" t="s">
        <v>223</v>
      </c>
      <c r="K1" s="43" t="s">
        <v>663</v>
      </c>
    </row>
    <row r="2" ht="12.75">
      <c r="K2" s="43" t="s">
        <v>794</v>
      </c>
    </row>
    <row r="3" ht="12.75">
      <c r="K3" s="43" t="s">
        <v>776</v>
      </c>
    </row>
    <row r="4" ht="12.75">
      <c r="K4" s="43"/>
    </row>
    <row r="5" ht="12.75">
      <c r="K5" s="43" t="s">
        <v>636</v>
      </c>
    </row>
    <row r="6" spans="1:11" ht="15.75">
      <c r="A6" s="4"/>
      <c r="B6" s="4"/>
      <c r="C6" s="149" t="s">
        <v>79</v>
      </c>
      <c r="D6" s="149"/>
      <c r="E6" s="149"/>
      <c r="F6" s="149"/>
      <c r="G6" s="149"/>
      <c r="H6" s="149"/>
      <c r="I6" s="149"/>
      <c r="J6" s="149"/>
      <c r="K6" s="48"/>
    </row>
    <row r="7" spans="1:11" ht="12.75">
      <c r="A7" s="4"/>
      <c r="B7" s="4"/>
      <c r="C7" s="150" t="s">
        <v>81</v>
      </c>
      <c r="D7" s="150"/>
      <c r="E7" s="150"/>
      <c r="F7" s="150"/>
      <c r="G7" s="150"/>
      <c r="H7" s="150"/>
      <c r="I7" s="150"/>
      <c r="J7" s="150"/>
      <c r="K7" s="49"/>
    </row>
    <row r="8" spans="1:13" ht="12.75">
      <c r="A8" s="4"/>
      <c r="B8" s="4"/>
      <c r="C8" s="150" t="s">
        <v>641</v>
      </c>
      <c r="D8" s="150"/>
      <c r="E8" s="150"/>
      <c r="F8" s="150"/>
      <c r="G8" s="150"/>
      <c r="H8" s="150"/>
      <c r="I8" s="150"/>
      <c r="J8" s="150"/>
      <c r="K8" s="49"/>
      <c r="M8" t="s">
        <v>516</v>
      </c>
    </row>
    <row r="9" spans="1:29" ht="12.75">
      <c r="A9" s="4" t="s">
        <v>3</v>
      </c>
      <c r="B9" s="4"/>
      <c r="C9" s="4"/>
      <c r="D9" s="4"/>
      <c r="E9" s="4"/>
      <c r="F9" s="4"/>
      <c r="G9" s="4"/>
      <c r="H9" s="4"/>
      <c r="I9" s="4"/>
      <c r="J9" s="4"/>
      <c r="K9" s="4"/>
      <c r="P9" t="s">
        <v>515</v>
      </c>
      <c r="Q9" t="s">
        <v>514</v>
      </c>
      <c r="R9" t="s">
        <v>513</v>
      </c>
      <c r="T9" t="s">
        <v>512</v>
      </c>
      <c r="U9" t="s">
        <v>511</v>
      </c>
      <c r="V9" t="s">
        <v>508</v>
      </c>
      <c r="W9" t="s">
        <v>510</v>
      </c>
      <c r="X9" t="s">
        <v>509</v>
      </c>
      <c r="Y9" t="s">
        <v>508</v>
      </c>
      <c r="AA9">
        <v>2006</v>
      </c>
      <c r="AB9" t="s">
        <v>502</v>
      </c>
      <c r="AC9" t="s">
        <v>507</v>
      </c>
    </row>
    <row r="10" spans="1:29" ht="12.75">
      <c r="A10" s="5" t="s">
        <v>4</v>
      </c>
      <c r="B10" s="4"/>
      <c r="C10" s="153" t="s">
        <v>5</v>
      </c>
      <c r="D10" s="153"/>
      <c r="E10" s="5"/>
      <c r="F10" s="5"/>
      <c r="G10" s="15"/>
      <c r="H10" s="47" t="s">
        <v>0</v>
      </c>
      <c r="I10" s="4"/>
      <c r="J10" s="5" t="s">
        <v>77</v>
      </c>
      <c r="K10" s="4"/>
      <c r="M10" t="s">
        <v>506</v>
      </c>
      <c r="P10" t="s">
        <v>503</v>
      </c>
      <c r="Q10" t="s">
        <v>505</v>
      </c>
      <c r="R10">
        <v>2005</v>
      </c>
      <c r="S10">
        <v>2006</v>
      </c>
      <c r="T10">
        <v>2006</v>
      </c>
      <c r="W10" t="s">
        <v>401</v>
      </c>
      <c r="X10" t="s">
        <v>504</v>
      </c>
      <c r="AA10" t="s">
        <v>658</v>
      </c>
      <c r="AC10" t="s">
        <v>502</v>
      </c>
    </row>
    <row r="11" spans="1:25" ht="12.75">
      <c r="A11" s="4"/>
      <c r="B11" s="4"/>
      <c r="C11" s="98" t="s">
        <v>495</v>
      </c>
      <c r="D11" s="4"/>
      <c r="E11" s="4"/>
      <c r="F11" s="4"/>
      <c r="G11" s="4"/>
      <c r="H11" s="106"/>
      <c r="I11" s="4"/>
      <c r="J11" s="4"/>
      <c r="K11" s="4"/>
      <c r="M11" t="s">
        <v>659</v>
      </c>
      <c r="P11" t="s">
        <v>460</v>
      </c>
      <c r="R11" t="s">
        <v>401</v>
      </c>
      <c r="S11" t="s">
        <v>503</v>
      </c>
      <c r="T11" t="s">
        <v>502</v>
      </c>
      <c r="V11">
        <v>2005</v>
      </c>
      <c r="W11">
        <v>2005</v>
      </c>
      <c r="Y11">
        <v>2006</v>
      </c>
    </row>
    <row r="12" spans="1:26" ht="12.75">
      <c r="A12" s="4"/>
      <c r="H12" s="63"/>
      <c r="M12">
        <v>350</v>
      </c>
      <c r="N12">
        <v>10</v>
      </c>
      <c r="P12">
        <v>0.0132</v>
      </c>
      <c r="Q12">
        <f aca="true" t="shared" si="0" ref="Q12:Q17">+P12/12</f>
        <v>0.0011</v>
      </c>
      <c r="R12">
        <f aca="true" t="shared" si="1" ref="R12:R17">+Q12*N12/2</f>
        <v>0.0055000000000000005</v>
      </c>
      <c r="S12">
        <f aca="true" t="shared" si="2" ref="S12:S17">+N12*P12</f>
        <v>0.132</v>
      </c>
      <c r="T12">
        <f aca="true" t="shared" si="3" ref="T12:T17">+S12+R12</f>
        <v>0.1375</v>
      </c>
      <c r="V12">
        <v>0.0375</v>
      </c>
      <c r="W12">
        <f aca="true" t="shared" si="4" ref="W12:W17">+V12*N12</f>
        <v>0.375</v>
      </c>
      <c r="Y12">
        <v>0.07219</v>
      </c>
      <c r="Z12">
        <f aca="true" t="shared" si="5" ref="Z12:Z17">+Y12*N12</f>
        <v>0.7219</v>
      </c>
    </row>
    <row r="13" spans="1:26" ht="12.75">
      <c r="A13" s="4"/>
      <c r="C13" t="s">
        <v>451</v>
      </c>
      <c r="H13" s="63"/>
      <c r="P13">
        <v>0.0209</v>
      </c>
      <c r="Q13">
        <f t="shared" si="0"/>
        <v>0.0017416666666666665</v>
      </c>
      <c r="R13">
        <f t="shared" si="1"/>
        <v>0</v>
      </c>
      <c r="S13">
        <f t="shared" si="2"/>
        <v>0</v>
      </c>
      <c r="T13">
        <f t="shared" si="3"/>
        <v>0</v>
      </c>
      <c r="V13">
        <v>0.0375</v>
      </c>
      <c r="W13">
        <f t="shared" si="4"/>
        <v>0</v>
      </c>
      <c r="Y13">
        <v>0.07219</v>
      </c>
      <c r="Z13">
        <f t="shared" si="5"/>
        <v>0</v>
      </c>
    </row>
    <row r="14" spans="1:26" ht="12.75">
      <c r="A14" s="4"/>
      <c r="C14" t="s">
        <v>452</v>
      </c>
      <c r="F14" s="63"/>
      <c r="H14" s="66"/>
      <c r="M14">
        <v>353</v>
      </c>
      <c r="N14">
        <v>52</v>
      </c>
      <c r="P14">
        <v>0.0263</v>
      </c>
      <c r="Q14">
        <f t="shared" si="0"/>
        <v>0.002191666666666667</v>
      </c>
      <c r="R14">
        <f t="shared" si="1"/>
        <v>0.05698333333333334</v>
      </c>
      <c r="S14">
        <f t="shared" si="2"/>
        <v>1.3676</v>
      </c>
      <c r="T14">
        <f t="shared" si="3"/>
        <v>1.4245833333333333</v>
      </c>
      <c r="V14">
        <v>0.0375</v>
      </c>
      <c r="W14">
        <f t="shared" si="4"/>
        <v>1.95</v>
      </c>
      <c r="Y14">
        <v>0.07219</v>
      </c>
      <c r="Z14">
        <f t="shared" si="5"/>
        <v>3.75388</v>
      </c>
    </row>
    <row r="15" spans="1:26" ht="12.75">
      <c r="A15" s="4"/>
      <c r="H15" s="66"/>
      <c r="P15">
        <v>0.014</v>
      </c>
      <c r="Q15">
        <f t="shared" si="0"/>
        <v>0.0011666666666666668</v>
      </c>
      <c r="R15">
        <f t="shared" si="1"/>
        <v>0</v>
      </c>
      <c r="S15">
        <f t="shared" si="2"/>
        <v>0</v>
      </c>
      <c r="T15">
        <f t="shared" si="3"/>
        <v>0</v>
      </c>
      <c r="V15">
        <v>0.0375</v>
      </c>
      <c r="W15">
        <f t="shared" si="4"/>
        <v>0</v>
      </c>
      <c r="Y15">
        <v>0.07219</v>
      </c>
      <c r="Z15">
        <f t="shared" si="5"/>
        <v>0</v>
      </c>
    </row>
    <row r="16" spans="1:26" ht="12.75">
      <c r="A16" s="4"/>
      <c r="C16" t="s">
        <v>88</v>
      </c>
      <c r="H16" s="66"/>
      <c r="M16">
        <v>355</v>
      </c>
      <c r="N16">
        <v>208</v>
      </c>
      <c r="P16">
        <v>0.0303</v>
      </c>
      <c r="Q16">
        <f t="shared" si="0"/>
        <v>0.002525</v>
      </c>
      <c r="R16">
        <f t="shared" si="1"/>
        <v>0.2626</v>
      </c>
      <c r="S16">
        <f t="shared" si="2"/>
        <v>6.3024000000000004</v>
      </c>
      <c r="T16">
        <f t="shared" si="3"/>
        <v>6.565</v>
      </c>
      <c r="V16">
        <v>0.0375</v>
      </c>
      <c r="W16">
        <f t="shared" si="4"/>
        <v>7.8</v>
      </c>
      <c r="Y16">
        <v>0.07219</v>
      </c>
      <c r="Z16">
        <f t="shared" si="5"/>
        <v>15.01552</v>
      </c>
    </row>
    <row r="17" spans="1:26" ht="12.75">
      <c r="A17" s="4"/>
      <c r="C17" s="9" t="s">
        <v>518</v>
      </c>
      <c r="D17" s="9"/>
      <c r="E17" s="9"/>
      <c r="F17" s="63"/>
      <c r="H17" s="66"/>
      <c r="M17">
        <v>356</v>
      </c>
      <c r="N17">
        <v>770</v>
      </c>
      <c r="P17">
        <v>0.018</v>
      </c>
      <c r="Q17">
        <f t="shared" si="0"/>
        <v>0.0014999999999999998</v>
      </c>
      <c r="R17">
        <f t="shared" si="1"/>
        <v>0.5774999999999999</v>
      </c>
      <c r="S17">
        <f t="shared" si="2"/>
        <v>13.86</v>
      </c>
      <c r="T17">
        <f t="shared" si="3"/>
        <v>14.4375</v>
      </c>
      <c r="V17">
        <v>0.0375</v>
      </c>
      <c r="W17">
        <f t="shared" si="4"/>
        <v>28.875</v>
      </c>
      <c r="Y17">
        <v>0.07219</v>
      </c>
      <c r="Z17">
        <f t="shared" si="5"/>
        <v>55.5863</v>
      </c>
    </row>
    <row r="18" spans="1:10" ht="12.75">
      <c r="A18" s="4">
        <v>1</v>
      </c>
      <c r="C18" s="9" t="s">
        <v>517</v>
      </c>
      <c r="D18" s="9"/>
      <c r="E18" s="9"/>
      <c r="F18" s="63">
        <f>+R20*1000</f>
        <v>902.5833333333333</v>
      </c>
      <c r="H18" s="66"/>
      <c r="J18" t="s">
        <v>525</v>
      </c>
    </row>
    <row r="19" spans="1:10" ht="12.75">
      <c r="A19" s="4">
        <v>2</v>
      </c>
      <c r="C19" s="14" t="s">
        <v>519</v>
      </c>
      <c r="D19" s="9"/>
      <c r="E19" s="9"/>
      <c r="F19" s="63">
        <f>+R34*1000</f>
        <v>139418.28749999998</v>
      </c>
      <c r="H19" s="66"/>
      <c r="J19" t="s">
        <v>525</v>
      </c>
    </row>
    <row r="20" spans="1:29" ht="12.75">
      <c r="A20" s="4">
        <v>3</v>
      </c>
      <c r="C20" s="14" t="s">
        <v>520</v>
      </c>
      <c r="D20" s="9"/>
      <c r="E20" s="9"/>
      <c r="F20" s="67">
        <f>1000*R51</f>
        <v>170688.18750000003</v>
      </c>
      <c r="H20" s="66"/>
      <c r="J20" t="s">
        <v>525</v>
      </c>
      <c r="N20">
        <f>SUM(N12:N17)</f>
        <v>1040</v>
      </c>
      <c r="R20">
        <f>SUM(R12:R19)</f>
        <v>0.9025833333333333</v>
      </c>
      <c r="S20">
        <f>SUM(S12:S19)</f>
        <v>21.662</v>
      </c>
      <c r="T20">
        <f>SUM(T12:T19)</f>
        <v>22.56458333333333</v>
      </c>
      <c r="U20">
        <f>+(T20+R20)/2</f>
        <v>11.733583333333332</v>
      </c>
      <c r="W20">
        <f>SUM(W12:W17)</f>
        <v>39</v>
      </c>
      <c r="X20">
        <f>+(W20-R20)*0.35</f>
        <v>13.334095833333333</v>
      </c>
      <c r="Z20">
        <f>SUM(Z12:Z19)</f>
        <v>75.0776</v>
      </c>
      <c r="AA20">
        <f>+(Z20-S20)*0.35</f>
        <v>18.69546</v>
      </c>
      <c r="AB20">
        <f>+AA20+X20</f>
        <v>32.02955583333333</v>
      </c>
      <c r="AC20">
        <f>+(AB20+X20)/2</f>
        <v>22.681825833333335</v>
      </c>
    </row>
    <row r="21" spans="1:8" ht="12.75">
      <c r="A21" s="4"/>
      <c r="C21" s="9"/>
      <c r="D21" s="9"/>
      <c r="E21" s="9"/>
      <c r="F21" s="63"/>
      <c r="G21" s="63"/>
      <c r="H21" s="66"/>
    </row>
    <row r="22" spans="1:14" ht="13.5" thickBot="1">
      <c r="A22" s="4">
        <v>4</v>
      </c>
      <c r="C22" s="14" t="s">
        <v>260</v>
      </c>
      <c r="D22" s="9"/>
      <c r="E22" s="9"/>
      <c r="F22" s="116">
        <f>SUM(F18:F21)</f>
        <v>311009.05833333335</v>
      </c>
      <c r="G22" s="63"/>
      <c r="H22" s="66"/>
      <c r="J22" t="s">
        <v>526</v>
      </c>
      <c r="N22" t="s">
        <v>501</v>
      </c>
    </row>
    <row r="23" spans="1:26" ht="13.5" thickTop="1">
      <c r="A23" s="4"/>
      <c r="C23" s="9"/>
      <c r="D23" s="9"/>
      <c r="E23" s="9"/>
      <c r="F23" s="63"/>
      <c r="G23" s="63"/>
      <c r="H23" s="66"/>
      <c r="M23">
        <v>350</v>
      </c>
      <c r="N23">
        <v>641</v>
      </c>
      <c r="P23">
        <v>0.0132</v>
      </c>
      <c r="Q23">
        <f aca="true" t="shared" si="6" ref="Q23:Q31">+P23/12</f>
        <v>0.0011</v>
      </c>
      <c r="R23">
        <f aca="true" t="shared" si="7" ref="R23:R31">+Q23*N23*4.5</f>
        <v>3.17295</v>
      </c>
      <c r="S23">
        <f aca="true" t="shared" si="8" ref="S23:S31">+N23*P23</f>
        <v>8.4612</v>
      </c>
      <c r="T23">
        <f aca="true" t="shared" si="9" ref="T23:T31">+S23+R23</f>
        <v>11.63415</v>
      </c>
      <c r="V23">
        <v>0.0375</v>
      </c>
      <c r="W23">
        <f aca="true" t="shared" si="10" ref="W23:W31">+V23*N23</f>
        <v>24.037499999999998</v>
      </c>
      <c r="Y23">
        <v>0.07219</v>
      </c>
      <c r="Z23">
        <f aca="true" t="shared" si="11" ref="Z23:Z31">+Y23*N23</f>
        <v>46.273790000000005</v>
      </c>
    </row>
    <row r="24" spans="1:26" ht="12.75">
      <c r="A24" s="4"/>
      <c r="C24" s="9" t="s">
        <v>521</v>
      </c>
      <c r="D24" s="9"/>
      <c r="E24" s="9"/>
      <c r="F24" s="63"/>
      <c r="G24" s="63"/>
      <c r="H24" s="66"/>
      <c r="M24">
        <v>352</v>
      </c>
      <c r="N24">
        <v>962</v>
      </c>
      <c r="P24">
        <v>0.0209</v>
      </c>
      <c r="Q24">
        <f t="shared" si="6"/>
        <v>0.0017416666666666665</v>
      </c>
      <c r="R24">
        <f t="shared" si="7"/>
        <v>7.539674999999999</v>
      </c>
      <c r="S24">
        <f t="shared" si="8"/>
        <v>20.1058</v>
      </c>
      <c r="T24">
        <f t="shared" si="9"/>
        <v>27.645474999999998</v>
      </c>
      <c r="V24">
        <v>0.0375</v>
      </c>
      <c r="W24">
        <f t="shared" si="10"/>
        <v>36.074999999999996</v>
      </c>
      <c r="Y24">
        <v>0.07219</v>
      </c>
      <c r="Z24">
        <f t="shared" si="11"/>
        <v>69.44678</v>
      </c>
    </row>
    <row r="25" spans="1:26" ht="12.75">
      <c r="A25" s="4">
        <v>5</v>
      </c>
      <c r="C25" s="9" t="s">
        <v>517</v>
      </c>
      <c r="D25" s="9"/>
      <c r="E25" s="9"/>
      <c r="F25" s="63">
        <f>1000*T20</f>
        <v>22564.583333333332</v>
      </c>
      <c r="G25" s="63"/>
      <c r="H25" s="66"/>
      <c r="J25" t="s">
        <v>525</v>
      </c>
      <c r="M25">
        <v>353</v>
      </c>
      <c r="N25">
        <v>6733</v>
      </c>
      <c r="P25">
        <v>0.0263</v>
      </c>
      <c r="Q25">
        <f t="shared" si="6"/>
        <v>0.002191666666666667</v>
      </c>
      <c r="R25">
        <f t="shared" si="7"/>
        <v>66.4042125</v>
      </c>
      <c r="S25">
        <f t="shared" si="8"/>
        <v>177.0779</v>
      </c>
      <c r="T25">
        <f t="shared" si="9"/>
        <v>243.4821125</v>
      </c>
      <c r="V25">
        <v>0.0375</v>
      </c>
      <c r="W25">
        <f t="shared" si="10"/>
        <v>252.48749999999998</v>
      </c>
      <c r="Y25">
        <v>0.07219</v>
      </c>
      <c r="Z25">
        <f t="shared" si="11"/>
        <v>486.05527</v>
      </c>
    </row>
    <row r="26" spans="1:26" ht="12.75">
      <c r="A26" s="4">
        <v>6</v>
      </c>
      <c r="C26" s="14" t="s">
        <v>519</v>
      </c>
      <c r="D26" s="9"/>
      <c r="E26" s="9"/>
      <c r="F26" s="63">
        <f>1000*T34</f>
        <v>511200.38749999995</v>
      </c>
      <c r="G26" s="63"/>
      <c r="H26" s="66"/>
      <c r="J26" t="s">
        <v>525</v>
      </c>
      <c r="M26">
        <v>354</v>
      </c>
      <c r="N26">
        <v>1603</v>
      </c>
      <c r="P26">
        <v>0.014</v>
      </c>
      <c r="Q26">
        <f t="shared" si="6"/>
        <v>0.0011666666666666668</v>
      </c>
      <c r="R26">
        <f t="shared" si="7"/>
        <v>8.415750000000001</v>
      </c>
      <c r="S26">
        <f t="shared" si="8"/>
        <v>22.442</v>
      </c>
      <c r="T26">
        <f t="shared" si="9"/>
        <v>30.857750000000003</v>
      </c>
      <c r="V26">
        <v>0.0375</v>
      </c>
      <c r="W26">
        <f t="shared" si="10"/>
        <v>60.1125</v>
      </c>
      <c r="Y26">
        <v>0.07219</v>
      </c>
      <c r="Z26">
        <f t="shared" si="11"/>
        <v>115.72057000000001</v>
      </c>
    </row>
    <row r="27" spans="1:26" ht="12.75">
      <c r="A27" s="4">
        <v>7</v>
      </c>
      <c r="C27" s="14" t="s">
        <v>520</v>
      </c>
      <c r="D27" s="9"/>
      <c r="E27" s="66"/>
      <c r="F27" s="67">
        <f>1000*T51</f>
        <v>443789.2875000001</v>
      </c>
      <c r="G27" s="63"/>
      <c r="H27" s="66"/>
      <c r="J27" t="s">
        <v>525</v>
      </c>
      <c r="M27">
        <v>355</v>
      </c>
      <c r="N27">
        <v>2886</v>
      </c>
      <c r="P27">
        <v>0.0303</v>
      </c>
      <c r="Q27">
        <f t="shared" si="6"/>
        <v>0.002525</v>
      </c>
      <c r="R27">
        <f t="shared" si="7"/>
        <v>32.792175</v>
      </c>
      <c r="S27">
        <f t="shared" si="8"/>
        <v>87.4458</v>
      </c>
      <c r="T27">
        <f t="shared" si="9"/>
        <v>120.237975</v>
      </c>
      <c r="V27">
        <v>0.0375</v>
      </c>
      <c r="W27">
        <f t="shared" si="10"/>
        <v>108.225</v>
      </c>
      <c r="Y27">
        <v>0.07219</v>
      </c>
      <c r="Z27">
        <f t="shared" si="11"/>
        <v>208.34034000000003</v>
      </c>
    </row>
    <row r="28" spans="1:26" ht="12.75">
      <c r="A28" s="4"/>
      <c r="C28" s="9"/>
      <c r="D28" s="9"/>
      <c r="E28" s="79"/>
      <c r="F28" s="63"/>
      <c r="G28" s="63"/>
      <c r="H28" s="66"/>
      <c r="M28">
        <v>356</v>
      </c>
      <c r="N28">
        <v>2886</v>
      </c>
      <c r="P28">
        <v>0.018</v>
      </c>
      <c r="Q28">
        <f t="shared" si="6"/>
        <v>0.0014999999999999998</v>
      </c>
      <c r="R28">
        <f t="shared" si="7"/>
        <v>19.4805</v>
      </c>
      <c r="S28">
        <f t="shared" si="8"/>
        <v>51.94799999999999</v>
      </c>
      <c r="T28">
        <f t="shared" si="9"/>
        <v>71.42849999999999</v>
      </c>
      <c r="V28">
        <v>0.0375</v>
      </c>
      <c r="W28">
        <f t="shared" si="10"/>
        <v>108.225</v>
      </c>
      <c r="Y28">
        <v>0.07219</v>
      </c>
      <c r="Z28">
        <f t="shared" si="11"/>
        <v>208.34034000000003</v>
      </c>
    </row>
    <row r="29" spans="1:26" ht="13.5" thickBot="1">
      <c r="A29" s="4">
        <v>8</v>
      </c>
      <c r="C29" s="14" t="s">
        <v>260</v>
      </c>
      <c r="D29" s="9"/>
      <c r="E29" s="66"/>
      <c r="F29" s="116">
        <f>SUM(F25:F28)</f>
        <v>977554.2583333334</v>
      </c>
      <c r="G29" s="63"/>
      <c r="H29" s="66"/>
      <c r="J29" t="s">
        <v>527</v>
      </c>
      <c r="M29">
        <v>357</v>
      </c>
      <c r="P29">
        <v>0.0166</v>
      </c>
      <c r="Q29">
        <f t="shared" si="6"/>
        <v>0.0013833333333333334</v>
      </c>
      <c r="R29">
        <f t="shared" si="7"/>
        <v>0</v>
      </c>
      <c r="S29">
        <f t="shared" si="8"/>
        <v>0</v>
      </c>
      <c r="T29">
        <f t="shared" si="9"/>
        <v>0</v>
      </c>
      <c r="V29">
        <v>0.0375</v>
      </c>
      <c r="W29">
        <f t="shared" si="10"/>
        <v>0</v>
      </c>
      <c r="Y29">
        <v>0.07219</v>
      </c>
      <c r="Z29">
        <f t="shared" si="11"/>
        <v>0</v>
      </c>
    </row>
    <row r="30" spans="1:26" ht="13.5" thickTop="1">
      <c r="A30" s="4"/>
      <c r="C30" s="9"/>
      <c r="D30" s="9"/>
      <c r="E30" s="79"/>
      <c r="F30" s="63"/>
      <c r="G30" s="63"/>
      <c r="H30" s="66"/>
      <c r="M30">
        <v>358</v>
      </c>
      <c r="P30">
        <v>0.0152</v>
      </c>
      <c r="Q30">
        <f t="shared" si="6"/>
        <v>0.0012666666666666666</v>
      </c>
      <c r="R30">
        <f t="shared" si="7"/>
        <v>0</v>
      </c>
      <c r="S30">
        <f t="shared" si="8"/>
        <v>0</v>
      </c>
      <c r="T30">
        <f t="shared" si="9"/>
        <v>0</v>
      </c>
      <c r="V30">
        <v>0.0375</v>
      </c>
      <c r="W30">
        <f t="shared" si="10"/>
        <v>0</v>
      </c>
      <c r="Y30">
        <v>0.07219</v>
      </c>
      <c r="Z30">
        <f t="shared" si="11"/>
        <v>0</v>
      </c>
    </row>
    <row r="31" spans="1:26" ht="13.5" thickBot="1">
      <c r="A31" s="4">
        <v>9</v>
      </c>
      <c r="C31" s="14" t="s">
        <v>522</v>
      </c>
      <c r="D31" s="9"/>
      <c r="E31" s="9"/>
      <c r="F31" s="116">
        <f>+AVERAGE(F29,F22)</f>
        <v>644281.6583333334</v>
      </c>
      <c r="G31" s="63"/>
      <c r="H31" s="66"/>
      <c r="J31" t="s">
        <v>528</v>
      </c>
      <c r="M31">
        <v>359</v>
      </c>
      <c r="N31">
        <v>321</v>
      </c>
      <c r="P31">
        <v>0.0134</v>
      </c>
      <c r="Q31">
        <f t="shared" si="6"/>
        <v>0.0011166666666666666</v>
      </c>
      <c r="R31">
        <f t="shared" si="7"/>
        <v>1.613025</v>
      </c>
      <c r="S31">
        <f t="shared" si="8"/>
        <v>4.3014</v>
      </c>
      <c r="T31">
        <f t="shared" si="9"/>
        <v>5.914425</v>
      </c>
      <c r="V31">
        <v>0.0375</v>
      </c>
      <c r="W31">
        <f t="shared" si="10"/>
        <v>12.0375</v>
      </c>
      <c r="Y31">
        <v>0.07219</v>
      </c>
      <c r="Z31">
        <f t="shared" si="11"/>
        <v>23.172990000000002</v>
      </c>
    </row>
    <row r="32" spans="1:13" ht="13.5" thickTop="1">
      <c r="A32" s="4"/>
      <c r="C32" s="9"/>
      <c r="D32" s="9"/>
      <c r="E32" s="9"/>
      <c r="F32" s="63"/>
      <c r="G32" s="63"/>
      <c r="H32" s="66"/>
      <c r="M32">
        <v>361</v>
      </c>
    </row>
    <row r="33" spans="1:13" ht="13.5" thickBot="1">
      <c r="A33" s="4">
        <v>10</v>
      </c>
      <c r="C33" s="9" t="s">
        <v>361</v>
      </c>
      <c r="D33" s="9"/>
      <c r="F33" s="52">
        <f>+F31*0.6516</f>
        <v>419813.92857000005</v>
      </c>
      <c r="G33" s="63"/>
      <c r="H33" s="52">
        <f>+ROUND(F33,-3)</f>
        <v>420000</v>
      </c>
      <c r="J33" s="109">
        <v>0.6516</v>
      </c>
      <c r="M33">
        <v>362</v>
      </c>
    </row>
    <row r="34" spans="1:29" ht="13.5" thickTop="1">
      <c r="A34" s="4"/>
      <c r="C34" s="9"/>
      <c r="D34" s="9"/>
      <c r="E34" s="9"/>
      <c r="F34" s="63"/>
      <c r="G34" s="63"/>
      <c r="H34" s="66"/>
      <c r="N34">
        <f>SUM(N23:N33)</f>
        <v>16032</v>
      </c>
      <c r="R34">
        <f>SUM(R23:R33)</f>
        <v>139.4182875</v>
      </c>
      <c r="S34">
        <f>SUM(S23:S33)</f>
        <v>371.7821</v>
      </c>
      <c r="T34">
        <f>SUM(T23:T33)</f>
        <v>511.2003875</v>
      </c>
      <c r="U34">
        <f>+(T34+R34)/2</f>
        <v>325.30933749999997</v>
      </c>
      <c r="W34">
        <f>SUM(W23:W33)</f>
        <v>601.2</v>
      </c>
      <c r="X34">
        <f>+(W34-R34)*0.35</f>
        <v>161.623599375</v>
      </c>
      <c r="Z34">
        <f>SUM(Z23:Z33)</f>
        <v>1157.35008</v>
      </c>
      <c r="AA34">
        <f>+(Z34-S34)*0.35</f>
        <v>274.94879299999997</v>
      </c>
      <c r="AB34">
        <f>+AA34+X34</f>
        <v>436.57239237499994</v>
      </c>
      <c r="AC34">
        <f>+(AB34+X34)/2</f>
        <v>299.097995875</v>
      </c>
    </row>
    <row r="35" spans="1:8" ht="12.75">
      <c r="A35" s="4"/>
      <c r="C35" s="9" t="s">
        <v>399</v>
      </c>
      <c r="D35" s="9"/>
      <c r="E35" s="9"/>
      <c r="F35" s="63"/>
      <c r="G35" s="63"/>
      <c r="H35" s="66"/>
    </row>
    <row r="36" spans="1:8" ht="12.75">
      <c r="A36" s="4"/>
      <c r="C36" s="9"/>
      <c r="D36" s="9"/>
      <c r="E36" s="115"/>
      <c r="F36" s="63"/>
      <c r="G36" s="63"/>
      <c r="H36" s="66"/>
    </row>
    <row r="37" spans="1:14" ht="12.75">
      <c r="A37" s="4"/>
      <c r="C37" s="9" t="s">
        <v>518</v>
      </c>
      <c r="D37" s="9"/>
      <c r="E37" s="9"/>
      <c r="F37" s="63"/>
      <c r="G37" s="63"/>
      <c r="H37" s="66"/>
      <c r="N37" t="s">
        <v>500</v>
      </c>
    </row>
    <row r="38" spans="1:26" ht="12.75">
      <c r="A38" s="4">
        <v>11</v>
      </c>
      <c r="C38" s="9" t="s">
        <v>517</v>
      </c>
      <c r="D38" s="9"/>
      <c r="E38" s="115"/>
      <c r="F38" s="63">
        <f>-X20*1000</f>
        <v>-13334.095833333333</v>
      </c>
      <c r="G38" s="63"/>
      <c r="H38" s="66"/>
      <c r="J38" t="s">
        <v>529</v>
      </c>
      <c r="M38">
        <v>350</v>
      </c>
      <c r="N38">
        <v>455</v>
      </c>
      <c r="P38">
        <v>0.0132</v>
      </c>
      <c r="Q38">
        <f aca="true" t="shared" si="12" ref="Q38:Q49">+P38/12</f>
        <v>0.0011</v>
      </c>
      <c r="R38">
        <f aca="true" t="shared" si="13" ref="R38:R49">+Q38*N38*7.5</f>
        <v>3.7537500000000006</v>
      </c>
      <c r="S38">
        <f aca="true" t="shared" si="14" ref="S38:S49">+N38*P38</f>
        <v>6.006</v>
      </c>
      <c r="T38">
        <f aca="true" t="shared" si="15" ref="T38:T49">+S38+R38</f>
        <v>9.75975</v>
      </c>
      <c r="V38">
        <v>0.0375</v>
      </c>
      <c r="W38">
        <f aca="true" t="shared" si="16" ref="W38:W49">+V38*N38</f>
        <v>17.0625</v>
      </c>
      <c r="Y38">
        <v>0.07219</v>
      </c>
      <c r="Z38">
        <f aca="true" t="shared" si="17" ref="Z38:Z49">+Y38*N38</f>
        <v>32.846450000000004</v>
      </c>
    </row>
    <row r="39" spans="1:26" ht="12.75">
      <c r="A39" s="4">
        <v>12</v>
      </c>
      <c r="C39" s="14" t="s">
        <v>519</v>
      </c>
      <c r="D39" s="9"/>
      <c r="E39" s="9"/>
      <c r="F39" s="63">
        <f>-X34*1000</f>
        <v>-161623.599375</v>
      </c>
      <c r="G39" s="63"/>
      <c r="H39" s="66"/>
      <c r="J39" t="s">
        <v>529</v>
      </c>
      <c r="M39">
        <v>352</v>
      </c>
      <c r="N39">
        <v>1139</v>
      </c>
      <c r="P39">
        <v>0.0209</v>
      </c>
      <c r="Q39">
        <f t="shared" si="12"/>
        <v>0.0017416666666666665</v>
      </c>
      <c r="R39">
        <f t="shared" si="13"/>
        <v>14.8781875</v>
      </c>
      <c r="S39">
        <f t="shared" si="14"/>
        <v>23.8051</v>
      </c>
      <c r="T39">
        <f t="shared" si="15"/>
        <v>38.6832875</v>
      </c>
      <c r="V39">
        <v>0.0375</v>
      </c>
      <c r="W39">
        <f t="shared" si="16"/>
        <v>42.7125</v>
      </c>
      <c r="Y39">
        <v>0.07219</v>
      </c>
      <c r="Z39">
        <f t="shared" si="17"/>
        <v>82.22441</v>
      </c>
    </row>
    <row r="40" spans="1:26" ht="12.75">
      <c r="A40" s="4">
        <v>13</v>
      </c>
      <c r="C40" s="14" t="s">
        <v>520</v>
      </c>
      <c r="D40" s="9"/>
      <c r="E40" s="9"/>
      <c r="F40" s="67">
        <f>-X51*1000</f>
        <v>-98111.30437499998</v>
      </c>
      <c r="G40" s="63"/>
      <c r="H40" s="66"/>
      <c r="J40" t="s">
        <v>529</v>
      </c>
      <c r="M40">
        <v>353</v>
      </c>
      <c r="N40">
        <v>5579</v>
      </c>
      <c r="P40">
        <v>0.0263</v>
      </c>
      <c r="Q40">
        <f t="shared" si="12"/>
        <v>0.002191666666666667</v>
      </c>
      <c r="R40">
        <f t="shared" si="13"/>
        <v>91.70481250000002</v>
      </c>
      <c r="S40">
        <f t="shared" si="14"/>
        <v>146.7277</v>
      </c>
      <c r="T40">
        <f t="shared" si="15"/>
        <v>238.43251250000003</v>
      </c>
      <c r="V40">
        <v>0.0375</v>
      </c>
      <c r="W40">
        <f t="shared" si="16"/>
        <v>209.2125</v>
      </c>
      <c r="Y40">
        <v>0.07219</v>
      </c>
      <c r="Z40">
        <f t="shared" si="17"/>
        <v>402.74801</v>
      </c>
    </row>
    <row r="41" spans="1:26" ht="12.75">
      <c r="A41" s="4"/>
      <c r="C41" s="9"/>
      <c r="D41" s="9"/>
      <c r="E41" s="9"/>
      <c r="F41" s="63"/>
      <c r="G41" s="63"/>
      <c r="H41" s="66"/>
      <c r="M41">
        <v>354</v>
      </c>
      <c r="N41">
        <v>1139</v>
      </c>
      <c r="P41">
        <v>0.014</v>
      </c>
      <c r="Q41">
        <f t="shared" si="12"/>
        <v>0.0011666666666666668</v>
      </c>
      <c r="R41">
        <f t="shared" si="13"/>
        <v>9.966250000000002</v>
      </c>
      <c r="S41">
        <f t="shared" si="14"/>
        <v>15.946</v>
      </c>
      <c r="T41">
        <f t="shared" si="15"/>
        <v>25.91225</v>
      </c>
      <c r="V41">
        <v>0.0375</v>
      </c>
      <c r="W41">
        <f t="shared" si="16"/>
        <v>42.7125</v>
      </c>
      <c r="Y41">
        <v>0.07219</v>
      </c>
      <c r="Z41">
        <f t="shared" si="17"/>
        <v>82.22441</v>
      </c>
    </row>
    <row r="42" spans="1:26" ht="13.5" thickBot="1">
      <c r="A42" s="4">
        <v>14</v>
      </c>
      <c r="C42" s="14" t="s">
        <v>260</v>
      </c>
      <c r="D42" s="9"/>
      <c r="E42" s="9"/>
      <c r="F42" s="116">
        <f>SUM(F38:F41)</f>
        <v>-273068.99958333327</v>
      </c>
      <c r="G42" s="63"/>
      <c r="H42" s="66"/>
      <c r="J42" t="s">
        <v>530</v>
      </c>
      <c r="M42">
        <v>355</v>
      </c>
      <c r="N42">
        <v>569</v>
      </c>
      <c r="P42">
        <v>0.0303</v>
      </c>
      <c r="Q42">
        <f t="shared" si="12"/>
        <v>0.002525</v>
      </c>
      <c r="R42">
        <f t="shared" si="13"/>
        <v>10.7754375</v>
      </c>
      <c r="S42">
        <f t="shared" si="14"/>
        <v>17.2407</v>
      </c>
      <c r="T42">
        <f t="shared" si="15"/>
        <v>28.0161375</v>
      </c>
      <c r="V42">
        <v>0.0375</v>
      </c>
      <c r="W42">
        <f t="shared" si="16"/>
        <v>21.3375</v>
      </c>
      <c r="Y42">
        <v>0.07219</v>
      </c>
      <c r="Z42">
        <f t="shared" si="17"/>
        <v>41.07611</v>
      </c>
    </row>
    <row r="43" spans="1:26" ht="13.5" thickTop="1">
      <c r="A43" s="4"/>
      <c r="C43" s="9"/>
      <c r="D43" s="9"/>
      <c r="E43" s="9"/>
      <c r="F43" s="63"/>
      <c r="G43" s="63"/>
      <c r="H43" s="66"/>
      <c r="M43">
        <v>356</v>
      </c>
      <c r="N43">
        <v>2277</v>
      </c>
      <c r="P43">
        <v>0.018</v>
      </c>
      <c r="Q43">
        <f t="shared" si="12"/>
        <v>0.0014999999999999998</v>
      </c>
      <c r="R43">
        <f t="shared" si="13"/>
        <v>25.616249999999997</v>
      </c>
      <c r="S43">
        <f t="shared" si="14"/>
        <v>40.986</v>
      </c>
      <c r="T43">
        <f t="shared" si="15"/>
        <v>66.60225</v>
      </c>
      <c r="V43">
        <v>0.0375</v>
      </c>
      <c r="W43">
        <f t="shared" si="16"/>
        <v>85.3875</v>
      </c>
      <c r="Y43">
        <v>0.07219</v>
      </c>
      <c r="Z43">
        <f t="shared" si="17"/>
        <v>164.37663</v>
      </c>
    </row>
    <row r="44" spans="1:26" ht="12.75">
      <c r="A44" s="4"/>
      <c r="C44" s="9" t="s">
        <v>521</v>
      </c>
      <c r="D44" s="9"/>
      <c r="E44" s="9"/>
      <c r="F44" s="63"/>
      <c r="G44" s="63"/>
      <c r="H44" s="66"/>
      <c r="M44">
        <v>357</v>
      </c>
      <c r="P44">
        <v>0.0166</v>
      </c>
      <c r="Q44">
        <f t="shared" si="12"/>
        <v>0.0013833333333333334</v>
      </c>
      <c r="R44">
        <f t="shared" si="13"/>
        <v>0</v>
      </c>
      <c r="S44">
        <f t="shared" si="14"/>
        <v>0</v>
      </c>
      <c r="T44">
        <f t="shared" si="15"/>
        <v>0</v>
      </c>
      <c r="V44">
        <v>0.0375</v>
      </c>
      <c r="W44">
        <f t="shared" si="16"/>
        <v>0</v>
      </c>
      <c r="Y44">
        <v>0.07219</v>
      </c>
      <c r="Z44">
        <f t="shared" si="17"/>
        <v>0</v>
      </c>
    </row>
    <row r="45" spans="1:26" ht="12.75">
      <c r="A45" s="4">
        <v>15</v>
      </c>
      <c r="C45" s="9" t="s">
        <v>517</v>
      </c>
      <c r="D45" s="9"/>
      <c r="E45" s="9"/>
      <c r="F45" s="63">
        <f>-AB20*1000</f>
        <v>-32029.555833333332</v>
      </c>
      <c r="G45" s="63"/>
      <c r="H45" s="66"/>
      <c r="J45" t="s">
        <v>529</v>
      </c>
      <c r="M45">
        <v>358</v>
      </c>
      <c r="P45">
        <v>0.0152</v>
      </c>
      <c r="Q45">
        <f t="shared" si="12"/>
        <v>0.0012666666666666666</v>
      </c>
      <c r="R45">
        <f t="shared" si="13"/>
        <v>0</v>
      </c>
      <c r="S45">
        <f t="shared" si="14"/>
        <v>0</v>
      </c>
      <c r="T45">
        <f t="shared" si="15"/>
        <v>0</v>
      </c>
      <c r="V45">
        <v>0.0375</v>
      </c>
      <c r="W45">
        <f t="shared" si="16"/>
        <v>0</v>
      </c>
      <c r="Y45">
        <v>0.07219</v>
      </c>
      <c r="Z45">
        <f t="shared" si="17"/>
        <v>0</v>
      </c>
    </row>
    <row r="46" spans="1:26" ht="12.75">
      <c r="A46" s="4">
        <v>16</v>
      </c>
      <c r="C46" s="14" t="s">
        <v>519</v>
      </c>
      <c r="D46" s="9"/>
      <c r="E46" s="9"/>
      <c r="F46" s="63">
        <f>-AB34*1000</f>
        <v>-436572.39237499994</v>
      </c>
      <c r="G46" s="63"/>
      <c r="H46" s="66"/>
      <c r="J46" t="s">
        <v>529</v>
      </c>
      <c r="M46">
        <v>359</v>
      </c>
      <c r="P46">
        <v>0.0134</v>
      </c>
      <c r="Q46">
        <f t="shared" si="12"/>
        <v>0.0011166666666666666</v>
      </c>
      <c r="R46">
        <f t="shared" si="13"/>
        <v>0</v>
      </c>
      <c r="S46">
        <f t="shared" si="14"/>
        <v>0</v>
      </c>
      <c r="T46">
        <f t="shared" si="15"/>
        <v>0</v>
      </c>
      <c r="V46">
        <v>0.0375</v>
      </c>
      <c r="W46">
        <f t="shared" si="16"/>
        <v>0</v>
      </c>
      <c r="Y46">
        <v>0.07219</v>
      </c>
      <c r="Z46">
        <f t="shared" si="17"/>
        <v>0</v>
      </c>
    </row>
    <row r="47" spans="1:26" ht="12.75">
      <c r="A47" s="4">
        <v>17</v>
      </c>
      <c r="C47" s="14" t="s">
        <v>520</v>
      </c>
      <c r="D47" s="9"/>
      <c r="E47" s="9"/>
      <c r="F47" s="67">
        <f>-AB51*1000</f>
        <v>-303992.54637500003</v>
      </c>
      <c r="G47" s="63"/>
      <c r="H47" s="66"/>
      <c r="J47" t="s">
        <v>529</v>
      </c>
      <c r="M47">
        <v>361</v>
      </c>
      <c r="P47">
        <v>0.0213</v>
      </c>
      <c r="Q47">
        <f t="shared" si="12"/>
        <v>0.0017749999999999999</v>
      </c>
      <c r="R47">
        <f t="shared" si="13"/>
        <v>0</v>
      </c>
      <c r="S47">
        <f t="shared" si="14"/>
        <v>0</v>
      </c>
      <c r="T47">
        <f t="shared" si="15"/>
        <v>0</v>
      </c>
      <c r="V47">
        <v>0.0375</v>
      </c>
      <c r="W47">
        <f t="shared" si="16"/>
        <v>0</v>
      </c>
      <c r="Y47">
        <v>0.07219</v>
      </c>
      <c r="Z47">
        <f t="shared" si="17"/>
        <v>0</v>
      </c>
    </row>
    <row r="48" spans="1:26" ht="12.75">
      <c r="A48" s="4"/>
      <c r="C48" s="9"/>
      <c r="D48" s="9"/>
      <c r="E48" s="9"/>
      <c r="F48" s="63"/>
      <c r="G48" s="63"/>
      <c r="H48" s="66"/>
      <c r="M48">
        <v>362</v>
      </c>
      <c r="P48">
        <v>0.0247</v>
      </c>
      <c r="Q48">
        <f t="shared" si="12"/>
        <v>0.0020583333333333335</v>
      </c>
      <c r="R48">
        <f t="shared" si="13"/>
        <v>0</v>
      </c>
      <c r="S48">
        <f t="shared" si="14"/>
        <v>0</v>
      </c>
      <c r="T48">
        <f t="shared" si="15"/>
        <v>0</v>
      </c>
      <c r="V48">
        <v>0.0375</v>
      </c>
      <c r="W48">
        <f t="shared" si="16"/>
        <v>0</v>
      </c>
      <c r="Y48">
        <v>0.07219</v>
      </c>
      <c r="Z48">
        <f t="shared" si="17"/>
        <v>0</v>
      </c>
    </row>
    <row r="49" spans="1:26" ht="13.5" thickBot="1">
      <c r="A49" s="4">
        <v>18</v>
      </c>
      <c r="C49" s="14" t="s">
        <v>260</v>
      </c>
      <c r="D49" s="9"/>
      <c r="E49" s="9"/>
      <c r="F49" s="116">
        <f>SUM(F45:F48)</f>
        <v>-772594.4945833334</v>
      </c>
      <c r="G49" s="63"/>
      <c r="H49" s="66"/>
      <c r="J49" t="s">
        <v>531</v>
      </c>
      <c r="M49">
        <v>397</v>
      </c>
      <c r="N49">
        <v>228</v>
      </c>
      <c r="P49">
        <v>0.0982</v>
      </c>
      <c r="Q49">
        <f t="shared" si="12"/>
        <v>0.008183333333333332</v>
      </c>
      <c r="R49">
        <f t="shared" si="13"/>
        <v>13.993499999999997</v>
      </c>
      <c r="S49">
        <f t="shared" si="14"/>
        <v>22.389599999999998</v>
      </c>
      <c r="T49">
        <f t="shared" si="15"/>
        <v>36.3831</v>
      </c>
      <c r="V49">
        <v>0.1429</v>
      </c>
      <c r="W49">
        <f t="shared" si="16"/>
        <v>32.5812</v>
      </c>
      <c r="Y49">
        <v>0.2449</v>
      </c>
      <c r="Z49">
        <f t="shared" si="17"/>
        <v>55.8372</v>
      </c>
    </row>
    <row r="50" spans="1:8" ht="13.5" thickTop="1">
      <c r="A50" s="4"/>
      <c r="C50" s="9"/>
      <c r="D50" s="9"/>
      <c r="E50" s="9"/>
      <c r="H50" s="66"/>
    </row>
    <row r="51" spans="1:29" ht="13.5" thickBot="1">
      <c r="A51" s="4">
        <v>19</v>
      </c>
      <c r="C51" s="14" t="s">
        <v>522</v>
      </c>
      <c r="D51" s="9"/>
      <c r="E51" s="9"/>
      <c r="F51" s="116">
        <f>+AVERAGE(F49,F42)</f>
        <v>-522831.7470833333</v>
      </c>
      <c r="H51" s="66"/>
      <c r="J51" t="s">
        <v>532</v>
      </c>
      <c r="N51">
        <f>SUM(N38:N49)</f>
        <v>11386</v>
      </c>
      <c r="R51">
        <f>SUM(R38:R50)</f>
        <v>170.68818750000003</v>
      </c>
      <c r="S51">
        <f>SUM(S38:S50)</f>
        <v>273.1011</v>
      </c>
      <c r="T51">
        <f>SUM(T38:T50)</f>
        <v>443.7892875000001</v>
      </c>
      <c r="U51">
        <f>+(T51+R51)/2</f>
        <v>307.23873750000007</v>
      </c>
      <c r="W51">
        <f>SUM(W38:W50)</f>
        <v>451.0062</v>
      </c>
      <c r="X51">
        <f>+(W51-R51)*0.35</f>
        <v>98.11130437499997</v>
      </c>
      <c r="Z51">
        <f>SUM(Z38:Z50)</f>
        <v>861.3332200000001</v>
      </c>
      <c r="AA51">
        <f>+(Z51-S51)*0.35</f>
        <v>205.88124200000004</v>
      </c>
      <c r="AB51">
        <f>+AA51+X51</f>
        <v>303.992546375</v>
      </c>
      <c r="AC51">
        <f>+(AB51+X51)/2</f>
        <v>201.051925375</v>
      </c>
    </row>
    <row r="52" spans="1:8" ht="13.5" thickTop="1">
      <c r="A52" s="4"/>
      <c r="C52" s="9"/>
      <c r="D52" s="9"/>
      <c r="E52" s="9"/>
      <c r="F52" s="63"/>
      <c r="H52" s="66"/>
    </row>
    <row r="53" spans="1:10" ht="13.5" thickBot="1">
      <c r="A53" s="4">
        <v>20</v>
      </c>
      <c r="C53" s="9" t="s">
        <v>361</v>
      </c>
      <c r="D53" s="9"/>
      <c r="E53" s="9"/>
      <c r="F53" s="52">
        <f>+F51*0.6516</f>
        <v>-340677.1663995</v>
      </c>
      <c r="G53" s="52"/>
      <c r="H53" s="52">
        <f>+ROUND(F53,-3)</f>
        <v>-341000</v>
      </c>
      <c r="J53" s="109">
        <v>0.6516</v>
      </c>
    </row>
    <row r="54" spans="1:29" ht="13.5" thickTop="1">
      <c r="A54" s="4"/>
      <c r="C54" s="9"/>
      <c r="D54" s="9"/>
      <c r="E54" s="9"/>
      <c r="F54" s="9"/>
      <c r="H54" s="66"/>
      <c r="M54" t="s">
        <v>499</v>
      </c>
      <c r="N54">
        <f>+N51+N34+N20</f>
        <v>28458</v>
      </c>
      <c r="R54" t="s">
        <v>498</v>
      </c>
      <c r="S54">
        <f>+S51+S34+S20</f>
        <v>666.5452</v>
      </c>
      <c r="T54" t="s">
        <v>497</v>
      </c>
      <c r="U54">
        <f>+U51+U34+U20</f>
        <v>644.2816583333333</v>
      </c>
      <c r="AA54">
        <f>+AA51+AA34+AA20</f>
        <v>499.52549500000003</v>
      </c>
      <c r="AB54" t="s">
        <v>496</v>
      </c>
      <c r="AC54">
        <f>+AC51+AC34+AC20</f>
        <v>522.8317470833333</v>
      </c>
    </row>
    <row r="55" spans="1:29" ht="13.5" thickBot="1">
      <c r="A55" s="4">
        <v>21</v>
      </c>
      <c r="C55" s="9" t="s">
        <v>523</v>
      </c>
      <c r="D55" s="66"/>
      <c r="E55" s="66"/>
      <c r="F55" s="66"/>
      <c r="G55" s="63"/>
      <c r="H55" s="103">
        <f>-H33+H53</f>
        <v>-761000</v>
      </c>
      <c r="J55" t="s">
        <v>533</v>
      </c>
      <c r="M55" t="s">
        <v>76</v>
      </c>
      <c r="N55">
        <f>+N54*$M$56</f>
        <v>18543.232799999998</v>
      </c>
      <c r="S55">
        <f>+S54*$M$56</f>
        <v>434.32085232</v>
      </c>
      <c r="U55">
        <f>+U54*$M$56</f>
        <v>419.81392857</v>
      </c>
      <c r="AA55">
        <f>+AA54*$M$56</f>
        <v>325.490812542</v>
      </c>
      <c r="AC55">
        <f>+AC54*$M$56</f>
        <v>340.6771663995</v>
      </c>
    </row>
    <row r="56" spans="1:13" ht="13.5" thickTop="1">
      <c r="A56" s="4"/>
      <c r="C56" s="9"/>
      <c r="D56" s="66"/>
      <c r="E56" s="66"/>
      <c r="F56" s="63"/>
      <c r="G56" s="63"/>
      <c r="H56" s="66"/>
      <c r="M56">
        <v>0.6516</v>
      </c>
    </row>
    <row r="57" spans="1:8" ht="12.75">
      <c r="A57" s="4"/>
      <c r="C57" s="9" t="s">
        <v>660</v>
      </c>
      <c r="D57" s="66"/>
      <c r="E57" s="66"/>
      <c r="F57" s="63"/>
      <c r="G57" s="63"/>
      <c r="H57" s="102"/>
    </row>
    <row r="58" spans="1:8" ht="12.75">
      <c r="A58" s="4">
        <v>22</v>
      </c>
      <c r="D58" s="63" t="s">
        <v>88</v>
      </c>
      <c r="E58" s="63"/>
      <c r="F58" s="63">
        <v>217000</v>
      </c>
      <c r="G58" s="63"/>
      <c r="H58" s="63"/>
    </row>
    <row r="59" spans="1:8" ht="13.5" thickBot="1">
      <c r="A59" s="4">
        <v>23</v>
      </c>
      <c r="D59" s="63" t="s">
        <v>524</v>
      </c>
      <c r="E59" s="63"/>
      <c r="F59" s="116">
        <v>-329000</v>
      </c>
      <c r="G59" s="63"/>
      <c r="H59" s="63"/>
    </row>
    <row r="60" spans="1:10" ht="14.25" thickBot="1" thickTop="1">
      <c r="A60" s="4">
        <v>24</v>
      </c>
      <c r="D60" s="63" t="s">
        <v>260</v>
      </c>
      <c r="E60" s="63"/>
      <c r="F60" s="63"/>
      <c r="G60" s="63"/>
      <c r="H60" s="116">
        <f>-F58+F59</f>
        <v>-546000</v>
      </c>
      <c r="J60" t="s">
        <v>534</v>
      </c>
    </row>
    <row r="61" spans="1:8" ht="13.5" thickTop="1">
      <c r="A61" s="4"/>
      <c r="D61" s="63"/>
      <c r="E61" s="63"/>
      <c r="F61" s="63"/>
      <c r="G61" s="63"/>
      <c r="H61" s="63"/>
    </row>
    <row r="62" spans="1:10" ht="13.5" thickBot="1">
      <c r="A62" s="4">
        <v>25</v>
      </c>
      <c r="C62" t="s">
        <v>620</v>
      </c>
      <c r="D62" s="63"/>
      <c r="E62" s="63"/>
      <c r="F62" s="63"/>
      <c r="G62" s="63"/>
      <c r="H62" s="103">
        <f>+H55-H60</f>
        <v>-215000</v>
      </c>
      <c r="J62" t="s">
        <v>535</v>
      </c>
    </row>
    <row r="63" spans="1:8" ht="13.5" thickTop="1">
      <c r="A63" s="4"/>
      <c r="H63" s="63"/>
    </row>
    <row r="64" spans="1:8" ht="12.75">
      <c r="A64" s="4"/>
      <c r="H64" s="63"/>
    </row>
    <row r="65" spans="1:8" ht="12.75">
      <c r="A65" s="4"/>
      <c r="H65" s="63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183" ht="12.75">
      <c r="E183" s="114"/>
    </row>
  </sheetData>
  <mergeCells count="4">
    <mergeCell ref="C6:J6"/>
    <mergeCell ref="C7:J7"/>
    <mergeCell ref="C8:J8"/>
    <mergeCell ref="C10:D10"/>
  </mergeCells>
  <printOptions/>
  <pageMargins left="1.25" right="0.75" top="1" bottom="1" header="0.5" footer="0.5"/>
  <pageSetup fitToHeight="1" fitToWidth="1" horizontalDpi="600" verticalDpi="600" orientation="portrait" scale="81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"/>
  <sheetViews>
    <sheetView workbookViewId="0" topLeftCell="A1">
      <selection activeCell="J4" sqref="J4"/>
    </sheetView>
  </sheetViews>
  <sheetFormatPr defaultColWidth="9.140625" defaultRowHeight="12.75"/>
  <cols>
    <col min="1" max="1" width="5.7109375" style="0" customWidth="1"/>
    <col min="2" max="2" width="2.7109375" style="0" customWidth="1"/>
    <col min="3" max="3" width="12.28125" style="0" customWidth="1"/>
    <col min="4" max="4" width="32.00390625" style="0" customWidth="1"/>
    <col min="5" max="5" width="3.00390625" style="0" customWidth="1"/>
    <col min="6" max="6" width="12.140625" style="0" bestFit="1" customWidth="1"/>
    <col min="7" max="7" width="2.7109375" style="0" customWidth="1"/>
    <col min="8" max="8" width="11.7109375" style="0" bestFit="1" customWidth="1"/>
    <col min="9" max="9" width="1.7109375" style="0" customWidth="1"/>
    <col min="10" max="10" width="18.28125" style="0" customWidth="1"/>
    <col min="11" max="11" width="10.421875" style="0" bestFit="1" customWidth="1"/>
    <col min="12" max="12" width="10.00390625" style="0" bestFit="1" customWidth="1"/>
    <col min="14" max="14" width="27.421875" style="0" bestFit="1" customWidth="1"/>
    <col min="15" max="16" width="12.57421875" style="0" bestFit="1" customWidth="1"/>
  </cols>
  <sheetData>
    <row r="1" spans="1:10" ht="12.75">
      <c r="A1" t="s">
        <v>223</v>
      </c>
      <c r="J1" s="43" t="s">
        <v>663</v>
      </c>
    </row>
    <row r="2" spans="10:24" ht="12.75">
      <c r="J2" s="43" t="s">
        <v>794</v>
      </c>
      <c r="N2" t="s">
        <v>536</v>
      </c>
      <c r="P2">
        <v>374429143</v>
      </c>
      <c r="R2" t="s">
        <v>556</v>
      </c>
      <c r="T2" t="s">
        <v>537</v>
      </c>
      <c r="X2" t="s">
        <v>538</v>
      </c>
    </row>
    <row r="3" spans="10:21" ht="12.75">
      <c r="J3" s="43" t="s">
        <v>775</v>
      </c>
      <c r="N3" t="s">
        <v>539</v>
      </c>
      <c r="P3">
        <v>373714943</v>
      </c>
      <c r="T3">
        <v>-1882</v>
      </c>
      <c r="U3" t="s">
        <v>540</v>
      </c>
    </row>
    <row r="4" spans="14:18" ht="12.75">
      <c r="N4" t="s">
        <v>503</v>
      </c>
      <c r="P4">
        <v>17314000</v>
      </c>
      <c r="R4" t="s">
        <v>564</v>
      </c>
    </row>
    <row r="5" spans="10:21" ht="12.75">
      <c r="J5" s="43" t="s">
        <v>637</v>
      </c>
      <c r="N5" t="s">
        <v>541</v>
      </c>
      <c r="P5">
        <v>17286000</v>
      </c>
      <c r="T5">
        <v>-441</v>
      </c>
      <c r="U5" t="s">
        <v>542</v>
      </c>
    </row>
    <row r="6" spans="14:21" ht="12.75">
      <c r="N6" t="s">
        <v>543</v>
      </c>
      <c r="P6">
        <v>0.021</v>
      </c>
      <c r="T6">
        <v>63</v>
      </c>
      <c r="U6" t="s">
        <v>544</v>
      </c>
    </row>
    <row r="7" spans="14:24" ht="12.75">
      <c r="N7" t="s">
        <v>545</v>
      </c>
      <c r="P7">
        <v>0.04244099999999973</v>
      </c>
      <c r="T7">
        <v>-479</v>
      </c>
      <c r="U7" t="s">
        <v>237</v>
      </c>
      <c r="X7" s="117">
        <v>-28</v>
      </c>
    </row>
    <row r="8" spans="3:21" ht="15.75">
      <c r="C8" s="149" t="s">
        <v>79</v>
      </c>
      <c r="D8" s="149"/>
      <c r="E8" s="149"/>
      <c r="F8" s="149"/>
      <c r="G8" s="149"/>
      <c r="H8" s="149"/>
      <c r="I8" s="149"/>
      <c r="N8" t="s">
        <v>546</v>
      </c>
      <c r="P8">
        <v>1.0424409999999997</v>
      </c>
      <c r="T8">
        <v>-4403</v>
      </c>
      <c r="U8" t="s">
        <v>547</v>
      </c>
    </row>
    <row r="9" spans="3:24" ht="12.75">
      <c r="C9" s="150" t="s">
        <v>81</v>
      </c>
      <c r="D9" s="150"/>
      <c r="E9" s="150"/>
      <c r="F9" s="150"/>
      <c r="G9" s="150"/>
      <c r="H9" s="150"/>
      <c r="I9" s="150"/>
      <c r="T9">
        <v>-7142</v>
      </c>
      <c r="X9">
        <v>-28</v>
      </c>
    </row>
    <row r="10" spans="3:16" ht="12.75">
      <c r="C10" s="150" t="s">
        <v>622</v>
      </c>
      <c r="D10" s="150"/>
      <c r="E10" s="150"/>
      <c r="F10" s="150"/>
      <c r="G10" s="150"/>
      <c r="H10" s="150"/>
      <c r="I10" s="150"/>
      <c r="N10" t="s">
        <v>548</v>
      </c>
      <c r="P10">
        <v>358499850.8308864</v>
      </c>
    </row>
    <row r="11" spans="14:16" ht="12.75">
      <c r="N11" t="s">
        <v>549</v>
      </c>
      <c r="P11">
        <v>16582233.430956768</v>
      </c>
    </row>
    <row r="12" spans="1:18" ht="12.75">
      <c r="A12" s="4" t="s">
        <v>3</v>
      </c>
      <c r="H12" s="4" t="s">
        <v>554</v>
      </c>
      <c r="R12" t="s">
        <v>550</v>
      </c>
    </row>
    <row r="13" spans="1:17" ht="12.75">
      <c r="A13" s="5" t="s">
        <v>4</v>
      </c>
      <c r="C13" s="8" t="s">
        <v>5</v>
      </c>
      <c r="D13" s="8"/>
      <c r="E13" s="8"/>
      <c r="F13" s="5" t="s">
        <v>554</v>
      </c>
      <c r="G13" s="9"/>
      <c r="H13" s="5" t="s">
        <v>621</v>
      </c>
      <c r="I13" s="9"/>
      <c r="J13" s="5" t="s">
        <v>105</v>
      </c>
      <c r="M13" t="s">
        <v>551</v>
      </c>
      <c r="O13">
        <v>-15215092.169113576</v>
      </c>
      <c r="Q13">
        <v>-15215</v>
      </c>
    </row>
    <row r="14" spans="8:17" ht="12.75">
      <c r="H14" s="9"/>
      <c r="I14" s="9"/>
      <c r="M14" t="s">
        <v>552</v>
      </c>
      <c r="O14">
        <v>-703766.5690432321</v>
      </c>
      <c r="Q14">
        <v>-704</v>
      </c>
    </row>
    <row r="15" spans="1:17" ht="12.75">
      <c r="A15" s="4">
        <v>1</v>
      </c>
      <c r="C15" t="s">
        <v>555</v>
      </c>
      <c r="F15" s="63">
        <v>374429143</v>
      </c>
      <c r="J15" s="9" t="s">
        <v>568</v>
      </c>
      <c r="M15" t="s">
        <v>553</v>
      </c>
      <c r="N15">
        <v>0.35</v>
      </c>
      <c r="Q15">
        <v>-246</v>
      </c>
    </row>
    <row r="16" spans="1:6" ht="12.75">
      <c r="A16" s="4"/>
      <c r="C16" t="s">
        <v>557</v>
      </c>
      <c r="F16" s="63"/>
    </row>
    <row r="17" spans="1:6" ht="12.75">
      <c r="A17" s="4">
        <v>2</v>
      </c>
      <c r="C17" t="s">
        <v>558</v>
      </c>
      <c r="F17" s="63">
        <f>+' Colstrip AFUDC RB'!M49</f>
        <v>-441000</v>
      </c>
    </row>
    <row r="18" spans="1:6" ht="12.75">
      <c r="A18" s="4">
        <v>3</v>
      </c>
      <c r="C18" t="s">
        <v>559</v>
      </c>
      <c r="F18" s="63">
        <f>+'Colstrip Common RB'!K25</f>
        <v>63000</v>
      </c>
    </row>
    <row r="19" spans="1:9" ht="12.75">
      <c r="A19" s="4">
        <v>4</v>
      </c>
      <c r="C19" t="s">
        <v>560</v>
      </c>
      <c r="F19" s="63">
        <f>+'Kettle Falls RB'!H51</f>
        <v>-479000</v>
      </c>
      <c r="H19" s="2"/>
      <c r="I19" s="2"/>
    </row>
    <row r="20" spans="1:6" ht="12.75">
      <c r="A20" s="4">
        <v>5</v>
      </c>
      <c r="C20" t="s">
        <v>561</v>
      </c>
      <c r="F20" s="63">
        <f>+Coyote!H57</f>
        <v>-1882000</v>
      </c>
    </row>
    <row r="21" spans="1:9" ht="12.75">
      <c r="A21" s="4">
        <v>6</v>
      </c>
      <c r="C21" t="s">
        <v>547</v>
      </c>
      <c r="F21" s="67">
        <f>+'Boulder Park RB'!H35</f>
        <v>-4403000</v>
      </c>
      <c r="H21" s="53"/>
      <c r="I21" s="53"/>
    </row>
    <row r="22" spans="1:6" ht="12.75">
      <c r="A22" s="4">
        <v>7</v>
      </c>
      <c r="C22" t="s">
        <v>562</v>
      </c>
      <c r="F22" s="63">
        <f>SUM(F17:F21)</f>
        <v>-7142000</v>
      </c>
    </row>
    <row r="23" spans="1:6" ht="12.75">
      <c r="A23" s="4"/>
      <c r="F23" s="63"/>
    </row>
    <row r="24" spans="1:12" ht="13.5" thickBot="1">
      <c r="A24" s="4">
        <v>8</v>
      </c>
      <c r="C24" t="s">
        <v>563</v>
      </c>
      <c r="F24" s="116">
        <f>+F15+F22</f>
        <v>367287143</v>
      </c>
      <c r="H24" s="2"/>
      <c r="I24" s="2"/>
      <c r="L24">
        <v>367287143</v>
      </c>
    </row>
    <row r="25" spans="1:11" ht="13.5" thickTop="1">
      <c r="A25" s="15"/>
      <c r="B25" s="9"/>
      <c r="C25" s="9"/>
      <c r="D25" s="9"/>
      <c r="E25" s="9"/>
      <c r="F25" s="66"/>
      <c r="G25" s="9"/>
      <c r="H25" s="9"/>
      <c r="I25" s="9"/>
      <c r="J25" s="9"/>
      <c r="K25" s="9"/>
    </row>
    <row r="26" spans="1:11" ht="12.75">
      <c r="A26" s="15">
        <v>9</v>
      </c>
      <c r="B26" s="9"/>
      <c r="C26" s="14" t="s">
        <v>603</v>
      </c>
      <c r="D26" s="9"/>
      <c r="E26" s="9"/>
      <c r="F26" s="63">
        <v>17314000</v>
      </c>
      <c r="G26" s="9"/>
      <c r="H26" s="9"/>
      <c r="I26" s="9"/>
      <c r="J26" s="9" t="s">
        <v>567</v>
      </c>
      <c r="K26" s="9"/>
    </row>
    <row r="27" spans="1:11" ht="12.75">
      <c r="A27" s="15">
        <v>10</v>
      </c>
      <c r="B27" s="9"/>
      <c r="C27" s="14" t="s">
        <v>661</v>
      </c>
      <c r="D27" s="9"/>
      <c r="E27" s="9"/>
      <c r="F27" s="67">
        <v>-28000</v>
      </c>
      <c r="G27" s="9"/>
      <c r="H27" s="53"/>
      <c r="I27" s="53"/>
      <c r="J27" s="9"/>
      <c r="K27" s="9"/>
    </row>
    <row r="28" spans="1:11" ht="12.75">
      <c r="A28" s="15"/>
      <c r="B28" s="9"/>
      <c r="C28" s="9"/>
      <c r="D28" s="9"/>
      <c r="E28" s="9"/>
      <c r="F28" s="66"/>
      <c r="G28" s="9"/>
      <c r="H28" s="53"/>
      <c r="I28" s="53"/>
      <c r="J28" s="9"/>
      <c r="K28" s="9"/>
    </row>
    <row r="29" spans="1:11" ht="13.5" thickBot="1">
      <c r="A29" s="15">
        <v>11</v>
      </c>
      <c r="B29" s="9"/>
      <c r="C29" s="14" t="s">
        <v>565</v>
      </c>
      <c r="D29" s="9"/>
      <c r="E29" s="9"/>
      <c r="F29" s="116">
        <f>+F26+F27</f>
        <v>17286000</v>
      </c>
      <c r="G29" s="9"/>
      <c r="H29" s="11"/>
      <c r="I29" s="11"/>
      <c r="J29" s="9"/>
      <c r="K29" s="9"/>
    </row>
    <row r="30" spans="1:11" ht="13.5" thickTop="1">
      <c r="A30" s="9"/>
      <c r="B30" s="9"/>
      <c r="C30" s="9"/>
      <c r="D30" s="9"/>
      <c r="E30" s="9"/>
      <c r="F30" s="66"/>
      <c r="G30" s="9"/>
      <c r="H30" s="53"/>
      <c r="I30" s="53"/>
      <c r="J30" s="9"/>
      <c r="K30" s="9"/>
    </row>
    <row r="31" spans="1:11" ht="12.75">
      <c r="A31" s="15">
        <v>12</v>
      </c>
      <c r="B31" s="9"/>
      <c r="C31" s="14" t="s">
        <v>566</v>
      </c>
      <c r="D31" s="9"/>
      <c r="E31" s="9"/>
      <c r="F31" s="96">
        <v>0.021</v>
      </c>
      <c r="G31" s="9"/>
      <c r="H31" s="9"/>
      <c r="I31" s="9"/>
      <c r="J31" s="9" t="s">
        <v>573</v>
      </c>
      <c r="K31" s="9"/>
    </row>
    <row r="32" spans="1:11" ht="12.75">
      <c r="A32" s="15"/>
      <c r="B32" s="9"/>
      <c r="C32" s="9"/>
      <c r="D32" s="9"/>
      <c r="E32" s="9"/>
      <c r="F32" s="66"/>
      <c r="G32" s="9"/>
      <c r="H32" s="9"/>
      <c r="I32" s="9"/>
      <c r="J32" s="9" t="s">
        <v>574</v>
      </c>
      <c r="K32" s="9"/>
    </row>
    <row r="33" spans="1:11" ht="12.75">
      <c r="A33" s="15">
        <v>13</v>
      </c>
      <c r="B33" s="9"/>
      <c r="C33" s="9" t="s">
        <v>569</v>
      </c>
      <c r="D33" s="9"/>
      <c r="E33" s="9"/>
      <c r="F33" s="118">
        <f>+(1+F31)^2-1</f>
        <v>0.04244099999999973</v>
      </c>
      <c r="G33" s="11"/>
      <c r="H33" s="9"/>
      <c r="I33" s="9"/>
      <c r="J33" s="9" t="s">
        <v>575</v>
      </c>
      <c r="K33" s="9"/>
    </row>
    <row r="34" spans="1:11" ht="12.75">
      <c r="A34" s="9"/>
      <c r="B34" s="9"/>
      <c r="C34" s="9"/>
      <c r="D34" s="9"/>
      <c r="E34" s="9"/>
      <c r="F34" s="101"/>
      <c r="G34" s="11"/>
      <c r="H34" s="9"/>
      <c r="I34" s="9"/>
      <c r="J34" s="9"/>
      <c r="K34" s="9"/>
    </row>
    <row r="35" spans="1:11" ht="12.75">
      <c r="A35" s="15">
        <v>14</v>
      </c>
      <c r="B35" s="9"/>
      <c r="C35" s="9" t="s">
        <v>602</v>
      </c>
      <c r="D35" s="9"/>
      <c r="E35" s="9"/>
      <c r="F35" s="119">
        <f>1+F33</f>
        <v>1.0424409999999997</v>
      </c>
      <c r="G35" s="11"/>
      <c r="H35" s="11"/>
      <c r="I35" s="11"/>
      <c r="J35" s="9"/>
      <c r="K35" s="9"/>
    </row>
    <row r="36" spans="1:11" ht="12.75">
      <c r="A36" s="15"/>
      <c r="B36" s="9"/>
      <c r="C36" s="9"/>
      <c r="D36" s="9"/>
      <c r="E36" s="9"/>
      <c r="F36" s="101"/>
      <c r="G36" s="11"/>
      <c r="H36" s="9"/>
      <c r="I36" s="9"/>
      <c r="J36" s="9"/>
      <c r="K36" s="9"/>
    </row>
    <row r="37" spans="1:11" ht="12.75">
      <c r="A37" s="15">
        <v>15</v>
      </c>
      <c r="B37" s="9"/>
      <c r="C37" s="9" t="s">
        <v>570</v>
      </c>
      <c r="D37" s="9"/>
      <c r="E37" s="9"/>
      <c r="F37" s="66">
        <f>+F24/F35</f>
        <v>352333746.46622694</v>
      </c>
      <c r="G37" s="9"/>
      <c r="H37" s="38"/>
      <c r="I37" s="38"/>
      <c r="J37" s="9" t="s">
        <v>576</v>
      </c>
      <c r="K37" s="9"/>
    </row>
    <row r="38" spans="1:11" ht="12.75">
      <c r="A38" s="15">
        <v>16</v>
      </c>
      <c r="B38" s="9"/>
      <c r="C38" s="14" t="s">
        <v>571</v>
      </c>
      <c r="D38" s="9"/>
      <c r="E38" s="9"/>
      <c r="F38" s="66">
        <f>+F29/F35</f>
        <v>16582233.430956768</v>
      </c>
      <c r="G38" s="9"/>
      <c r="H38" s="9"/>
      <c r="I38" s="9"/>
      <c r="J38" s="9" t="s">
        <v>577</v>
      </c>
      <c r="K38" s="9"/>
    </row>
    <row r="39" spans="1:11" ht="12.75">
      <c r="A39" s="15"/>
      <c r="B39" s="9"/>
      <c r="C39" s="9"/>
      <c r="D39" s="9"/>
      <c r="E39" s="9"/>
      <c r="F39" s="66"/>
      <c r="G39" s="9"/>
      <c r="H39" s="9"/>
      <c r="I39" s="9"/>
      <c r="J39" s="9"/>
      <c r="K39" s="9"/>
    </row>
    <row r="40" spans="1:11" ht="13.5" thickBot="1">
      <c r="A40" s="15">
        <v>17</v>
      </c>
      <c r="B40" s="9"/>
      <c r="C40" s="14" t="s">
        <v>40</v>
      </c>
      <c r="D40" s="9" t="s">
        <v>244</v>
      </c>
      <c r="E40" s="9"/>
      <c r="F40" s="66">
        <f>+F37-F24</f>
        <v>-14953396.533773065</v>
      </c>
      <c r="G40" s="9"/>
      <c r="H40" s="103">
        <f>+ROUND(F40,-3)</f>
        <v>-14953000</v>
      </c>
      <c r="I40" s="9"/>
      <c r="J40" s="9" t="s">
        <v>578</v>
      </c>
      <c r="K40" s="9"/>
    </row>
    <row r="41" ht="13.5" thickTop="1">
      <c r="K41" s="9"/>
    </row>
    <row r="42" spans="1:11" ht="12.75">
      <c r="A42" s="15">
        <v>18</v>
      </c>
      <c r="B42" s="9"/>
      <c r="C42" s="9"/>
      <c r="D42" s="9" t="s">
        <v>195</v>
      </c>
      <c r="E42" s="9"/>
      <c r="F42" s="66">
        <f>+F38-F29</f>
        <v>-703766.5690432321</v>
      </c>
      <c r="G42" s="9"/>
      <c r="H42" s="66">
        <f>+ROUND(F42,-3)</f>
        <v>-704000</v>
      </c>
      <c r="I42" s="9"/>
      <c r="J42" s="14" t="s">
        <v>579</v>
      </c>
      <c r="K42" s="9"/>
    </row>
    <row r="43" spans="1:11" ht="12.75">
      <c r="A43" s="15">
        <v>19</v>
      </c>
      <c r="B43" s="9"/>
      <c r="C43" s="9"/>
      <c r="D43" s="9" t="s">
        <v>403</v>
      </c>
      <c r="E43" s="9"/>
      <c r="F43" s="66"/>
      <c r="G43" s="9"/>
      <c r="H43" s="67">
        <f>-ROUND(H42*0.35,-3)</f>
        <v>246000</v>
      </c>
      <c r="I43" s="9"/>
      <c r="J43" s="14" t="s">
        <v>580</v>
      </c>
      <c r="K43" s="9"/>
    </row>
    <row r="44" spans="1:11" ht="12.75">
      <c r="A44" s="15"/>
      <c r="B44" s="9"/>
      <c r="C44" s="9"/>
      <c r="D44" s="9"/>
      <c r="E44" s="9"/>
      <c r="F44" s="9"/>
      <c r="G44" s="9"/>
      <c r="H44" s="11"/>
      <c r="I44" s="11"/>
      <c r="J44" s="9"/>
      <c r="K44" s="9"/>
    </row>
    <row r="45" spans="1:11" ht="13.5" thickBot="1">
      <c r="A45" s="45">
        <v>20</v>
      </c>
      <c r="B45" s="9"/>
      <c r="C45" s="9"/>
      <c r="D45" s="14" t="s">
        <v>572</v>
      </c>
      <c r="E45" s="9"/>
      <c r="F45" s="66"/>
      <c r="G45" s="9"/>
      <c r="H45" s="103">
        <f>-H42-H43</f>
        <v>458000</v>
      </c>
      <c r="I45" s="9"/>
      <c r="J45" s="14" t="s">
        <v>581</v>
      </c>
      <c r="K45" s="9"/>
    </row>
    <row r="46" ht="13.5" thickTop="1"/>
    <row r="47" spans="8:9" ht="12.75">
      <c r="H47" s="9"/>
      <c r="I47" s="9"/>
    </row>
    <row r="48" spans="8:9" ht="12.75">
      <c r="H48" s="9"/>
      <c r="I48" s="9"/>
    </row>
    <row r="49" spans="8:9" ht="12.75">
      <c r="H49" s="9"/>
      <c r="I49" s="9"/>
    </row>
    <row r="50" spans="8:9" ht="12.75">
      <c r="H50" s="9"/>
      <c r="I50" s="9"/>
    </row>
    <row r="51" spans="8:9" ht="12.75">
      <c r="H51" s="9"/>
      <c r="I51" s="9"/>
    </row>
    <row r="52" spans="8:9" ht="12.75">
      <c r="H52" s="9"/>
      <c r="I52" s="9"/>
    </row>
  </sheetData>
  <mergeCells count="3">
    <mergeCell ref="C8:I8"/>
    <mergeCell ref="C9:I9"/>
    <mergeCell ref="C10:I10"/>
  </mergeCells>
  <printOptions/>
  <pageMargins left="1.25" right="0.75" top="1" bottom="1" header="0.5" footer="0.5"/>
  <pageSetup fitToHeight="1" fitToWidth="1" horizontalDpi="600" verticalDpi="600" orientation="portrait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workbookViewId="0" topLeftCell="A1">
      <selection activeCell="L2" sqref="L2"/>
    </sheetView>
  </sheetViews>
  <sheetFormatPr defaultColWidth="9.140625" defaultRowHeight="12.75"/>
  <cols>
    <col min="1" max="1" width="5.7109375" style="0" customWidth="1"/>
    <col min="2" max="2" width="2.7109375" style="0" customWidth="1"/>
    <col min="3" max="3" width="3.7109375" style="0" customWidth="1"/>
    <col min="4" max="4" width="9.7109375" style="0" bestFit="1" customWidth="1"/>
    <col min="6" max="6" width="8.7109375" style="0" customWidth="1"/>
    <col min="7" max="7" width="2.7109375" style="0" customWidth="1"/>
    <col min="8" max="8" width="11.8515625" style="0" customWidth="1"/>
    <col min="9" max="9" width="1.7109375" style="0" customWidth="1"/>
    <col min="10" max="10" width="13.57421875" style="0" customWidth="1"/>
    <col min="11" max="11" width="1.7109375" style="0" customWidth="1"/>
    <col min="12" max="12" width="10.421875" style="0" bestFit="1" customWidth="1"/>
  </cols>
  <sheetData>
    <row r="1" spans="1:12" ht="12.75">
      <c r="A1" t="s">
        <v>222</v>
      </c>
      <c r="L1" s="43" t="s">
        <v>663</v>
      </c>
    </row>
    <row r="2" ht="12.75">
      <c r="L2" s="43" t="s">
        <v>794</v>
      </c>
    </row>
    <row r="3" ht="12.75">
      <c r="L3" s="43" t="s">
        <v>774</v>
      </c>
    </row>
    <row r="5" ht="12.75">
      <c r="L5" s="43" t="s">
        <v>749</v>
      </c>
    </row>
    <row r="8" spans="3:11" ht="15.75">
      <c r="C8" s="149" t="s">
        <v>79</v>
      </c>
      <c r="D8" s="149"/>
      <c r="E8" s="149"/>
      <c r="F8" s="149"/>
      <c r="G8" s="149"/>
      <c r="H8" s="149"/>
      <c r="I8" s="149"/>
      <c r="J8" s="149"/>
      <c r="K8" s="50"/>
    </row>
    <row r="9" spans="3:11" ht="12.75">
      <c r="C9" s="150" t="s">
        <v>81</v>
      </c>
      <c r="D9" s="150"/>
      <c r="E9" s="150"/>
      <c r="F9" s="150"/>
      <c r="G9" s="150"/>
      <c r="H9" s="150"/>
      <c r="I9" s="150"/>
      <c r="J9" s="150"/>
      <c r="K9" s="51"/>
    </row>
    <row r="10" spans="3:11" ht="12.75">
      <c r="C10" s="150" t="s">
        <v>750</v>
      </c>
      <c r="D10" s="150"/>
      <c r="E10" s="150"/>
      <c r="F10" s="150"/>
      <c r="G10" s="150"/>
      <c r="H10" s="150"/>
      <c r="I10" s="150"/>
      <c r="J10" s="150"/>
      <c r="K10" s="51"/>
    </row>
    <row r="12" spans="1:11" ht="12.75">
      <c r="A12" s="4" t="s">
        <v>3</v>
      </c>
      <c r="H12" s="9"/>
      <c r="J12" s="9"/>
      <c r="K12" s="9"/>
    </row>
    <row r="13" spans="1:12" ht="12.75">
      <c r="A13" s="5" t="s">
        <v>4</v>
      </c>
      <c r="C13" s="8" t="s">
        <v>5</v>
      </c>
      <c r="D13" s="8"/>
      <c r="E13" s="8"/>
      <c r="F13" s="8"/>
      <c r="G13" s="9"/>
      <c r="H13" s="15"/>
      <c r="I13" s="9"/>
      <c r="J13" s="5" t="s">
        <v>0</v>
      </c>
      <c r="K13" s="15"/>
      <c r="L13" s="5" t="s">
        <v>105</v>
      </c>
    </row>
    <row r="14" spans="8:11" ht="12.75">
      <c r="H14" s="9"/>
      <c r="I14" s="9"/>
      <c r="J14" s="9"/>
      <c r="K14" s="9"/>
    </row>
    <row r="15" spans="1:11" ht="12.75">
      <c r="A15" s="4">
        <v>1</v>
      </c>
      <c r="C15" t="s">
        <v>751</v>
      </c>
      <c r="H15" s="9"/>
      <c r="J15" s="9"/>
      <c r="K15" s="9"/>
    </row>
    <row r="16" spans="1:11" ht="12.75">
      <c r="A16" s="4">
        <v>2</v>
      </c>
      <c r="C16" t="s">
        <v>752</v>
      </c>
      <c r="H16" s="9"/>
      <c r="J16" s="9"/>
      <c r="K16" s="9"/>
    </row>
    <row r="17" spans="1:12" ht="12.75">
      <c r="A17" s="4">
        <v>3</v>
      </c>
      <c r="D17" t="s">
        <v>264</v>
      </c>
      <c r="H17" s="9"/>
      <c r="J17" s="1">
        <v>635000</v>
      </c>
      <c r="K17" s="85"/>
      <c r="L17" t="s">
        <v>608</v>
      </c>
    </row>
    <row r="18" spans="1:11" ht="12.75">
      <c r="A18" s="4"/>
      <c r="H18" s="9"/>
      <c r="J18" s="9"/>
      <c r="K18" s="9"/>
    </row>
    <row r="19" spans="1:12" ht="12.75">
      <c r="A19" s="4">
        <v>4</v>
      </c>
      <c r="D19" t="s">
        <v>88</v>
      </c>
      <c r="H19" s="89"/>
      <c r="I19" s="121"/>
      <c r="J19" s="128">
        <v>16000</v>
      </c>
      <c r="K19" s="89"/>
      <c r="L19" t="s">
        <v>608</v>
      </c>
    </row>
    <row r="20" spans="1:11" ht="12.75">
      <c r="A20" s="4"/>
      <c r="H20" s="9"/>
      <c r="J20" s="9"/>
      <c r="K20" s="9"/>
    </row>
    <row r="21" spans="1:12" ht="13.5" thickBot="1">
      <c r="A21" s="4">
        <v>5</v>
      </c>
      <c r="D21" t="s">
        <v>753</v>
      </c>
      <c r="H21" s="87"/>
      <c r="I21" s="87"/>
      <c r="J21" s="7">
        <f>+J17-J19</f>
        <v>619000</v>
      </c>
      <c r="K21" s="9"/>
      <c r="L21" t="s">
        <v>754</v>
      </c>
    </row>
    <row r="22" spans="1:11" ht="13.5" thickTop="1">
      <c r="A22" s="4"/>
      <c r="H22" s="9"/>
      <c r="J22" s="9"/>
      <c r="K22" s="9"/>
    </row>
    <row r="23" spans="1:11" ht="12.75">
      <c r="A23" s="4"/>
      <c r="H23" s="9"/>
      <c r="J23" s="9"/>
      <c r="K23" s="9"/>
    </row>
    <row r="24" spans="1:11" ht="12.75">
      <c r="A24" s="4"/>
      <c r="H24" s="89"/>
      <c r="I24" s="121"/>
      <c r="J24" s="89"/>
      <c r="K24" s="89"/>
    </row>
    <row r="25" spans="1:13" ht="12.75">
      <c r="A25" s="1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2.75">
      <c r="A26" s="15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2.75">
      <c r="A27" s="15"/>
      <c r="B27" s="9"/>
      <c r="C27" s="9"/>
      <c r="D27" s="9"/>
      <c r="E27" s="9"/>
      <c r="F27" s="9"/>
      <c r="G27" s="9"/>
      <c r="H27" s="87"/>
      <c r="I27" s="87"/>
      <c r="J27" s="9"/>
      <c r="K27" s="9"/>
      <c r="L27" s="9"/>
      <c r="M27" s="9"/>
    </row>
    <row r="28" spans="1:13" ht="12.75">
      <c r="A28" s="15"/>
      <c r="B28" s="9"/>
      <c r="C28" s="9"/>
      <c r="D28" s="9"/>
      <c r="E28" s="9"/>
      <c r="F28" s="9"/>
      <c r="G28" s="9"/>
      <c r="H28" s="87"/>
      <c r="I28" s="87"/>
      <c r="J28" s="9"/>
      <c r="K28" s="9"/>
      <c r="L28" s="9"/>
      <c r="M28" s="9"/>
    </row>
    <row r="29" spans="1:13" ht="12.75">
      <c r="A29" s="15"/>
      <c r="B29" s="9"/>
      <c r="C29" s="9"/>
      <c r="D29" s="9"/>
      <c r="E29" s="9"/>
      <c r="F29" s="9"/>
      <c r="G29" s="9"/>
      <c r="H29" s="85"/>
      <c r="I29" s="85"/>
      <c r="J29" s="9"/>
      <c r="K29" s="9"/>
      <c r="L29" s="9"/>
      <c r="M29" s="9"/>
    </row>
    <row r="30" spans="1:13" ht="12.75">
      <c r="A30" s="9"/>
      <c r="B30" s="9"/>
      <c r="C30" s="9"/>
      <c r="D30" s="9"/>
      <c r="E30" s="9"/>
      <c r="F30" s="9"/>
      <c r="G30" s="9"/>
      <c r="H30" s="87"/>
      <c r="I30" s="87"/>
      <c r="J30" s="9"/>
      <c r="K30" s="9"/>
      <c r="L30" s="9"/>
      <c r="M30" s="9"/>
    </row>
    <row r="31" spans="1:13" ht="12.75">
      <c r="A31" s="15"/>
      <c r="B31" s="9"/>
      <c r="C31" s="9"/>
      <c r="D31" s="9"/>
      <c r="E31" s="9"/>
      <c r="F31" s="9"/>
      <c r="G31" s="9"/>
      <c r="H31" s="9"/>
      <c r="I31" s="9"/>
      <c r="J31" s="85"/>
      <c r="K31" s="85"/>
      <c r="L31" s="9"/>
      <c r="M31" s="9"/>
    </row>
    <row r="32" spans="1:13" ht="12.75">
      <c r="A32" s="15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12.75">
      <c r="A33" s="15"/>
      <c r="B33" s="9"/>
      <c r="C33" s="9"/>
      <c r="D33" s="9"/>
      <c r="E33" s="9"/>
      <c r="F33" s="85"/>
      <c r="G33" s="85"/>
      <c r="H33" s="9"/>
      <c r="I33" s="9"/>
      <c r="J33" s="85"/>
      <c r="K33" s="85"/>
      <c r="L33" s="9"/>
      <c r="M33" s="9"/>
    </row>
    <row r="34" spans="1:13" ht="12.75">
      <c r="A34" s="9"/>
      <c r="B34" s="9"/>
      <c r="C34" s="9"/>
      <c r="D34" s="9"/>
      <c r="E34" s="9"/>
      <c r="F34" s="85"/>
      <c r="G34" s="85"/>
      <c r="H34" s="9"/>
      <c r="I34" s="9"/>
      <c r="J34" s="85"/>
      <c r="K34" s="85"/>
      <c r="L34" s="9"/>
      <c r="M34" s="9"/>
    </row>
    <row r="35" spans="1:13" ht="12.75">
      <c r="A35" s="15"/>
      <c r="B35" s="9"/>
      <c r="C35" s="9"/>
      <c r="D35" s="9"/>
      <c r="E35" s="9"/>
      <c r="F35" s="85"/>
      <c r="G35" s="85"/>
      <c r="H35" s="85"/>
      <c r="I35" s="85"/>
      <c r="J35" s="85"/>
      <c r="K35" s="85"/>
      <c r="L35" s="9"/>
      <c r="M35" s="9"/>
    </row>
    <row r="36" spans="1:13" ht="12.75">
      <c r="A36" s="15"/>
      <c r="B36" s="9"/>
      <c r="C36" s="9"/>
      <c r="D36" s="9"/>
      <c r="E36" s="9"/>
      <c r="F36" s="85"/>
      <c r="G36" s="85"/>
      <c r="H36" s="9"/>
      <c r="I36" s="9"/>
      <c r="J36" s="85"/>
      <c r="K36" s="85"/>
      <c r="L36" s="9"/>
      <c r="M36" s="9"/>
    </row>
    <row r="37" spans="1:13" ht="12.75">
      <c r="A37" s="15"/>
      <c r="B37" s="9"/>
      <c r="C37" s="9"/>
      <c r="D37" s="9"/>
      <c r="E37" s="9"/>
      <c r="F37" s="9"/>
      <c r="G37" s="9"/>
      <c r="H37" s="38"/>
      <c r="I37" s="38"/>
      <c r="J37" s="9"/>
      <c r="K37" s="9"/>
      <c r="L37" s="9"/>
      <c r="M37" s="9"/>
    </row>
    <row r="38" spans="1:13" ht="12.75">
      <c r="A38" s="15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12.75">
      <c r="A39" s="15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12.75">
      <c r="A40" s="15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12.75">
      <c r="A41" s="15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2.75">
      <c r="A42" s="15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12.75">
      <c r="A43" s="15"/>
      <c r="B43" s="9"/>
      <c r="C43" s="9"/>
      <c r="D43" s="9"/>
      <c r="E43" s="9"/>
      <c r="F43" s="9"/>
      <c r="G43" s="9"/>
      <c r="H43" s="85"/>
      <c r="I43" s="85"/>
      <c r="J43" s="9"/>
      <c r="K43" s="9"/>
      <c r="L43" s="9"/>
      <c r="M43" s="9"/>
    </row>
    <row r="44" spans="1:13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7" spans="8:9" ht="12.75">
      <c r="H47" s="9"/>
      <c r="I47" s="9"/>
    </row>
    <row r="48" spans="8:9" ht="12.75">
      <c r="H48" s="9"/>
      <c r="I48" s="9"/>
    </row>
    <row r="49" spans="8:9" ht="12.75">
      <c r="H49" s="9"/>
      <c r="I49" s="9"/>
    </row>
    <row r="50" spans="8:9" ht="12.75">
      <c r="H50" s="9"/>
      <c r="I50" s="9"/>
    </row>
    <row r="51" spans="8:9" ht="12.75">
      <c r="H51" s="9"/>
      <c r="I51" s="9"/>
    </row>
    <row r="52" spans="8:9" ht="12.75">
      <c r="H52" s="9"/>
      <c r="I52" s="9"/>
    </row>
  </sheetData>
  <mergeCells count="3">
    <mergeCell ref="C8:J8"/>
    <mergeCell ref="C9:J9"/>
    <mergeCell ref="C10:J10"/>
  </mergeCells>
  <printOptions/>
  <pageMargins left="1.5" right="0.75" top="1" bottom="1" header="0.5" footer="0.5"/>
  <pageSetup fitToHeight="1" fitToWidth="1" horizontalDpi="600" verticalDpi="600" orientation="portrait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74"/>
  <sheetViews>
    <sheetView workbookViewId="0" topLeftCell="B21">
      <selection activeCell="K51" sqref="K51"/>
    </sheetView>
  </sheetViews>
  <sheetFormatPr defaultColWidth="9.140625" defaultRowHeight="12.75"/>
  <cols>
    <col min="1" max="1" width="5.7109375" style="0" customWidth="1"/>
    <col min="2" max="2" width="2.7109375" style="0" customWidth="1"/>
    <col min="3" max="3" width="25.140625" style="0" bestFit="1" customWidth="1"/>
    <col min="4" max="4" width="2.7109375" style="0" customWidth="1"/>
    <col min="5" max="5" width="12.28125" style="0" customWidth="1"/>
    <col min="6" max="6" width="2.7109375" style="0" customWidth="1"/>
    <col min="7" max="7" width="9.421875" style="0" customWidth="1"/>
    <col min="8" max="8" width="1.7109375" style="0" customWidth="1"/>
    <col min="9" max="9" width="9.421875" style="0" customWidth="1"/>
    <col min="10" max="10" width="1.7109375" style="0" customWidth="1"/>
    <col min="11" max="11" width="12.8515625" style="0" customWidth="1"/>
    <col min="12" max="12" width="1.7109375" style="0" customWidth="1"/>
    <col min="13" max="13" width="10.8515625" style="0" customWidth="1"/>
    <col min="14" max="14" width="1.7109375" style="0" customWidth="1"/>
    <col min="15" max="15" width="9.421875" style="0" customWidth="1"/>
    <col min="16" max="16" width="1.7109375" style="0" customWidth="1"/>
    <col min="17" max="17" width="9.421875" style="0" customWidth="1"/>
    <col min="18" max="18" width="1.7109375" style="0" customWidth="1"/>
    <col min="19" max="19" width="13.8515625" style="0" customWidth="1"/>
  </cols>
  <sheetData>
    <row r="2" ht="12.75">
      <c r="S2" s="43" t="s">
        <v>663</v>
      </c>
    </row>
    <row r="3" ht="12.75">
      <c r="S3" s="43" t="s">
        <v>794</v>
      </c>
    </row>
    <row r="4" ht="12.75">
      <c r="S4" s="43" t="s">
        <v>773</v>
      </c>
    </row>
    <row r="5" spans="1:19" ht="15.75">
      <c r="A5" t="s">
        <v>222</v>
      </c>
      <c r="E5" s="149" t="s">
        <v>79</v>
      </c>
      <c r="F5" s="149"/>
      <c r="G5" s="149"/>
      <c r="H5" s="149"/>
      <c r="I5" s="149"/>
      <c r="J5" s="149"/>
      <c r="K5" s="149"/>
      <c r="L5" s="149"/>
      <c r="M5" s="149"/>
      <c r="S5" s="43"/>
    </row>
    <row r="6" spans="5:19" ht="12.75">
      <c r="E6" s="147" t="s">
        <v>137</v>
      </c>
      <c r="F6" s="147"/>
      <c r="G6" s="147"/>
      <c r="H6" s="147"/>
      <c r="I6" s="147"/>
      <c r="J6" s="147"/>
      <c r="K6" s="147"/>
      <c r="L6" s="147"/>
      <c r="M6" s="147"/>
      <c r="S6" s="43" t="s">
        <v>250</v>
      </c>
    </row>
    <row r="7" spans="5:19" ht="12.75">
      <c r="E7" s="147" t="s">
        <v>138</v>
      </c>
      <c r="F7" s="147"/>
      <c r="G7" s="147"/>
      <c r="H7" s="147"/>
      <c r="I7" s="147"/>
      <c r="J7" s="147"/>
      <c r="K7" s="147"/>
      <c r="L7" s="147"/>
      <c r="M7" s="147"/>
      <c r="S7" s="43" t="s">
        <v>786</v>
      </c>
    </row>
    <row r="8" spans="5:19" ht="12.75">
      <c r="E8" s="4"/>
      <c r="F8" s="4"/>
      <c r="G8" s="4"/>
      <c r="H8" s="4"/>
      <c r="I8" s="51" t="s">
        <v>798</v>
      </c>
      <c r="J8" s="4"/>
      <c r="K8" s="4"/>
      <c r="L8" s="4"/>
      <c r="M8" s="4"/>
      <c r="S8" s="43"/>
    </row>
    <row r="10" spans="1:19" ht="12.75">
      <c r="A10" s="4"/>
      <c r="E10" s="4" t="s">
        <v>76</v>
      </c>
      <c r="G10" s="4" t="s">
        <v>53</v>
      </c>
      <c r="I10" s="4" t="s">
        <v>215</v>
      </c>
      <c r="J10" s="4"/>
      <c r="M10" s="4" t="s">
        <v>224</v>
      </c>
      <c r="Q10" s="4" t="s">
        <v>213</v>
      </c>
      <c r="S10" s="4"/>
    </row>
    <row r="11" spans="1:19" ht="12.75">
      <c r="A11" s="4"/>
      <c r="E11" s="4" t="s">
        <v>75</v>
      </c>
      <c r="G11" s="4" t="s">
        <v>66</v>
      </c>
      <c r="H11" s="4"/>
      <c r="I11" s="4" t="s">
        <v>216</v>
      </c>
      <c r="J11" s="4"/>
      <c r="K11" s="4" t="s">
        <v>17</v>
      </c>
      <c r="L11" s="4"/>
      <c r="M11" s="4" t="s">
        <v>225</v>
      </c>
      <c r="N11" s="4"/>
      <c r="O11" s="4" t="s">
        <v>85</v>
      </c>
      <c r="P11" s="4"/>
      <c r="Q11" s="4" t="s">
        <v>214</v>
      </c>
      <c r="S11" s="4"/>
    </row>
    <row r="12" spans="1:19" ht="12.75">
      <c r="A12" s="4" t="s">
        <v>3</v>
      </c>
      <c r="E12" s="4" t="s">
        <v>19</v>
      </c>
      <c r="G12" s="4" t="s">
        <v>17</v>
      </c>
      <c r="H12" s="4"/>
      <c r="I12" s="4" t="s">
        <v>2</v>
      </c>
      <c r="J12" s="4"/>
      <c r="K12" s="4" t="s">
        <v>52</v>
      </c>
      <c r="L12" s="4"/>
      <c r="M12" s="4" t="s">
        <v>226</v>
      </c>
      <c r="N12" s="4"/>
      <c r="O12" s="4" t="s">
        <v>220</v>
      </c>
      <c r="P12" s="4"/>
      <c r="Q12" s="4" t="s">
        <v>67</v>
      </c>
      <c r="S12" s="4" t="s">
        <v>218</v>
      </c>
    </row>
    <row r="13" spans="1:19" ht="12.75">
      <c r="A13" s="5" t="s">
        <v>4</v>
      </c>
      <c r="C13" s="5" t="s">
        <v>5</v>
      </c>
      <c r="E13" s="5" t="s">
        <v>20</v>
      </c>
      <c r="G13" s="5" t="s">
        <v>68</v>
      </c>
      <c r="H13" s="4"/>
      <c r="I13" s="5" t="s">
        <v>69</v>
      </c>
      <c r="J13" s="15"/>
      <c r="K13" s="5" t="s">
        <v>70</v>
      </c>
      <c r="L13" s="4"/>
      <c r="M13" s="5" t="s">
        <v>221</v>
      </c>
      <c r="N13" s="4"/>
      <c r="O13" s="5" t="s">
        <v>227</v>
      </c>
      <c r="P13" s="4"/>
      <c r="Q13" s="5" t="s">
        <v>228</v>
      </c>
      <c r="S13" s="5" t="s">
        <v>219</v>
      </c>
    </row>
    <row r="14" spans="1:19" ht="12.75">
      <c r="A14" s="4"/>
      <c r="C14" s="4" t="s">
        <v>56</v>
      </c>
      <c r="E14" s="15" t="s">
        <v>57</v>
      </c>
      <c r="G14" s="4" t="s">
        <v>58</v>
      </c>
      <c r="H14" s="4"/>
      <c r="I14" s="4" t="s">
        <v>59</v>
      </c>
      <c r="J14" s="4"/>
      <c r="K14" s="4" t="s">
        <v>60</v>
      </c>
      <c r="L14" s="4"/>
      <c r="M14" s="4" t="s">
        <v>61</v>
      </c>
      <c r="N14" s="4"/>
      <c r="O14" s="15" t="s">
        <v>62</v>
      </c>
      <c r="Q14" s="15" t="s">
        <v>71</v>
      </c>
      <c r="S14" s="45" t="s">
        <v>212</v>
      </c>
    </row>
    <row r="15" spans="1:19" ht="7.5" customHeight="1">
      <c r="A15" s="4"/>
      <c r="E15" s="15"/>
      <c r="G15" s="4"/>
      <c r="H15" s="4"/>
      <c r="I15" s="4"/>
      <c r="J15" s="4"/>
      <c r="K15" s="4"/>
      <c r="L15" s="4"/>
      <c r="M15" s="4"/>
      <c r="N15" s="4"/>
      <c r="O15" s="4"/>
      <c r="P15" s="4"/>
      <c r="Q15" s="15"/>
      <c r="S15" s="15"/>
    </row>
    <row r="16" spans="1:21" ht="12.75">
      <c r="A16" s="4">
        <v>1</v>
      </c>
      <c r="C16" t="s">
        <v>8</v>
      </c>
      <c r="E16" s="9"/>
      <c r="F16" s="9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9"/>
      <c r="S16" s="9"/>
      <c r="T16" s="9"/>
      <c r="U16" s="9"/>
    </row>
    <row r="17" spans="1:21" ht="12.75">
      <c r="A17" s="4">
        <v>2</v>
      </c>
      <c r="C17" t="s">
        <v>9</v>
      </c>
      <c r="E17" s="11">
        <v>285399</v>
      </c>
      <c r="F17" s="9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9"/>
      <c r="S17" s="38">
        <f>SUM(E17:R17)</f>
        <v>285399</v>
      </c>
      <c r="T17" s="9"/>
      <c r="U17" s="9"/>
    </row>
    <row r="18" spans="1:21" ht="12.75">
      <c r="A18" s="4">
        <v>3</v>
      </c>
      <c r="C18" t="s">
        <v>10</v>
      </c>
      <c r="E18" s="11">
        <v>752</v>
      </c>
      <c r="F18" s="9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9"/>
      <c r="S18" s="38">
        <f>SUM(E18:R18)</f>
        <v>752</v>
      </c>
      <c r="T18" s="9"/>
      <c r="U18" s="9"/>
    </row>
    <row r="19" spans="1:21" ht="12.75">
      <c r="A19" s="4">
        <v>4</v>
      </c>
      <c r="C19" t="s">
        <v>139</v>
      </c>
      <c r="E19" s="11">
        <v>40460</v>
      </c>
      <c r="F19" s="9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9"/>
      <c r="S19" s="38">
        <f>SUM(E19:R19)</f>
        <v>40460</v>
      </c>
      <c r="T19" s="9"/>
      <c r="U19" s="9"/>
    </row>
    <row r="20" spans="1:21" ht="12.75">
      <c r="A20" s="4">
        <v>5</v>
      </c>
      <c r="C20" t="s">
        <v>11</v>
      </c>
      <c r="E20" s="3">
        <v>8587</v>
      </c>
      <c r="F20" s="9"/>
      <c r="G20" s="3"/>
      <c r="H20" s="11"/>
      <c r="I20" s="3"/>
      <c r="J20" s="11"/>
      <c r="K20" s="3"/>
      <c r="L20" s="11"/>
      <c r="M20" s="3"/>
      <c r="N20" s="11"/>
      <c r="O20" s="3"/>
      <c r="P20" s="11"/>
      <c r="Q20" s="3"/>
      <c r="R20" s="9"/>
      <c r="S20" s="39">
        <f>SUM(E20:R20)</f>
        <v>8587</v>
      </c>
      <c r="T20" s="9"/>
      <c r="U20" s="9"/>
    </row>
    <row r="21" spans="1:21" ht="12.75">
      <c r="A21" s="4">
        <v>6</v>
      </c>
      <c r="C21" t="s">
        <v>12</v>
      </c>
      <c r="E21" s="11">
        <f>SUM(E17:E20)</f>
        <v>335198</v>
      </c>
      <c r="F21" s="9"/>
      <c r="G21" s="11">
        <f aca="true" t="shared" si="0" ref="G21:S21">SUM(G17:G20)</f>
        <v>0</v>
      </c>
      <c r="H21" s="11"/>
      <c r="I21" s="11">
        <f t="shared" si="0"/>
        <v>0</v>
      </c>
      <c r="J21" s="11"/>
      <c r="K21" s="11">
        <f t="shared" si="0"/>
        <v>0</v>
      </c>
      <c r="L21" s="11"/>
      <c r="M21" s="11">
        <f t="shared" si="0"/>
        <v>0</v>
      </c>
      <c r="N21" s="11"/>
      <c r="O21" s="11">
        <f t="shared" si="0"/>
        <v>0</v>
      </c>
      <c r="P21" s="11"/>
      <c r="Q21" s="11">
        <f t="shared" si="0"/>
        <v>0</v>
      </c>
      <c r="R21" s="11"/>
      <c r="S21" s="11">
        <f t="shared" si="0"/>
        <v>335198</v>
      </c>
      <c r="T21" s="9"/>
      <c r="U21" s="9"/>
    </row>
    <row r="22" spans="1:21" ht="7.5" customHeight="1">
      <c r="A22" s="4"/>
      <c r="E22" s="11"/>
      <c r="F22" s="9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9"/>
      <c r="S22" s="38"/>
      <c r="T22" s="9"/>
      <c r="U22" s="9"/>
    </row>
    <row r="23" spans="1:21" ht="12.75">
      <c r="A23" s="4">
        <v>7</v>
      </c>
      <c r="C23" t="s">
        <v>13</v>
      </c>
      <c r="E23" s="11"/>
      <c r="F23" s="9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9"/>
      <c r="S23" s="38"/>
      <c r="T23" s="9"/>
      <c r="U23" s="9"/>
    </row>
    <row r="24" spans="1:21" ht="12.75">
      <c r="A24" s="4">
        <v>8</v>
      </c>
      <c r="C24" t="s">
        <v>140</v>
      </c>
      <c r="E24" s="11">
        <v>101844</v>
      </c>
      <c r="F24" s="9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9"/>
      <c r="S24" s="38">
        <f>SUM(E24:R24)</f>
        <v>101844</v>
      </c>
      <c r="T24" s="9"/>
      <c r="U24" s="9"/>
    </row>
    <row r="25" spans="1:21" ht="12.75">
      <c r="A25" s="4">
        <v>9</v>
      </c>
      <c r="C25" t="s">
        <v>141</v>
      </c>
      <c r="E25" s="11">
        <v>51042</v>
      </c>
      <c r="F25" s="9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9"/>
      <c r="S25" s="38">
        <f>SUM(E25:R25)</f>
        <v>51042</v>
      </c>
      <c r="T25" s="9"/>
      <c r="U25" s="9"/>
    </row>
    <row r="26" spans="1:21" ht="12.75">
      <c r="A26" s="4">
        <v>10</v>
      </c>
      <c r="C26" t="s">
        <v>142</v>
      </c>
      <c r="E26" s="11">
        <v>23604</v>
      </c>
      <c r="F26" s="9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9"/>
      <c r="S26" s="38">
        <f>SUM(E26:R26)</f>
        <v>23604</v>
      </c>
      <c r="T26" s="9"/>
      <c r="U26" s="9"/>
    </row>
    <row r="27" spans="1:21" ht="12.75">
      <c r="A27" s="4">
        <v>11</v>
      </c>
      <c r="C27" t="s">
        <v>143</v>
      </c>
      <c r="E27" s="3">
        <v>7554</v>
      </c>
      <c r="F27" s="9"/>
      <c r="G27" s="3"/>
      <c r="H27" s="11"/>
      <c r="I27" s="3"/>
      <c r="J27" s="11"/>
      <c r="K27" s="3"/>
      <c r="L27" s="11"/>
      <c r="M27" s="3"/>
      <c r="N27" s="11"/>
      <c r="O27" s="3"/>
      <c r="P27" s="11"/>
      <c r="Q27" s="3"/>
      <c r="R27" s="9"/>
      <c r="S27" s="39">
        <f>SUM(E27:R27)</f>
        <v>7554</v>
      </c>
      <c r="T27" s="9"/>
      <c r="U27" s="9"/>
    </row>
    <row r="28" spans="1:21" ht="12.75">
      <c r="A28" s="4">
        <v>12</v>
      </c>
      <c r="C28" t="s">
        <v>144</v>
      </c>
      <c r="E28" s="11">
        <f>SUM(E24:E27)</f>
        <v>184044</v>
      </c>
      <c r="F28" s="9"/>
      <c r="G28" s="11">
        <f aca="true" t="shared" si="1" ref="G28:S28">SUM(G24:G27)</f>
        <v>0</v>
      </c>
      <c r="H28" s="11"/>
      <c r="I28" s="11"/>
      <c r="J28" s="11"/>
      <c r="K28" s="11">
        <f t="shared" si="1"/>
        <v>0</v>
      </c>
      <c r="L28" s="11"/>
      <c r="M28" s="11">
        <f t="shared" si="1"/>
        <v>0</v>
      </c>
      <c r="N28" s="11"/>
      <c r="O28" s="11">
        <f t="shared" si="1"/>
        <v>0</v>
      </c>
      <c r="P28" s="11"/>
      <c r="Q28" s="11">
        <f t="shared" si="1"/>
        <v>0</v>
      </c>
      <c r="R28" s="11"/>
      <c r="S28" s="11">
        <f t="shared" si="1"/>
        <v>184044</v>
      </c>
      <c r="T28" s="9"/>
      <c r="U28" s="9"/>
    </row>
    <row r="29" spans="1:21" ht="7.5" customHeight="1">
      <c r="A29" s="4"/>
      <c r="E29" s="11"/>
      <c r="F29" s="9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9"/>
      <c r="S29" s="38"/>
      <c r="T29" s="9"/>
      <c r="U29" s="9"/>
    </row>
    <row r="30" spans="1:21" ht="12.75">
      <c r="A30" s="4">
        <v>13</v>
      </c>
      <c r="C30" t="s">
        <v>7</v>
      </c>
      <c r="E30" s="11"/>
      <c r="F30" s="9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9"/>
      <c r="S30" s="38"/>
      <c r="T30" s="9"/>
      <c r="U30" s="9"/>
    </row>
    <row r="31" spans="1:21" ht="12.75">
      <c r="A31" s="4">
        <v>14</v>
      </c>
      <c r="C31" t="s">
        <v>141</v>
      </c>
      <c r="E31" s="11">
        <v>13101</v>
      </c>
      <c r="F31" s="9"/>
      <c r="G31" s="11">
        <f>+'Cust Dep Interest'!H20/1000</f>
        <v>25.009028738067503</v>
      </c>
      <c r="H31" s="11"/>
      <c r="I31" s="11"/>
      <c r="J31" s="11"/>
      <c r="K31" s="11"/>
      <c r="L31" s="11"/>
      <c r="M31" s="11"/>
      <c r="N31" s="11"/>
      <c r="O31" s="11"/>
      <c r="P31" s="11"/>
      <c r="Q31" s="11">
        <f>+'Veg Mgt'!H21/1000</f>
        <v>-491.895</v>
      </c>
      <c r="R31" s="9"/>
      <c r="S31" s="38">
        <f>SUM(E31:R31)</f>
        <v>12634.114028738068</v>
      </c>
      <c r="T31" s="9"/>
      <c r="U31" s="9"/>
    </row>
    <row r="32" spans="1:21" ht="12.75">
      <c r="A32" s="4">
        <v>15</v>
      </c>
      <c r="C32" t="s">
        <v>145</v>
      </c>
      <c r="E32" s="11">
        <v>10067</v>
      </c>
      <c r="F32" s="9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9"/>
      <c r="S32" s="38">
        <f>SUM(E32:R32)</f>
        <v>10067</v>
      </c>
      <c r="T32" s="9"/>
      <c r="U32" s="9"/>
    </row>
    <row r="33" spans="1:21" ht="12.75">
      <c r="A33" s="4">
        <v>16</v>
      </c>
      <c r="C33" t="s">
        <v>146</v>
      </c>
      <c r="E33" s="3">
        <v>17401</v>
      </c>
      <c r="F33" s="9"/>
      <c r="G33" s="3"/>
      <c r="H33" s="11"/>
      <c r="I33" s="3"/>
      <c r="J33" s="11"/>
      <c r="K33" s="3"/>
      <c r="L33" s="11"/>
      <c r="M33" s="3"/>
      <c r="N33" s="11"/>
      <c r="O33" s="3"/>
      <c r="P33" s="11"/>
      <c r="Q33" s="3"/>
      <c r="R33" s="9"/>
      <c r="S33" s="39">
        <f>SUM(E33:R33)</f>
        <v>17401</v>
      </c>
      <c r="T33" s="9"/>
      <c r="U33" s="9"/>
    </row>
    <row r="34" spans="1:21" ht="12.75">
      <c r="A34" s="4">
        <v>17</v>
      </c>
      <c r="C34" t="s">
        <v>147</v>
      </c>
      <c r="E34" s="11">
        <f>SUM(E30:E33)</f>
        <v>40569</v>
      </c>
      <c r="F34" s="9"/>
      <c r="G34" s="11">
        <f>SUM(G30:G33)</f>
        <v>25.009028738067503</v>
      </c>
      <c r="H34" s="11"/>
      <c r="I34" s="11">
        <f>SUM(I30:I33)</f>
        <v>0</v>
      </c>
      <c r="J34" s="11"/>
      <c r="K34" s="11">
        <f>SUM(K30:K33)</f>
        <v>0</v>
      </c>
      <c r="L34" s="11"/>
      <c r="M34" s="11">
        <f>SUM(M30:M33)</f>
        <v>0</v>
      </c>
      <c r="N34" s="11"/>
      <c r="O34" s="11">
        <f>SUM(O30:O33)</f>
        <v>0</v>
      </c>
      <c r="P34" s="11"/>
      <c r="Q34" s="11">
        <f>SUM(Q30:Q33)</f>
        <v>-491.895</v>
      </c>
      <c r="R34" s="11"/>
      <c r="S34" s="11">
        <f>SUM(S30:S33)</f>
        <v>40102.11402873807</v>
      </c>
      <c r="T34" s="9"/>
      <c r="U34" s="9"/>
    </row>
    <row r="35" spans="1:21" ht="7.5" customHeight="1">
      <c r="A35" s="4"/>
      <c r="E35" s="11"/>
      <c r="F35" s="9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9"/>
      <c r="S35" s="38"/>
      <c r="T35" s="9"/>
      <c r="U35" s="9"/>
    </row>
    <row r="36" spans="1:21" ht="12.75">
      <c r="A36" s="4">
        <v>18</v>
      </c>
      <c r="C36" t="s">
        <v>14</v>
      </c>
      <c r="E36" s="11">
        <v>7542</v>
      </c>
      <c r="F36" s="9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9"/>
      <c r="S36" s="38">
        <f>SUM(E36:R36)</f>
        <v>7542</v>
      </c>
      <c r="T36" s="9"/>
      <c r="U36" s="9"/>
    </row>
    <row r="37" spans="1:21" ht="12.75">
      <c r="A37" s="4">
        <v>19</v>
      </c>
      <c r="C37" t="s">
        <v>148</v>
      </c>
      <c r="E37" s="11">
        <v>269</v>
      </c>
      <c r="F37" s="9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9"/>
      <c r="S37" s="38">
        <f>SUM(E37:R37)</f>
        <v>269</v>
      </c>
      <c r="T37" s="9"/>
      <c r="U37" s="9"/>
    </row>
    <row r="38" spans="1:21" ht="12.75">
      <c r="A38" s="4">
        <v>20</v>
      </c>
      <c r="C38" t="s">
        <v>149</v>
      </c>
      <c r="E38" s="3">
        <v>709</v>
      </c>
      <c r="F38" s="9"/>
      <c r="G38" s="3"/>
      <c r="H38" s="11"/>
      <c r="I38" s="3"/>
      <c r="J38" s="11"/>
      <c r="K38" s="3"/>
      <c r="L38" s="11"/>
      <c r="M38" s="3"/>
      <c r="N38" s="11"/>
      <c r="O38" s="3"/>
      <c r="P38" s="11"/>
      <c r="Q38" s="3"/>
      <c r="R38" s="9"/>
      <c r="S38" s="39">
        <f>SUM(E38:R38)</f>
        <v>709</v>
      </c>
      <c r="T38" s="9"/>
      <c r="U38" s="9"/>
    </row>
    <row r="39" spans="1:21" ht="12.75">
      <c r="A39" s="4">
        <v>21</v>
      </c>
      <c r="C39" t="s">
        <v>230</v>
      </c>
      <c r="E39" s="11">
        <f>SUM(E35:E38)</f>
        <v>8520</v>
      </c>
      <c r="F39" s="9"/>
      <c r="G39" s="11">
        <f>SUM(G35:G38)</f>
        <v>0</v>
      </c>
      <c r="H39" s="11"/>
      <c r="I39" s="11">
        <f>SUM(I35:I38)</f>
        <v>0</v>
      </c>
      <c r="J39" s="11"/>
      <c r="K39" s="11">
        <f>SUM(K35:K38)</f>
        <v>0</v>
      </c>
      <c r="L39" s="11"/>
      <c r="M39" s="11">
        <f>SUM(M35:M38)</f>
        <v>0</v>
      </c>
      <c r="N39" s="11"/>
      <c r="O39" s="11">
        <f>SUM(O35:O38)</f>
        <v>0</v>
      </c>
      <c r="P39" s="11"/>
      <c r="Q39" s="11">
        <f>SUM(Q35:Q38)</f>
        <v>0</v>
      </c>
      <c r="R39" s="11"/>
      <c r="S39" s="11">
        <f>SUM(S35:S38)</f>
        <v>8520</v>
      </c>
      <c r="T39" s="9"/>
      <c r="U39" s="9"/>
    </row>
    <row r="40" spans="1:21" ht="7.5" customHeight="1">
      <c r="A40" s="4"/>
      <c r="E40" s="11"/>
      <c r="F40" s="9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9"/>
      <c r="S40" s="38"/>
      <c r="T40" s="9"/>
      <c r="U40" s="9"/>
    </row>
    <row r="41" spans="1:21" ht="12.75">
      <c r="A41" s="4">
        <v>22</v>
      </c>
      <c r="C41" t="s">
        <v>141</v>
      </c>
      <c r="E41" s="11">
        <v>32454</v>
      </c>
      <c r="F41" s="9"/>
      <c r="G41" s="11"/>
      <c r="H41" s="11"/>
      <c r="I41" s="11">
        <f>+'CA Sale'!I23/1000</f>
        <v>-521</v>
      </c>
      <c r="J41" s="11"/>
      <c r="K41" s="11"/>
      <c r="L41" s="11"/>
      <c r="M41" s="11"/>
      <c r="N41" s="11"/>
      <c r="O41" s="11"/>
      <c r="P41" s="11"/>
      <c r="Q41" s="11"/>
      <c r="R41" s="9"/>
      <c r="S41" s="38">
        <f>SUM(E41:R41)</f>
        <v>31933</v>
      </c>
      <c r="T41" s="9"/>
      <c r="U41" s="9"/>
    </row>
    <row r="42" spans="1:21" ht="12.75">
      <c r="A42" s="4">
        <v>23</v>
      </c>
      <c r="C42" t="s">
        <v>145</v>
      </c>
      <c r="E42" s="11">
        <v>6085</v>
      </c>
      <c r="F42" s="9"/>
      <c r="G42" s="11"/>
      <c r="H42" s="11"/>
      <c r="I42" s="11">
        <f>+'CA Sale'!I24/1000</f>
        <v>-13</v>
      </c>
      <c r="J42" s="11"/>
      <c r="K42" s="11"/>
      <c r="L42" s="11"/>
      <c r="M42" s="11"/>
      <c r="N42" s="11"/>
      <c r="O42" s="11"/>
      <c r="P42" s="11"/>
      <c r="Q42" s="11"/>
      <c r="R42" s="9"/>
      <c r="S42" s="38">
        <f>SUM(E42:R42)</f>
        <v>6072</v>
      </c>
      <c r="T42" s="9"/>
      <c r="U42" s="9"/>
    </row>
    <row r="43" spans="1:21" ht="12.75">
      <c r="A43" s="4">
        <v>24</v>
      </c>
      <c r="C43" t="s">
        <v>146</v>
      </c>
      <c r="E43" s="3">
        <v>3</v>
      </c>
      <c r="F43" s="9"/>
      <c r="G43" s="3"/>
      <c r="H43" s="11"/>
      <c r="I43" s="3"/>
      <c r="J43" s="11"/>
      <c r="K43" s="3"/>
      <c r="L43" s="11"/>
      <c r="M43" s="3"/>
      <c r="N43" s="11"/>
      <c r="O43" s="3"/>
      <c r="P43" s="11"/>
      <c r="Q43" s="3"/>
      <c r="R43" s="9"/>
      <c r="S43" s="39">
        <f>SUM(E43:R43)</f>
        <v>3</v>
      </c>
      <c r="T43" s="9"/>
      <c r="U43" s="9"/>
    </row>
    <row r="44" spans="1:21" ht="12.75">
      <c r="A44" s="4">
        <v>25</v>
      </c>
      <c r="C44" t="s">
        <v>150</v>
      </c>
      <c r="E44" s="11">
        <f>SUM(E41:E43)</f>
        <v>38542</v>
      </c>
      <c r="F44" s="9"/>
      <c r="G44" s="11">
        <f>SUM(G41:G43)</f>
        <v>0</v>
      </c>
      <c r="H44" s="11"/>
      <c r="I44" s="11">
        <f>SUM(I41:I43)</f>
        <v>-534</v>
      </c>
      <c r="J44" s="11"/>
      <c r="K44" s="11">
        <f>SUM(K41:K43)</f>
        <v>0</v>
      </c>
      <c r="L44" s="11"/>
      <c r="M44" s="11">
        <f>SUM(M41:M43)</f>
        <v>0</v>
      </c>
      <c r="N44" s="11"/>
      <c r="O44" s="11">
        <f>SUM(O41:O43)</f>
        <v>0</v>
      </c>
      <c r="P44" s="11"/>
      <c r="Q44" s="11">
        <f>SUM(Q41:Q43)</f>
        <v>0</v>
      </c>
      <c r="R44" s="11"/>
      <c r="S44" s="11">
        <f>SUM(S41:S43)</f>
        <v>38008</v>
      </c>
      <c r="T44" s="9"/>
      <c r="U44" s="9"/>
    </row>
    <row r="45" spans="1:21" ht="7.5" customHeight="1">
      <c r="A45" s="4"/>
      <c r="E45" s="11"/>
      <c r="F45" s="9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9"/>
      <c r="S45" s="38"/>
      <c r="T45" s="9"/>
      <c r="U45" s="9"/>
    </row>
    <row r="46" spans="1:21" ht="12.75">
      <c r="A46" s="4">
        <v>26</v>
      </c>
      <c r="C46" t="s">
        <v>151</v>
      </c>
      <c r="E46" s="3">
        <f>+E28+E34+E39+E44</f>
        <v>271675</v>
      </c>
      <c r="F46" s="9"/>
      <c r="G46" s="3">
        <f>+G28+G34+G39+G44</f>
        <v>25.009028738067503</v>
      </c>
      <c r="H46" s="11"/>
      <c r="I46" s="3">
        <f>+I28+I34+I39+I44</f>
        <v>-534</v>
      </c>
      <c r="J46" s="11"/>
      <c r="K46" s="3">
        <f>+K28+K34+K39+K44</f>
        <v>0</v>
      </c>
      <c r="L46" s="11"/>
      <c r="M46" s="3">
        <f>+M28+M34+M39+M44</f>
        <v>0</v>
      </c>
      <c r="N46" s="11"/>
      <c r="O46" s="3">
        <f>+O28+O34+O39+O44</f>
        <v>0</v>
      </c>
      <c r="P46" s="11"/>
      <c r="Q46" s="3">
        <f>+Q28+Q34+Q39+Q44</f>
        <v>-491.895</v>
      </c>
      <c r="R46" s="9"/>
      <c r="S46" s="3">
        <f>+S28+S34+S39+S44</f>
        <v>270674.11402873805</v>
      </c>
      <c r="T46" s="9"/>
      <c r="U46" s="9"/>
    </row>
    <row r="47" spans="1:21" ht="7.5" customHeight="1">
      <c r="A47" s="4"/>
      <c r="E47" s="11"/>
      <c r="F47" s="9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9"/>
      <c r="S47" s="11"/>
      <c r="T47" s="9"/>
      <c r="U47" s="9"/>
    </row>
    <row r="48" spans="1:21" ht="12.75">
      <c r="A48" s="4">
        <v>27</v>
      </c>
      <c r="C48" t="s">
        <v>152</v>
      </c>
      <c r="E48" s="38">
        <f>+E21-E46</f>
        <v>63523</v>
      </c>
      <c r="F48" s="9"/>
      <c r="G48" s="38">
        <f>+G21-G46</f>
        <v>-25.009028738067503</v>
      </c>
      <c r="H48" s="11"/>
      <c r="I48" s="38">
        <f>+I21-I46</f>
        <v>534</v>
      </c>
      <c r="J48" s="11"/>
      <c r="K48" s="38">
        <f>+K21-K46</f>
        <v>0</v>
      </c>
      <c r="L48" s="11"/>
      <c r="M48" s="38">
        <f>+M21-M46</f>
        <v>0</v>
      </c>
      <c r="N48" s="11"/>
      <c r="O48" s="38">
        <f>+O21-O46</f>
        <v>0</v>
      </c>
      <c r="P48" s="11"/>
      <c r="Q48" s="38">
        <f>+Q21-Q46</f>
        <v>491.895</v>
      </c>
      <c r="R48" s="9"/>
      <c r="S48" s="38">
        <f>+S21-S46</f>
        <v>64523.885971261945</v>
      </c>
      <c r="T48" s="9"/>
      <c r="U48" s="9"/>
    </row>
    <row r="49" spans="1:21" ht="7.5" customHeight="1">
      <c r="A49" s="4"/>
      <c r="E49" s="53"/>
      <c r="F49" s="9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9"/>
      <c r="S49" s="9"/>
      <c r="T49" s="9"/>
      <c r="U49" s="9"/>
    </row>
    <row r="50" spans="1:21" ht="12.75">
      <c r="A50" s="4">
        <v>28</v>
      </c>
      <c r="C50" t="s">
        <v>153</v>
      </c>
      <c r="E50" s="9"/>
      <c r="F50" s="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9"/>
      <c r="S50" s="9"/>
      <c r="T50" s="9"/>
      <c r="U50" s="9"/>
    </row>
    <row r="51" spans="1:21" ht="12.75">
      <c r="A51" s="4">
        <v>29</v>
      </c>
      <c r="C51" t="s">
        <v>154</v>
      </c>
      <c r="E51" s="9">
        <v>8012</v>
      </c>
      <c r="F51" s="9"/>
      <c r="G51" s="11">
        <f>+'Cust Dep Interest'!H24/1000</f>
        <v>-8.753160058323624</v>
      </c>
      <c r="H51" s="11"/>
      <c r="I51" s="11">
        <f>+'CA Sale'!I32/1000</f>
        <v>186.9</v>
      </c>
      <c r="J51" s="11"/>
      <c r="K51" s="11">
        <f>+'Int Synch'!H34/1000</f>
        <v>-469.04018038962107</v>
      </c>
      <c r="L51" s="11"/>
      <c r="M51" s="11">
        <f>+'Jobs Act'!H19/1000</f>
        <v>-234.576</v>
      </c>
      <c r="N51" s="11"/>
      <c r="O51" s="11">
        <f>+'Prod Tax Cr'!H17/1000</f>
        <v>-992.433</v>
      </c>
      <c r="P51" s="11"/>
      <c r="Q51" s="11">
        <f>+'Veg Mgt'!H26/1000</f>
        <v>172.16325</v>
      </c>
      <c r="R51" s="9"/>
      <c r="S51" s="38">
        <f>SUM(E51:R51)</f>
        <v>6666.260909552055</v>
      </c>
      <c r="T51" s="9"/>
      <c r="U51" s="9"/>
    </row>
    <row r="52" spans="1:21" ht="12.75">
      <c r="A52" s="4">
        <v>30</v>
      </c>
      <c r="C52" t="s">
        <v>155</v>
      </c>
      <c r="E52" s="8">
        <v>827</v>
      </c>
      <c r="F52" s="9"/>
      <c r="G52" s="3"/>
      <c r="H52" s="11"/>
      <c r="I52" s="3"/>
      <c r="J52" s="11"/>
      <c r="K52" s="3"/>
      <c r="L52" s="11"/>
      <c r="M52" s="3"/>
      <c r="N52" s="11"/>
      <c r="O52" s="3"/>
      <c r="P52" s="11"/>
      <c r="Q52" s="3"/>
      <c r="R52" s="9"/>
      <c r="S52" s="39">
        <f>SUM(E52:R52)</f>
        <v>827</v>
      </c>
      <c r="T52" s="9"/>
      <c r="U52" s="9"/>
    </row>
    <row r="53" spans="5:21" ht="7.5" customHeight="1">
      <c r="E53" s="9"/>
      <c r="F53" s="9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9"/>
      <c r="S53" s="9"/>
      <c r="T53" s="9"/>
      <c r="U53" s="9"/>
    </row>
    <row r="54" spans="1:21" ht="13.5" thickBot="1">
      <c r="A54" s="4">
        <v>31</v>
      </c>
      <c r="C54" t="s">
        <v>156</v>
      </c>
      <c r="E54" s="41">
        <f>+E48-E51-E52</f>
        <v>54684</v>
      </c>
      <c r="F54" s="9"/>
      <c r="G54" s="41">
        <f>+G48-G51-G52</f>
        <v>-16.255868679743877</v>
      </c>
      <c r="H54" s="11"/>
      <c r="I54" s="41">
        <f>+I48-I51-I52</f>
        <v>347.1</v>
      </c>
      <c r="J54" s="11"/>
      <c r="K54" s="41">
        <f>+K48-K51-K52</f>
        <v>469.04018038962107</v>
      </c>
      <c r="L54" s="11"/>
      <c r="M54" s="41">
        <f>+M48-M51-M52</f>
        <v>234.576</v>
      </c>
      <c r="N54" s="11"/>
      <c r="O54" s="41">
        <f>+O48-O51-O52</f>
        <v>992.433</v>
      </c>
      <c r="P54" s="11"/>
      <c r="Q54" s="41">
        <f>+Q48-Q51-Q52</f>
        <v>319.73175</v>
      </c>
      <c r="R54" s="9"/>
      <c r="S54" s="41">
        <f>+S48-S51-S52</f>
        <v>57030.62506170989</v>
      </c>
      <c r="T54" s="9"/>
      <c r="U54" s="9"/>
    </row>
    <row r="55" spans="5:21" ht="13.5" thickTop="1">
      <c r="E55" s="9"/>
      <c r="F55" s="9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9"/>
      <c r="S55" s="9"/>
      <c r="T55" s="9"/>
      <c r="U55" s="9"/>
    </row>
    <row r="56" spans="5:21" ht="12.75">
      <c r="E56" s="9"/>
      <c r="F56" s="9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9"/>
      <c r="S56" s="9"/>
      <c r="T56" s="9"/>
      <c r="U56" s="9"/>
    </row>
    <row r="57" spans="5:21" ht="12.75">
      <c r="E57" s="9"/>
      <c r="F57" s="9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9"/>
      <c r="S57" s="9"/>
      <c r="T57" s="9"/>
      <c r="U57" s="9"/>
    </row>
    <row r="58" spans="5:21" ht="12.75">
      <c r="E58" s="9"/>
      <c r="F58" s="9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9"/>
      <c r="S58" s="9"/>
      <c r="T58" s="9"/>
      <c r="U58" s="9"/>
    </row>
    <row r="59" spans="5:21" ht="12.75">
      <c r="E59" s="9"/>
      <c r="F59" s="9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9"/>
      <c r="S59" s="9"/>
      <c r="T59" s="9"/>
      <c r="U59" s="9"/>
    </row>
    <row r="60" spans="5:21" ht="12.75">
      <c r="E60" s="9"/>
      <c r="F60" s="9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9"/>
      <c r="S60" s="9"/>
      <c r="T60" s="9"/>
      <c r="U60" s="9"/>
    </row>
    <row r="61" spans="5:21" ht="12.75">
      <c r="E61" s="9"/>
      <c r="F61" s="9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9"/>
      <c r="S61" s="9"/>
      <c r="T61" s="9"/>
      <c r="U61" s="9"/>
    </row>
    <row r="62" spans="5:21" ht="12.75">
      <c r="E62" s="9"/>
      <c r="F62" s="9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9"/>
      <c r="S62" s="9"/>
      <c r="T62" s="9"/>
      <c r="U62" s="9"/>
    </row>
    <row r="63" spans="5:21" ht="12.75">
      <c r="E63" s="9"/>
      <c r="F63" s="9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9"/>
      <c r="S63" s="9"/>
      <c r="T63" s="9"/>
      <c r="U63" s="9"/>
    </row>
    <row r="64" spans="5:21" ht="12.75">
      <c r="E64" s="9"/>
      <c r="F64" s="9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9"/>
      <c r="S64" s="9"/>
      <c r="T64" s="9"/>
      <c r="U64" s="9"/>
    </row>
    <row r="65" spans="5:21" ht="12.75">
      <c r="E65" s="9"/>
      <c r="F65" s="9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9"/>
      <c r="S65" s="9"/>
      <c r="T65" s="9"/>
      <c r="U65" s="9"/>
    </row>
    <row r="66" spans="5:21" ht="12.75">
      <c r="E66" s="9"/>
      <c r="F66" s="9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9"/>
      <c r="S66" s="9"/>
      <c r="T66" s="9"/>
      <c r="U66" s="9"/>
    </row>
    <row r="67" spans="5:21" ht="12.75">
      <c r="E67" s="9"/>
      <c r="F67" s="9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9"/>
      <c r="S67" s="9"/>
      <c r="T67" s="9"/>
      <c r="U67" s="9"/>
    </row>
    <row r="68" spans="5:21" ht="12.75"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5:21" ht="12.75"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 spans="5:21" ht="12.75"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5:21" ht="12.75"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</row>
    <row r="72" spans="5:21" ht="12.75"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</row>
    <row r="73" spans="5:21" ht="12.75"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5:21" ht="12.75"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</sheetData>
  <mergeCells count="3">
    <mergeCell ref="E5:M5"/>
    <mergeCell ref="E6:M6"/>
    <mergeCell ref="E7:M7"/>
  </mergeCells>
  <printOptions/>
  <pageMargins left="0.75" right="0.75" top="0.91" bottom="0.5" header="0.44" footer="0.5"/>
  <pageSetup fitToHeight="1" fitToWidth="1" horizontalDpi="600" verticalDpi="6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74"/>
  <sheetViews>
    <sheetView workbookViewId="0" topLeftCell="E9">
      <selection activeCell="M25" sqref="M25"/>
    </sheetView>
  </sheetViews>
  <sheetFormatPr defaultColWidth="9.140625" defaultRowHeight="12.75"/>
  <cols>
    <col min="1" max="1" width="5.7109375" style="0" customWidth="1"/>
    <col min="2" max="2" width="2.7109375" style="0" customWidth="1"/>
    <col min="3" max="3" width="25.140625" style="0" bestFit="1" customWidth="1"/>
    <col min="4" max="4" width="2.7109375" style="0" customWidth="1"/>
    <col min="5" max="5" width="12.28125" style="0" customWidth="1"/>
    <col min="6" max="6" width="2.7109375" style="0" customWidth="1"/>
    <col min="7" max="7" width="9.421875" style="0" customWidth="1"/>
    <col min="8" max="8" width="1.7109375" style="0" customWidth="1"/>
    <col min="9" max="9" width="9.421875" style="0" customWidth="1"/>
    <col min="10" max="10" width="1.7109375" style="0" customWidth="1"/>
    <col min="11" max="11" width="12.8515625" style="0" customWidth="1"/>
    <col min="12" max="12" width="1.7109375" style="0" customWidth="1"/>
    <col min="13" max="13" width="10.8515625" style="0" customWidth="1"/>
    <col min="14" max="14" width="1.7109375" style="0" customWidth="1"/>
    <col min="15" max="15" width="9.421875" style="0" customWidth="1"/>
    <col min="16" max="16" width="1.7109375" style="0" customWidth="1"/>
    <col min="17" max="17" width="9.421875" style="0" customWidth="1"/>
    <col min="18" max="18" width="1.7109375" style="0" customWidth="1"/>
    <col min="19" max="19" width="13.8515625" style="0" customWidth="1"/>
  </cols>
  <sheetData>
    <row r="2" ht="12.75">
      <c r="S2" s="43" t="s">
        <v>663</v>
      </c>
    </row>
    <row r="3" ht="12.75">
      <c r="S3" s="43" t="s">
        <v>794</v>
      </c>
    </row>
    <row r="4" ht="12.75">
      <c r="S4" s="43" t="s">
        <v>772</v>
      </c>
    </row>
    <row r="5" spans="1:19" ht="15.75">
      <c r="A5" t="s">
        <v>222</v>
      </c>
      <c r="E5" s="149" t="s">
        <v>79</v>
      </c>
      <c r="F5" s="149"/>
      <c r="G5" s="149"/>
      <c r="H5" s="149"/>
      <c r="I5" s="149"/>
      <c r="J5" s="149"/>
      <c r="K5" s="149"/>
      <c r="L5" s="149"/>
      <c r="M5" s="149"/>
      <c r="S5" s="43"/>
    </row>
    <row r="6" spans="5:19" ht="12.75">
      <c r="E6" s="147" t="s">
        <v>137</v>
      </c>
      <c r="F6" s="147"/>
      <c r="G6" s="147"/>
      <c r="H6" s="147"/>
      <c r="I6" s="147"/>
      <c r="J6" s="147"/>
      <c r="K6" s="147"/>
      <c r="L6" s="147"/>
      <c r="M6" s="147"/>
      <c r="S6" s="43" t="s">
        <v>250</v>
      </c>
    </row>
    <row r="7" spans="5:19" ht="12.75">
      <c r="E7" s="147" t="s">
        <v>138</v>
      </c>
      <c r="F7" s="147"/>
      <c r="G7" s="147"/>
      <c r="H7" s="147"/>
      <c r="I7" s="147"/>
      <c r="J7" s="147"/>
      <c r="K7" s="147"/>
      <c r="L7" s="147"/>
      <c r="M7" s="147"/>
      <c r="S7" s="43" t="s">
        <v>785</v>
      </c>
    </row>
    <row r="8" spans="5:19" ht="12.75">
      <c r="E8" s="4"/>
      <c r="F8" s="4"/>
      <c r="G8" s="4"/>
      <c r="H8" s="4"/>
      <c r="I8" s="51" t="s">
        <v>798</v>
      </c>
      <c r="J8" s="4"/>
      <c r="K8" s="4"/>
      <c r="L8" s="4"/>
      <c r="M8" s="4"/>
      <c r="S8" s="43"/>
    </row>
    <row r="10" spans="1:19" ht="12.75">
      <c r="A10" s="4"/>
      <c r="E10" s="4"/>
      <c r="G10" s="4"/>
      <c r="I10" s="4"/>
      <c r="J10" s="4"/>
      <c r="K10" s="4" t="s">
        <v>240</v>
      </c>
      <c r="M10" s="4"/>
      <c r="O10" s="4" t="s">
        <v>666</v>
      </c>
      <c r="Q10" t="s">
        <v>240</v>
      </c>
      <c r="S10" s="4"/>
    </row>
    <row r="11" spans="1:19" ht="12.75">
      <c r="A11" s="4"/>
      <c r="E11" s="4" t="s">
        <v>229</v>
      </c>
      <c r="G11" s="4" t="s">
        <v>237</v>
      </c>
      <c r="H11" s="4"/>
      <c r="I11" s="4" t="s">
        <v>85</v>
      </c>
      <c r="J11" s="4"/>
      <c r="K11" s="4" t="s">
        <v>241</v>
      </c>
      <c r="L11" s="4"/>
      <c r="M11" s="4" t="s">
        <v>242</v>
      </c>
      <c r="N11" s="4"/>
      <c r="O11" s="4" t="s">
        <v>667</v>
      </c>
      <c r="P11" s="4"/>
      <c r="Q11" s="4" t="s">
        <v>677</v>
      </c>
      <c r="S11" s="4"/>
    </row>
    <row r="12" spans="1:19" ht="12.75">
      <c r="A12" s="4" t="s">
        <v>3</v>
      </c>
      <c r="E12" s="4" t="s">
        <v>218</v>
      </c>
      <c r="G12" s="4" t="s">
        <v>238</v>
      </c>
      <c r="H12" s="4"/>
      <c r="I12" s="4" t="s">
        <v>604</v>
      </c>
      <c r="J12" s="4"/>
      <c r="K12" s="4" t="s">
        <v>662</v>
      </c>
      <c r="L12" s="4"/>
      <c r="M12" s="4" t="s">
        <v>615</v>
      </c>
      <c r="N12" s="4"/>
      <c r="O12" s="4" t="s">
        <v>668</v>
      </c>
      <c r="P12" s="4"/>
      <c r="Q12" s="4" t="s">
        <v>678</v>
      </c>
      <c r="S12" s="4" t="s">
        <v>218</v>
      </c>
    </row>
    <row r="13" spans="1:19" ht="12.75">
      <c r="A13" s="5" t="s">
        <v>4</v>
      </c>
      <c r="C13" s="5" t="s">
        <v>5</v>
      </c>
      <c r="E13" s="5" t="s">
        <v>219</v>
      </c>
      <c r="G13" s="5" t="s">
        <v>73</v>
      </c>
      <c r="H13" s="4"/>
      <c r="I13" s="5" t="s">
        <v>598</v>
      </c>
      <c r="J13" s="15"/>
      <c r="K13" s="5" t="s">
        <v>236</v>
      </c>
      <c r="L13" s="4"/>
      <c r="M13" s="5" t="s">
        <v>643</v>
      </c>
      <c r="N13" s="4"/>
      <c r="O13" s="5" t="s">
        <v>644</v>
      </c>
      <c r="P13" s="4"/>
      <c r="Q13" s="5" t="s">
        <v>645</v>
      </c>
      <c r="S13" s="5" t="s">
        <v>219</v>
      </c>
    </row>
    <row r="14" spans="1:19" ht="12.75">
      <c r="A14" s="4"/>
      <c r="C14" s="4" t="s">
        <v>56</v>
      </c>
      <c r="E14" s="15" t="s">
        <v>57</v>
      </c>
      <c r="G14" s="4" t="s">
        <v>58</v>
      </c>
      <c r="H14" s="4"/>
      <c r="I14" s="4" t="s">
        <v>59</v>
      </c>
      <c r="J14" s="4"/>
      <c r="K14" s="4" t="s">
        <v>60</v>
      </c>
      <c r="L14" s="4"/>
      <c r="M14" s="4" t="s">
        <v>61</v>
      </c>
      <c r="N14" s="4"/>
      <c r="O14" s="15" t="s">
        <v>62</v>
      </c>
      <c r="Q14" s="15" t="s">
        <v>71</v>
      </c>
      <c r="S14" s="45" t="s">
        <v>74</v>
      </c>
    </row>
    <row r="15" spans="1:19" ht="7.5" customHeight="1">
      <c r="A15" s="4"/>
      <c r="E15" s="15"/>
      <c r="G15" s="4"/>
      <c r="H15" s="4"/>
      <c r="I15" s="4"/>
      <c r="J15" s="4"/>
      <c r="K15" s="4"/>
      <c r="L15" s="4"/>
      <c r="M15" s="4"/>
      <c r="N15" s="4"/>
      <c r="O15" s="4"/>
      <c r="P15" s="4"/>
      <c r="Q15" s="15"/>
      <c r="S15" s="15"/>
    </row>
    <row r="16" spans="1:21" ht="12.75">
      <c r="A16" s="4">
        <v>1</v>
      </c>
      <c r="C16" t="s">
        <v>8</v>
      </c>
      <c r="E16" s="9"/>
      <c r="F16" s="9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9"/>
      <c r="S16" s="9"/>
      <c r="T16" s="9"/>
      <c r="U16" s="9"/>
    </row>
    <row r="17" spans="1:21" ht="12.75">
      <c r="A17" s="4">
        <v>2</v>
      </c>
      <c r="C17" t="s">
        <v>9</v>
      </c>
      <c r="E17" s="85">
        <f>+' Inc State 1'!S17</f>
        <v>285399</v>
      </c>
      <c r="F17" s="9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9"/>
      <c r="S17" s="38">
        <f>SUM(E17:R17)</f>
        <v>285399</v>
      </c>
      <c r="T17" s="9"/>
      <c r="U17" s="9"/>
    </row>
    <row r="18" spans="1:21" ht="12.75">
      <c r="A18" s="4">
        <v>3</v>
      </c>
      <c r="C18" t="s">
        <v>10</v>
      </c>
      <c r="E18" s="85">
        <f>+' Inc State 1'!S18</f>
        <v>752</v>
      </c>
      <c r="F18" s="9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9"/>
      <c r="S18" s="38">
        <f>SUM(E18:R18)</f>
        <v>752</v>
      </c>
      <c r="T18" s="9"/>
      <c r="U18" s="9"/>
    </row>
    <row r="19" spans="1:21" ht="12.75">
      <c r="A19" s="4">
        <v>4</v>
      </c>
      <c r="C19" t="s">
        <v>139</v>
      </c>
      <c r="E19" s="85">
        <f>+' Inc State 1'!S19</f>
        <v>40460</v>
      </c>
      <c r="F19" s="9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9"/>
      <c r="S19" s="38">
        <f>SUM(E19:R19)</f>
        <v>40460</v>
      </c>
      <c r="T19" s="9"/>
      <c r="U19" s="9"/>
    </row>
    <row r="20" spans="1:21" ht="12.75">
      <c r="A20" s="4">
        <v>5</v>
      </c>
      <c r="C20" t="s">
        <v>11</v>
      </c>
      <c r="E20" s="86">
        <f>+' Inc State 1'!S20</f>
        <v>8587</v>
      </c>
      <c r="F20" s="9"/>
      <c r="G20" s="86"/>
      <c r="H20" s="85"/>
      <c r="I20" s="86"/>
      <c r="J20" s="85"/>
      <c r="K20" s="86"/>
      <c r="L20" s="85"/>
      <c r="M20" s="86"/>
      <c r="N20" s="85"/>
      <c r="O20" s="86">
        <f>+'Pole Rental Revs'!H25/1000</f>
        <v>165.208</v>
      </c>
      <c r="P20" s="85"/>
      <c r="Q20" s="86"/>
      <c r="R20" s="9"/>
      <c r="S20" s="39">
        <f>SUM(E20:R20)</f>
        <v>8752.208</v>
      </c>
      <c r="T20" s="9"/>
      <c r="U20" s="9"/>
    </row>
    <row r="21" spans="1:21" ht="12.75">
      <c r="A21" s="4">
        <v>6</v>
      </c>
      <c r="C21" t="s">
        <v>12</v>
      </c>
      <c r="E21" s="85">
        <f>SUM(E17:E20)</f>
        <v>335198</v>
      </c>
      <c r="F21" s="9"/>
      <c r="G21" s="85">
        <f>SUM(G17:G20)</f>
        <v>0</v>
      </c>
      <c r="H21" s="85"/>
      <c r="I21" s="85">
        <f>SUM(I17:I20)</f>
        <v>0</v>
      </c>
      <c r="J21" s="85"/>
      <c r="K21" s="85">
        <f>SUM(K17:K20)</f>
        <v>0</v>
      </c>
      <c r="L21" s="85"/>
      <c r="M21" s="85">
        <f>SUM(M17:M20)</f>
        <v>0</v>
      </c>
      <c r="N21" s="85"/>
      <c r="O21" s="85">
        <f>SUM(O17:O20)</f>
        <v>165.208</v>
      </c>
      <c r="P21" s="85"/>
      <c r="Q21" s="85">
        <f>SUM(Q17:Q20)</f>
        <v>0</v>
      </c>
      <c r="R21" s="85"/>
      <c r="S21" s="11">
        <f>SUM(S17:S20)</f>
        <v>335363.208</v>
      </c>
      <c r="T21" s="9"/>
      <c r="U21" s="9"/>
    </row>
    <row r="22" spans="1:21" ht="7.5" customHeight="1">
      <c r="A22" s="4"/>
      <c r="E22" s="85"/>
      <c r="F22" s="9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9"/>
      <c r="S22" s="38"/>
      <c r="T22" s="9"/>
      <c r="U22" s="9"/>
    </row>
    <row r="23" spans="1:21" ht="12.75">
      <c r="A23" s="4">
        <v>7</v>
      </c>
      <c r="C23" t="s">
        <v>13</v>
      </c>
      <c r="E23" s="85"/>
      <c r="F23" s="9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9"/>
      <c r="S23" s="38"/>
      <c r="T23" s="9"/>
      <c r="U23" s="9"/>
    </row>
    <row r="24" spans="1:21" ht="12.75">
      <c r="A24" s="4">
        <v>8</v>
      </c>
      <c r="C24" t="s">
        <v>140</v>
      </c>
      <c r="E24" s="85">
        <f>+' Inc State 1'!S24</f>
        <v>101844</v>
      </c>
      <c r="F24" s="9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9"/>
      <c r="S24" s="38">
        <f>SUM(E24:R24)</f>
        <v>101844</v>
      </c>
      <c r="T24" s="9"/>
      <c r="U24" s="9"/>
    </row>
    <row r="25" spans="1:21" ht="12.75">
      <c r="A25" s="4">
        <v>9</v>
      </c>
      <c r="C25" t="s">
        <v>141</v>
      </c>
      <c r="E25" s="85">
        <f>+' Inc State 1'!S25</f>
        <v>51042</v>
      </c>
      <c r="F25" s="9"/>
      <c r="G25" s="85"/>
      <c r="H25" s="85"/>
      <c r="I25" s="85"/>
      <c r="J25" s="85"/>
      <c r="K25" s="85"/>
      <c r="L25" s="85"/>
      <c r="M25" s="85">
        <f>+'Power Supply Adj'!H23/1000</f>
        <v>-2932</v>
      </c>
      <c r="N25" s="85"/>
      <c r="O25" s="85"/>
      <c r="P25" s="85"/>
      <c r="Q25" s="85"/>
      <c r="R25" s="9"/>
      <c r="S25" s="38">
        <f>SUM(E25:R25)</f>
        <v>48110</v>
      </c>
      <c r="T25" s="9"/>
      <c r="U25" s="9"/>
    </row>
    <row r="26" spans="1:21" ht="12.75">
      <c r="A26" s="4">
        <v>10</v>
      </c>
      <c r="C26" t="s">
        <v>142</v>
      </c>
      <c r="E26" s="85">
        <f>+' Inc State 1'!S26</f>
        <v>23604</v>
      </c>
      <c r="F26" s="9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9"/>
      <c r="S26" s="38">
        <f>SUM(E26:R26)</f>
        <v>23604</v>
      </c>
      <c r="T26" s="9"/>
      <c r="U26" s="9"/>
    </row>
    <row r="27" spans="1:21" ht="12.75">
      <c r="A27" s="4">
        <v>11</v>
      </c>
      <c r="C27" t="s">
        <v>143</v>
      </c>
      <c r="E27" s="86">
        <f>+' Inc State 1'!S27</f>
        <v>7554</v>
      </c>
      <c r="F27" s="9"/>
      <c r="G27" s="86">
        <f>+'Kettle Falls RB'!H21/1000+135</f>
        <v>-28</v>
      </c>
      <c r="H27" s="85"/>
      <c r="I27" s="86">
        <f>+'Production Factor'!H42/1000</f>
        <v>-704</v>
      </c>
      <c r="J27" s="85"/>
      <c r="K27" s="86">
        <f>+'Cancelled Projects'!H31/1000-306</f>
        <v>-153</v>
      </c>
      <c r="L27" s="85"/>
      <c r="M27" s="86"/>
      <c r="N27" s="85"/>
      <c r="O27" s="86"/>
      <c r="P27" s="85"/>
      <c r="Q27" s="86"/>
      <c r="R27" s="9"/>
      <c r="S27" s="39">
        <f>SUM(E27:R27)</f>
        <v>6669</v>
      </c>
      <c r="T27" s="9"/>
      <c r="U27" s="9"/>
    </row>
    <row r="28" spans="1:21" ht="12.75">
      <c r="A28" s="4">
        <v>12</v>
      </c>
      <c r="C28" t="s">
        <v>144</v>
      </c>
      <c r="E28" s="85">
        <f>SUM(E24:E27)</f>
        <v>184044</v>
      </c>
      <c r="F28" s="9"/>
      <c r="G28" s="85">
        <f>SUM(G24:G27)</f>
        <v>-28</v>
      </c>
      <c r="H28" s="85"/>
      <c r="I28" s="85">
        <f>SUM(I24:I27)</f>
        <v>-704</v>
      </c>
      <c r="J28" s="85"/>
      <c r="K28" s="85">
        <f>SUM(K24:K27)</f>
        <v>-153</v>
      </c>
      <c r="L28" s="85"/>
      <c r="M28" s="85">
        <f>SUM(M24:M27)</f>
        <v>-2932</v>
      </c>
      <c r="N28" s="85"/>
      <c r="O28" s="85">
        <f>SUM(O24:O27)</f>
        <v>0</v>
      </c>
      <c r="P28" s="85"/>
      <c r="Q28" s="85">
        <f>SUM(Q24:Q27)</f>
        <v>0</v>
      </c>
      <c r="R28" s="85"/>
      <c r="S28" s="11">
        <f>SUM(S24:S27)</f>
        <v>180227</v>
      </c>
      <c r="T28" s="9"/>
      <c r="U28" s="9"/>
    </row>
    <row r="29" spans="1:21" ht="7.5" customHeight="1">
      <c r="A29" s="4"/>
      <c r="E29" s="85"/>
      <c r="F29" s="9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9"/>
      <c r="S29" s="38"/>
      <c r="T29" s="9"/>
      <c r="U29" s="9"/>
    </row>
    <row r="30" spans="1:21" ht="12.75">
      <c r="A30" s="4">
        <v>13</v>
      </c>
      <c r="C30" t="s">
        <v>7</v>
      </c>
      <c r="E30" s="85"/>
      <c r="F30" s="9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9"/>
      <c r="S30" s="38"/>
      <c r="T30" s="9"/>
      <c r="U30" s="9"/>
    </row>
    <row r="31" spans="1:21" ht="12.75">
      <c r="A31" s="4">
        <v>14</v>
      </c>
      <c r="C31" t="s">
        <v>141</v>
      </c>
      <c r="E31" s="85">
        <f>+' Inc State 1'!S31</f>
        <v>12634.114028738068</v>
      </c>
      <c r="F31" s="9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9"/>
      <c r="S31" s="38">
        <f>SUM(E31:R31)</f>
        <v>12634.114028738068</v>
      </c>
      <c r="T31" s="9"/>
      <c r="U31" s="9"/>
    </row>
    <row r="32" spans="1:21" ht="12.75">
      <c r="A32" s="4">
        <v>15</v>
      </c>
      <c r="C32" t="s">
        <v>145</v>
      </c>
      <c r="E32" s="85">
        <f>+' Inc State 1'!S32</f>
        <v>10067</v>
      </c>
      <c r="F32" s="9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9"/>
      <c r="S32" s="38">
        <f>SUM(E32:R32)</f>
        <v>10067</v>
      </c>
      <c r="T32" s="9"/>
      <c r="U32" s="9"/>
    </row>
    <row r="33" spans="1:21" ht="12.75">
      <c r="A33" s="4">
        <v>16</v>
      </c>
      <c r="C33" t="s">
        <v>146</v>
      </c>
      <c r="E33" s="86">
        <f>+' Inc State 1'!S33</f>
        <v>17401</v>
      </c>
      <c r="F33" s="9"/>
      <c r="G33" s="86"/>
      <c r="H33" s="85"/>
      <c r="I33" s="86"/>
      <c r="J33" s="85"/>
      <c r="K33" s="86"/>
      <c r="L33" s="85"/>
      <c r="M33" s="86"/>
      <c r="N33" s="85"/>
      <c r="O33" s="86"/>
      <c r="P33" s="85"/>
      <c r="Q33" s="86"/>
      <c r="R33" s="9"/>
      <c r="S33" s="39">
        <f>SUM(E33:R33)</f>
        <v>17401</v>
      </c>
      <c r="T33" s="9"/>
      <c r="U33" s="9"/>
    </row>
    <row r="34" spans="1:21" ht="12.75">
      <c r="A34" s="4">
        <v>17</v>
      </c>
      <c r="C34" t="s">
        <v>147</v>
      </c>
      <c r="E34" s="85">
        <f>SUM(E30:E33)</f>
        <v>40102.11402873807</v>
      </c>
      <c r="F34" s="9"/>
      <c r="G34" s="85">
        <f>SUM(G30:G33)</f>
        <v>0</v>
      </c>
      <c r="H34" s="85"/>
      <c r="I34" s="85"/>
      <c r="J34" s="85"/>
      <c r="K34" s="85">
        <f>SUM(K30:K33)</f>
        <v>0</v>
      </c>
      <c r="L34" s="85"/>
      <c r="M34" s="85">
        <f>SUM(M30:M33)</f>
        <v>0</v>
      </c>
      <c r="N34" s="85"/>
      <c r="O34" s="85">
        <f>SUM(O30:O33)</f>
        <v>0</v>
      </c>
      <c r="P34" s="85"/>
      <c r="Q34" s="85">
        <f>SUM(Q30:Q33)</f>
        <v>0</v>
      </c>
      <c r="R34" s="85"/>
      <c r="S34" s="11">
        <f>SUM(S30:S33)</f>
        <v>40102.11402873807</v>
      </c>
      <c r="T34" s="9"/>
      <c r="U34" s="9"/>
    </row>
    <row r="35" spans="1:21" ht="7.5" customHeight="1">
      <c r="A35" s="4"/>
      <c r="E35" s="85"/>
      <c r="F35" s="9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9"/>
      <c r="S35" s="38"/>
      <c r="T35" s="9"/>
      <c r="U35" s="9"/>
    </row>
    <row r="36" spans="1:21" ht="12.75">
      <c r="A36" s="4">
        <v>18</v>
      </c>
      <c r="C36" t="s">
        <v>14</v>
      </c>
      <c r="E36" s="85">
        <f>+' Inc State 1'!S36</f>
        <v>7542</v>
      </c>
      <c r="F36" s="9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9"/>
      <c r="S36" s="38">
        <f>SUM(E36:R36)</f>
        <v>7542</v>
      </c>
      <c r="T36" s="9"/>
      <c r="U36" s="9"/>
    </row>
    <row r="37" spans="1:21" ht="12.75">
      <c r="A37" s="4">
        <v>19</v>
      </c>
      <c r="C37" t="s">
        <v>148</v>
      </c>
      <c r="E37" s="85">
        <f>+' Inc State 1'!S37</f>
        <v>269</v>
      </c>
      <c r="F37" s="9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9"/>
      <c r="S37" s="38">
        <f>SUM(E37:R37)</f>
        <v>269</v>
      </c>
      <c r="T37" s="9"/>
      <c r="U37" s="9"/>
    </row>
    <row r="38" spans="1:21" ht="12.75">
      <c r="A38" s="4">
        <v>20</v>
      </c>
      <c r="C38" t="s">
        <v>149</v>
      </c>
      <c r="E38" s="86">
        <f>+' Inc State 1'!S38</f>
        <v>709</v>
      </c>
      <c r="F38" s="9"/>
      <c r="G38" s="86"/>
      <c r="H38" s="85"/>
      <c r="I38" s="86"/>
      <c r="J38" s="85"/>
      <c r="K38" s="86"/>
      <c r="L38" s="85"/>
      <c r="M38" s="86"/>
      <c r="N38" s="85"/>
      <c r="O38" s="86"/>
      <c r="P38" s="85"/>
      <c r="Q38" s="86"/>
      <c r="R38" s="9"/>
      <c r="S38" s="39">
        <f>SUM(E38:R38)</f>
        <v>709</v>
      </c>
      <c r="T38" s="9"/>
      <c r="U38" s="9"/>
    </row>
    <row r="39" spans="1:21" ht="12.75">
      <c r="A39" s="4">
        <v>21</v>
      </c>
      <c r="C39" t="s">
        <v>230</v>
      </c>
      <c r="E39" s="85">
        <f>SUM(E35:E38)</f>
        <v>8520</v>
      </c>
      <c r="F39" s="9"/>
      <c r="G39" s="85">
        <f>SUM(G35:G38)</f>
        <v>0</v>
      </c>
      <c r="H39" s="85"/>
      <c r="I39" s="85"/>
      <c r="J39" s="85"/>
      <c r="K39" s="85">
        <f>SUM(K35:K38)</f>
        <v>0</v>
      </c>
      <c r="L39" s="85"/>
      <c r="M39" s="85">
        <f>SUM(M35:M38)</f>
        <v>0</v>
      </c>
      <c r="N39" s="85"/>
      <c r="O39" s="85">
        <f>SUM(O35:O38)</f>
        <v>0</v>
      </c>
      <c r="P39" s="85"/>
      <c r="Q39" s="85">
        <f>SUM(Q35:Q38)</f>
        <v>0</v>
      </c>
      <c r="R39" s="85"/>
      <c r="S39" s="11">
        <f>SUM(S35:S38)</f>
        <v>8520</v>
      </c>
      <c r="T39" s="9"/>
      <c r="U39" s="9"/>
    </row>
    <row r="40" spans="1:21" ht="7.5" customHeight="1">
      <c r="A40" s="4"/>
      <c r="E40" s="85"/>
      <c r="F40" s="9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9"/>
      <c r="S40" s="38"/>
      <c r="T40" s="9"/>
      <c r="U40" s="9"/>
    </row>
    <row r="41" spans="1:21" ht="12.75">
      <c r="A41" s="4">
        <v>22</v>
      </c>
      <c r="C41" t="s">
        <v>141</v>
      </c>
      <c r="E41" s="85">
        <f>+' Inc State 1'!S41</f>
        <v>31933</v>
      </c>
      <c r="F41" s="9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9"/>
      <c r="S41" s="38">
        <f>SUM(E41:R41)</f>
        <v>31933</v>
      </c>
      <c r="T41" s="9"/>
      <c r="U41" s="9"/>
    </row>
    <row r="42" spans="1:21" ht="12.75">
      <c r="A42" s="4">
        <v>23</v>
      </c>
      <c r="C42" t="s">
        <v>145</v>
      </c>
      <c r="E42" s="85">
        <f>+' Inc State 1'!S42</f>
        <v>6072</v>
      </c>
      <c r="F42" s="9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>
        <f>-'Gain on Sales'!H23/1000</f>
        <v>-57.167344270439656</v>
      </c>
      <c r="R42" s="9"/>
      <c r="S42" s="38">
        <f>SUM(E42:R42)</f>
        <v>6014.83265572956</v>
      </c>
      <c r="T42" s="9"/>
      <c r="U42" s="9"/>
    </row>
    <row r="43" spans="1:21" ht="12.75">
      <c r="A43" s="4">
        <v>24</v>
      </c>
      <c r="C43" t="s">
        <v>146</v>
      </c>
      <c r="E43" s="86">
        <f>+' Inc State 1'!S43</f>
        <v>3</v>
      </c>
      <c r="F43" s="9"/>
      <c r="G43" s="86"/>
      <c r="H43" s="85"/>
      <c r="I43" s="86"/>
      <c r="J43" s="85"/>
      <c r="K43" s="86"/>
      <c r="L43" s="85"/>
      <c r="M43" s="86"/>
      <c r="N43" s="85"/>
      <c r="O43" s="86"/>
      <c r="P43" s="85"/>
      <c r="Q43" s="86"/>
      <c r="R43" s="9"/>
      <c r="S43" s="39">
        <f>SUM(E43:R43)</f>
        <v>3</v>
      </c>
      <c r="T43" s="9"/>
      <c r="U43" s="9"/>
    </row>
    <row r="44" spans="1:21" ht="12.75">
      <c r="A44" s="4">
        <v>25</v>
      </c>
      <c r="C44" t="s">
        <v>150</v>
      </c>
      <c r="E44" s="85">
        <f>SUM(E41:E43)</f>
        <v>38008</v>
      </c>
      <c r="F44" s="9"/>
      <c r="G44" s="85">
        <f>SUM(G41:G43)</f>
        <v>0</v>
      </c>
      <c r="H44" s="85"/>
      <c r="I44" s="85"/>
      <c r="J44" s="85"/>
      <c r="K44" s="85">
        <f>SUM(K41:K43)</f>
        <v>0</v>
      </c>
      <c r="L44" s="85"/>
      <c r="M44" s="85">
        <f>SUM(M41:M43)</f>
        <v>0</v>
      </c>
      <c r="N44" s="85"/>
      <c r="O44" s="85">
        <f>SUM(O41:O43)</f>
        <v>0</v>
      </c>
      <c r="P44" s="85"/>
      <c r="Q44" s="85">
        <f>SUM(Q41:Q43)</f>
        <v>-57.167344270439656</v>
      </c>
      <c r="R44" s="85"/>
      <c r="S44" s="11">
        <f>SUM(S41:S43)</f>
        <v>37950.83265572956</v>
      </c>
      <c r="T44" s="9"/>
      <c r="U44" s="9"/>
    </row>
    <row r="45" spans="1:21" ht="7.5" customHeight="1">
      <c r="A45" s="4"/>
      <c r="E45" s="85"/>
      <c r="F45" s="9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9"/>
      <c r="S45" s="38"/>
      <c r="T45" s="9"/>
      <c r="U45" s="9"/>
    </row>
    <row r="46" spans="1:21" ht="12.75">
      <c r="A46" s="4">
        <v>26</v>
      </c>
      <c r="C46" t="s">
        <v>151</v>
      </c>
      <c r="E46" s="86">
        <f>+E28+E34+E39+E44</f>
        <v>270674.11402873805</v>
      </c>
      <c r="F46" s="9"/>
      <c r="G46" s="86">
        <f>+G28+G34+G39+G44</f>
        <v>-28</v>
      </c>
      <c r="H46" s="85"/>
      <c r="I46" s="86">
        <f>+I28+I34+I39+I44</f>
        <v>-704</v>
      </c>
      <c r="J46" s="85"/>
      <c r="K46" s="86">
        <f>+K28+K34+K39+K44</f>
        <v>-153</v>
      </c>
      <c r="L46" s="85"/>
      <c r="M46" s="86">
        <f>+M28+M34+M39+M44</f>
        <v>-2932</v>
      </c>
      <c r="N46" s="85"/>
      <c r="O46" s="86">
        <f>+O28+O34+O39+O44</f>
        <v>0</v>
      </c>
      <c r="P46" s="85"/>
      <c r="Q46" s="86">
        <f>+Q28+Q34+Q39+Q44</f>
        <v>-57.167344270439656</v>
      </c>
      <c r="R46" s="9"/>
      <c r="S46" s="3">
        <f>+S28+S34+S39+S44</f>
        <v>266799.9466844676</v>
      </c>
      <c r="T46" s="9"/>
      <c r="U46" s="9"/>
    </row>
    <row r="47" spans="1:21" ht="7.5" customHeight="1">
      <c r="A47" s="4"/>
      <c r="E47" s="85"/>
      <c r="F47" s="9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9"/>
      <c r="S47" s="11"/>
      <c r="T47" s="9"/>
      <c r="U47" s="9"/>
    </row>
    <row r="48" spans="1:21" ht="12.75">
      <c r="A48" s="4">
        <v>27</v>
      </c>
      <c r="C48" t="s">
        <v>152</v>
      </c>
      <c r="E48" s="38">
        <f>+E21-E46</f>
        <v>64523.885971261945</v>
      </c>
      <c r="F48" s="9"/>
      <c r="G48" s="38">
        <f>+G21-G46</f>
        <v>28</v>
      </c>
      <c r="H48" s="85"/>
      <c r="I48" s="38">
        <f>+I21-I46</f>
        <v>704</v>
      </c>
      <c r="J48" s="85"/>
      <c r="K48" s="38">
        <f>+K21-K46</f>
        <v>153</v>
      </c>
      <c r="L48" s="85"/>
      <c r="M48" s="38">
        <f>+M21-M46</f>
        <v>2932</v>
      </c>
      <c r="N48" s="85"/>
      <c r="O48" s="38">
        <f>+O21-O46</f>
        <v>165.208</v>
      </c>
      <c r="P48" s="85"/>
      <c r="Q48" s="38">
        <f>+Q21-Q46</f>
        <v>57.167344270439656</v>
      </c>
      <c r="R48" s="9"/>
      <c r="S48" s="38">
        <f>+S21-S46</f>
        <v>68563.26131553238</v>
      </c>
      <c r="T48" s="9"/>
      <c r="U48" s="9"/>
    </row>
    <row r="49" spans="1:21" ht="7.5" customHeight="1">
      <c r="A49" s="4"/>
      <c r="E49" s="87"/>
      <c r="F49" s="9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9"/>
      <c r="S49" s="9"/>
      <c r="T49" s="9"/>
      <c r="U49" s="9"/>
    </row>
    <row r="50" spans="1:21" ht="12.75">
      <c r="A50" s="4">
        <v>28</v>
      </c>
      <c r="C50" t="s">
        <v>153</v>
      </c>
      <c r="E50" s="9"/>
      <c r="F50" s="9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9"/>
      <c r="S50" s="9"/>
      <c r="T50" s="9"/>
      <c r="U50" s="9"/>
    </row>
    <row r="51" spans="1:21" ht="12.75">
      <c r="A51" s="4">
        <v>29</v>
      </c>
      <c r="C51" t="s">
        <v>154</v>
      </c>
      <c r="E51" s="85">
        <f>+' Inc State 1'!S51</f>
        <v>6666.260909552055</v>
      </c>
      <c r="F51" s="9"/>
      <c r="G51" s="85"/>
      <c r="H51" s="85"/>
      <c r="I51" s="85"/>
      <c r="J51" s="85"/>
      <c r="K51" s="85"/>
      <c r="L51" s="85"/>
      <c r="M51" s="85">
        <f>+'Power Supply Adj'!H27/1000</f>
        <v>1026.1999999999998</v>
      </c>
      <c r="N51" s="85"/>
      <c r="O51" s="85">
        <f>-'Pole Rental Revs'!H29/1000</f>
        <v>57.822799999999994</v>
      </c>
      <c r="P51" s="85"/>
      <c r="Q51" s="85">
        <f>+'Gain on Sales'!H27/1000</f>
        <v>20.008570494653878</v>
      </c>
      <c r="R51" s="9"/>
      <c r="S51" s="38">
        <f>SUM(E51:R51)</f>
        <v>7770.292280046709</v>
      </c>
      <c r="T51" s="9"/>
      <c r="U51" s="9"/>
    </row>
    <row r="52" spans="1:21" ht="12.75">
      <c r="A52" s="4">
        <v>30</v>
      </c>
      <c r="C52" t="s">
        <v>155</v>
      </c>
      <c r="E52" s="86">
        <f>+' Inc State 1'!S52</f>
        <v>827</v>
      </c>
      <c r="F52" s="9"/>
      <c r="G52" s="86">
        <f>+'Kettle Falls RB'!H41/1000-56</f>
        <v>5</v>
      </c>
      <c r="H52" s="85"/>
      <c r="I52" s="86">
        <f>+'Production Factor'!H43/1000</f>
        <v>246</v>
      </c>
      <c r="J52" s="85"/>
      <c r="K52" s="86">
        <f>+'Cancelled Projects'!H32/1000+107</f>
        <v>53</v>
      </c>
      <c r="L52" s="85"/>
      <c r="M52" s="86"/>
      <c r="N52" s="85"/>
      <c r="O52" s="86"/>
      <c r="P52" s="85"/>
      <c r="Q52" s="86"/>
      <c r="R52" s="9"/>
      <c r="S52" s="39">
        <f>SUM(E52:R52)</f>
        <v>1131</v>
      </c>
      <c r="T52" s="9"/>
      <c r="U52" s="9"/>
    </row>
    <row r="53" spans="5:21" ht="7.5" customHeight="1">
      <c r="E53" s="9"/>
      <c r="F53" s="9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9"/>
      <c r="S53" s="9"/>
      <c r="T53" s="9"/>
      <c r="U53" s="9"/>
    </row>
    <row r="54" spans="1:21" ht="13.5" thickBot="1">
      <c r="A54" s="4">
        <v>31</v>
      </c>
      <c r="C54" t="s">
        <v>156</v>
      </c>
      <c r="E54" s="41">
        <f>+E48-E51-E52</f>
        <v>57030.62506170989</v>
      </c>
      <c r="F54" s="9"/>
      <c r="G54" s="41">
        <f>+G48-G51-G52</f>
        <v>23</v>
      </c>
      <c r="H54" s="85"/>
      <c r="I54" s="41">
        <f>+I48-I51-I52</f>
        <v>458</v>
      </c>
      <c r="J54" s="85"/>
      <c r="K54" s="41">
        <f>+K48-K51-K52</f>
        <v>100</v>
      </c>
      <c r="L54" s="85"/>
      <c r="M54" s="41">
        <f>+M48-M51-M52</f>
        <v>1905.8000000000002</v>
      </c>
      <c r="N54" s="85"/>
      <c r="O54" s="41">
        <f>+O48-O51-O52</f>
        <v>107.3852</v>
      </c>
      <c r="P54" s="85"/>
      <c r="Q54" s="41">
        <f>+Q48-Q51-Q52</f>
        <v>37.158773775785775</v>
      </c>
      <c r="R54" s="9"/>
      <c r="S54" s="41">
        <f>+S48-S51-S52</f>
        <v>59661.96903548567</v>
      </c>
      <c r="T54" s="9"/>
      <c r="U54" s="9"/>
    </row>
    <row r="55" spans="5:21" ht="13.5" thickTop="1">
      <c r="E55" s="9"/>
      <c r="F55" s="9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9"/>
      <c r="S55" s="9"/>
      <c r="T55" s="9"/>
      <c r="U55" s="9"/>
    </row>
    <row r="56" spans="5:21" ht="12.75">
      <c r="E56" s="9"/>
      <c r="F56" s="9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9"/>
      <c r="S56" s="9"/>
      <c r="T56" s="9"/>
      <c r="U56" s="9"/>
    </row>
    <row r="57" spans="5:21" ht="12.75">
      <c r="E57" s="9"/>
      <c r="F57" s="9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9"/>
      <c r="S57" s="9"/>
      <c r="T57" s="9"/>
      <c r="U57" s="9"/>
    </row>
    <row r="58" spans="5:21" ht="12.75">
      <c r="E58" s="9"/>
      <c r="F58" s="9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9"/>
      <c r="S58" s="9"/>
      <c r="T58" s="9"/>
      <c r="U58" s="9"/>
    </row>
    <row r="59" spans="5:21" ht="12.75">
      <c r="E59" s="9"/>
      <c r="F59" s="9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9"/>
      <c r="S59" s="9"/>
      <c r="T59" s="9"/>
      <c r="U59" s="9"/>
    </row>
    <row r="60" spans="5:21" ht="12.75">
      <c r="E60" s="9"/>
      <c r="F60" s="9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9"/>
      <c r="S60" s="9"/>
      <c r="T60" s="9"/>
      <c r="U60" s="9"/>
    </row>
    <row r="61" spans="5:21" ht="12.75">
      <c r="E61" s="9"/>
      <c r="F61" s="9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9"/>
      <c r="S61" s="9"/>
      <c r="T61" s="9"/>
      <c r="U61" s="9"/>
    </row>
    <row r="62" spans="5:21" ht="12.75">
      <c r="E62" s="9"/>
      <c r="F62" s="9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9"/>
      <c r="S62" s="9"/>
      <c r="T62" s="9"/>
      <c r="U62" s="9"/>
    </row>
    <row r="63" spans="5:21" ht="12.75">
      <c r="E63" s="9"/>
      <c r="F63" s="9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9"/>
      <c r="S63" s="9"/>
      <c r="T63" s="9"/>
      <c r="U63" s="9"/>
    </row>
    <row r="64" spans="5:21" ht="12.75">
      <c r="E64" s="9"/>
      <c r="F64" s="9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9"/>
      <c r="S64" s="9"/>
      <c r="T64" s="9"/>
      <c r="U64" s="9"/>
    </row>
    <row r="65" spans="5:21" ht="12.75">
      <c r="E65" s="9"/>
      <c r="F65" s="9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9"/>
      <c r="S65" s="9"/>
      <c r="T65" s="9"/>
      <c r="U65" s="9"/>
    </row>
    <row r="66" spans="5:21" ht="12.75">
      <c r="E66" s="9"/>
      <c r="F66" s="9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9"/>
      <c r="S66" s="9"/>
      <c r="T66" s="9"/>
      <c r="U66" s="9"/>
    </row>
    <row r="67" spans="5:21" ht="12.75">
      <c r="E67" s="9"/>
      <c r="F67" s="9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9"/>
      <c r="S67" s="9"/>
      <c r="T67" s="9"/>
      <c r="U67" s="9"/>
    </row>
    <row r="68" spans="5:21" ht="12.75"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5:21" ht="12.75"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 spans="5:21" ht="12.75"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5:21" ht="12.75"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</row>
    <row r="72" spans="5:21" ht="12.75"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</row>
    <row r="73" spans="5:21" ht="12.75"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5:21" ht="12.75"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</sheetData>
  <mergeCells count="3">
    <mergeCell ref="E5:M5"/>
    <mergeCell ref="E6:M6"/>
    <mergeCell ref="E7:M7"/>
  </mergeCells>
  <printOptions/>
  <pageMargins left="0.75" right="0.75" top="1.25" bottom="0.5" header="0.5" footer="0.5"/>
  <pageSetup fitToHeight="1" fitToWidth="1" horizontalDpi="600" verticalDpi="600" orientation="landscape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74"/>
  <sheetViews>
    <sheetView workbookViewId="0" topLeftCell="D1">
      <selection activeCell="I9" sqref="I9"/>
    </sheetView>
  </sheetViews>
  <sheetFormatPr defaultColWidth="9.140625" defaultRowHeight="12.75"/>
  <cols>
    <col min="1" max="1" width="5.7109375" style="0" customWidth="1"/>
    <col min="2" max="2" width="2.7109375" style="0" customWidth="1"/>
    <col min="3" max="3" width="25.140625" style="0" bestFit="1" customWidth="1"/>
    <col min="4" max="4" width="2.7109375" style="0" customWidth="1"/>
    <col min="5" max="5" width="12.28125" style="0" customWidth="1"/>
    <col min="6" max="6" width="2.7109375" style="0" customWidth="1"/>
    <col min="7" max="7" width="9.421875" style="0" customWidth="1"/>
    <col min="8" max="8" width="1.7109375" style="0" customWidth="1"/>
    <col min="9" max="9" width="9.421875" style="0" customWidth="1"/>
    <col min="10" max="10" width="1.7109375" style="0" customWidth="1"/>
    <col min="11" max="11" width="12.8515625" style="0" customWidth="1"/>
    <col min="12" max="12" width="1.7109375" style="0" customWidth="1"/>
    <col min="13" max="13" width="10.8515625" style="0" customWidth="1"/>
    <col min="14" max="14" width="1.7109375" style="0" customWidth="1"/>
    <col min="15" max="15" width="9.421875" style="0" customWidth="1"/>
    <col min="16" max="16" width="1.7109375" style="0" customWidth="1"/>
    <col min="17" max="17" width="9.421875" style="0" customWidth="1"/>
    <col min="18" max="18" width="1.7109375" style="0" customWidth="1"/>
    <col min="19" max="19" width="13.8515625" style="0" customWidth="1"/>
  </cols>
  <sheetData>
    <row r="2" ht="12.75">
      <c r="S2" s="43" t="s">
        <v>663</v>
      </c>
    </row>
    <row r="3" ht="12.75">
      <c r="S3" s="43" t="s">
        <v>794</v>
      </c>
    </row>
    <row r="4" ht="12.75">
      <c r="S4" s="43" t="s">
        <v>771</v>
      </c>
    </row>
    <row r="5" spans="1:19" ht="15.75">
      <c r="A5" t="s">
        <v>222</v>
      </c>
      <c r="E5" s="149" t="s">
        <v>79</v>
      </c>
      <c r="F5" s="149"/>
      <c r="G5" s="149"/>
      <c r="H5" s="149"/>
      <c r="I5" s="149"/>
      <c r="J5" s="149"/>
      <c r="K5" s="149"/>
      <c r="L5" s="149"/>
      <c r="M5" s="149"/>
      <c r="S5" s="43"/>
    </row>
    <row r="6" spans="5:19" ht="12.75">
      <c r="E6" s="147" t="s">
        <v>137</v>
      </c>
      <c r="F6" s="147"/>
      <c r="G6" s="147"/>
      <c r="H6" s="147"/>
      <c r="I6" s="147"/>
      <c r="J6" s="147"/>
      <c r="K6" s="147"/>
      <c r="L6" s="147"/>
      <c r="M6" s="147"/>
      <c r="S6" s="43" t="s">
        <v>250</v>
      </c>
    </row>
    <row r="7" spans="5:19" ht="12.75">
      <c r="E7" s="147" t="s">
        <v>138</v>
      </c>
      <c r="F7" s="147"/>
      <c r="G7" s="147"/>
      <c r="H7" s="147"/>
      <c r="I7" s="147"/>
      <c r="J7" s="147"/>
      <c r="K7" s="147"/>
      <c r="L7" s="147"/>
      <c r="M7" s="147"/>
      <c r="S7" s="43" t="s">
        <v>787</v>
      </c>
    </row>
    <row r="8" spans="5:19" ht="12.75">
      <c r="E8" s="4"/>
      <c r="F8" s="4"/>
      <c r="G8" s="4"/>
      <c r="H8" s="4"/>
      <c r="I8" s="51" t="s">
        <v>798</v>
      </c>
      <c r="J8" s="4"/>
      <c r="K8" s="4"/>
      <c r="L8" s="4"/>
      <c r="M8" s="4"/>
      <c r="S8" s="43"/>
    </row>
    <row r="10" spans="1:19" ht="12.75">
      <c r="A10" s="4"/>
      <c r="E10" s="4"/>
      <c r="G10" s="4" t="s">
        <v>718</v>
      </c>
      <c r="I10" s="4" t="s">
        <v>722</v>
      </c>
      <c r="J10" s="4"/>
      <c r="K10" s="4" t="s">
        <v>736</v>
      </c>
      <c r="M10" s="4" t="s">
        <v>747</v>
      </c>
      <c r="O10" s="4"/>
      <c r="S10" s="4"/>
    </row>
    <row r="11" spans="1:19" ht="12.75">
      <c r="A11" s="4"/>
      <c r="E11" s="4" t="s">
        <v>229</v>
      </c>
      <c r="G11" s="4" t="s">
        <v>719</v>
      </c>
      <c r="H11" s="4"/>
      <c r="I11" s="4" t="s">
        <v>724</v>
      </c>
      <c r="J11" s="4"/>
      <c r="K11" s="4" t="s">
        <v>737</v>
      </c>
      <c r="L11" s="4"/>
      <c r="M11" s="4" t="s">
        <v>135</v>
      </c>
      <c r="N11" s="4"/>
      <c r="O11" s="4"/>
      <c r="P11" s="4"/>
      <c r="Q11" s="4"/>
      <c r="S11" s="4" t="s">
        <v>638</v>
      </c>
    </row>
    <row r="12" spans="1:19" ht="12.75">
      <c r="A12" s="4" t="s">
        <v>3</v>
      </c>
      <c r="E12" s="4" t="s">
        <v>218</v>
      </c>
      <c r="G12" s="15" t="s">
        <v>720</v>
      </c>
      <c r="H12" s="4"/>
      <c r="I12" s="4" t="s">
        <v>723</v>
      </c>
      <c r="J12" s="4"/>
      <c r="K12" s="4" t="s">
        <v>738</v>
      </c>
      <c r="L12" s="4"/>
      <c r="M12" s="4" t="s">
        <v>748</v>
      </c>
      <c r="N12" s="4"/>
      <c r="O12" s="4"/>
      <c r="P12" s="4"/>
      <c r="Q12" s="4"/>
      <c r="S12" s="4" t="s">
        <v>640</v>
      </c>
    </row>
    <row r="13" spans="1:19" ht="12.75">
      <c r="A13" s="5" t="s">
        <v>4</v>
      </c>
      <c r="C13" s="5" t="s">
        <v>5</v>
      </c>
      <c r="E13" s="5" t="s">
        <v>219</v>
      </c>
      <c r="G13" s="5" t="s">
        <v>721</v>
      </c>
      <c r="H13" s="4"/>
      <c r="I13" s="5" t="s">
        <v>725</v>
      </c>
      <c r="J13" s="15"/>
      <c r="K13" s="5" t="s">
        <v>735</v>
      </c>
      <c r="L13" s="4"/>
      <c r="M13" s="5" t="s">
        <v>792</v>
      </c>
      <c r="N13" s="4"/>
      <c r="O13" s="5"/>
      <c r="P13" s="4"/>
      <c r="Q13" s="5"/>
      <c r="S13" s="5" t="s">
        <v>639</v>
      </c>
    </row>
    <row r="14" spans="1:19" ht="12.75">
      <c r="A14" s="4"/>
      <c r="C14" s="4" t="s">
        <v>56</v>
      </c>
      <c r="E14" s="15" t="s">
        <v>57</v>
      </c>
      <c r="G14" s="4" t="s">
        <v>58</v>
      </c>
      <c r="H14" s="4"/>
      <c r="I14" s="4" t="s">
        <v>59</v>
      </c>
      <c r="J14" s="4"/>
      <c r="K14" s="4" t="s">
        <v>60</v>
      </c>
      <c r="L14" s="4"/>
      <c r="M14" s="4" t="s">
        <v>61</v>
      </c>
      <c r="N14" s="4"/>
      <c r="O14" s="15" t="s">
        <v>62</v>
      </c>
      <c r="Q14" s="15" t="s">
        <v>71</v>
      </c>
      <c r="S14" s="45" t="s">
        <v>74</v>
      </c>
    </row>
    <row r="15" spans="1:19" ht="7.5" customHeight="1">
      <c r="A15" s="4"/>
      <c r="E15" s="15"/>
      <c r="G15" s="4"/>
      <c r="H15" s="4"/>
      <c r="I15" s="4"/>
      <c r="J15" s="4"/>
      <c r="K15" s="4"/>
      <c r="L15" s="4"/>
      <c r="M15" s="4"/>
      <c r="N15" s="4"/>
      <c r="O15" s="4"/>
      <c r="P15" s="4"/>
      <c r="Q15" s="15"/>
      <c r="S15" s="15"/>
    </row>
    <row r="16" spans="1:21" ht="12.75">
      <c r="A16" s="4">
        <v>1</v>
      </c>
      <c r="C16" t="s">
        <v>8</v>
      </c>
      <c r="E16" s="9"/>
      <c r="F16" s="9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9"/>
      <c r="S16" s="9"/>
      <c r="T16" s="9"/>
      <c r="U16" s="9"/>
    </row>
    <row r="17" spans="1:21" ht="12.75">
      <c r="A17" s="4">
        <v>2</v>
      </c>
      <c r="C17" t="s">
        <v>9</v>
      </c>
      <c r="E17" s="85">
        <f>+'Inc State 2'!S17</f>
        <v>285399</v>
      </c>
      <c r="F17" s="9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9"/>
      <c r="S17" s="38">
        <f>SUM(E17:R17)</f>
        <v>285399</v>
      </c>
      <c r="T17" s="9"/>
      <c r="U17" s="9"/>
    </row>
    <row r="18" spans="1:21" ht="12.75">
      <c r="A18" s="4">
        <v>3</v>
      </c>
      <c r="C18" t="s">
        <v>10</v>
      </c>
      <c r="E18" s="85">
        <f>+'Inc State 2'!S18</f>
        <v>752</v>
      </c>
      <c r="F18" s="9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9"/>
      <c r="S18" s="38">
        <f>SUM(E18:R18)</f>
        <v>752</v>
      </c>
      <c r="T18" s="9"/>
      <c r="U18" s="9"/>
    </row>
    <row r="19" spans="1:21" ht="12.75">
      <c r="A19" s="4">
        <v>4</v>
      </c>
      <c r="C19" t="s">
        <v>139</v>
      </c>
      <c r="E19" s="85">
        <f>+'Inc State 2'!S19</f>
        <v>40460</v>
      </c>
      <c r="F19" s="9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9"/>
      <c r="S19" s="38">
        <f>SUM(E19:R19)</f>
        <v>40460</v>
      </c>
      <c r="T19" s="9"/>
      <c r="U19" s="9"/>
    </row>
    <row r="20" spans="1:21" ht="12.75">
      <c r="A20" s="4">
        <v>5</v>
      </c>
      <c r="C20" t="s">
        <v>11</v>
      </c>
      <c r="E20" s="86">
        <f>+'Inc State 2'!S20</f>
        <v>8752.208</v>
      </c>
      <c r="F20" s="9"/>
      <c r="G20" s="86"/>
      <c r="H20" s="85"/>
      <c r="I20" s="86"/>
      <c r="J20" s="85"/>
      <c r="K20" s="86"/>
      <c r="L20" s="85"/>
      <c r="M20" s="86"/>
      <c r="N20" s="85"/>
      <c r="O20" s="86"/>
      <c r="P20" s="85"/>
      <c r="Q20" s="86"/>
      <c r="R20" s="9"/>
      <c r="S20" s="39">
        <f>SUM(E20:R20)</f>
        <v>8752.208</v>
      </c>
      <c r="T20" s="9"/>
      <c r="U20" s="9"/>
    </row>
    <row r="21" spans="1:21" ht="12.75">
      <c r="A21" s="4">
        <v>6</v>
      </c>
      <c r="C21" t="s">
        <v>12</v>
      </c>
      <c r="E21" s="85">
        <f>SUM(E17:E20)</f>
        <v>335363.208</v>
      </c>
      <c r="F21" s="9"/>
      <c r="G21" s="85">
        <f>SUM(G17:G20)</f>
        <v>0</v>
      </c>
      <c r="H21" s="85"/>
      <c r="I21" s="85">
        <f>SUM(I17:I20)</f>
        <v>0</v>
      </c>
      <c r="J21" s="85"/>
      <c r="K21" s="85">
        <f>SUM(K17:K20)</f>
        <v>0</v>
      </c>
      <c r="L21" s="85"/>
      <c r="M21" s="85">
        <f>SUM(M17:M20)</f>
        <v>0</v>
      </c>
      <c r="N21" s="85"/>
      <c r="O21" s="85">
        <f>SUM(O17:O20)</f>
        <v>0</v>
      </c>
      <c r="P21" s="85"/>
      <c r="Q21" s="85">
        <f>SUM(Q17:Q20)</f>
        <v>0</v>
      </c>
      <c r="R21" s="85"/>
      <c r="S21" s="85">
        <f>SUM(S17:S20)</f>
        <v>335363.208</v>
      </c>
      <c r="T21" s="9"/>
      <c r="U21" s="9"/>
    </row>
    <row r="22" spans="1:21" ht="7.5" customHeight="1">
      <c r="A22" s="4"/>
      <c r="E22" s="85"/>
      <c r="F22" s="9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9"/>
      <c r="S22" s="38"/>
      <c r="T22" s="9"/>
      <c r="U22" s="9"/>
    </row>
    <row r="23" spans="1:21" ht="12.75">
      <c r="A23" s="4">
        <v>7</v>
      </c>
      <c r="C23" t="s">
        <v>13</v>
      </c>
      <c r="E23" s="85"/>
      <c r="F23" s="9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9"/>
      <c r="S23" s="38"/>
      <c r="T23" s="9"/>
      <c r="U23" s="9"/>
    </row>
    <row r="24" spans="1:21" ht="12.75">
      <c r="A24" s="4">
        <v>8</v>
      </c>
      <c r="C24" t="s">
        <v>140</v>
      </c>
      <c r="E24" s="85">
        <f>+'Inc State 2'!S24</f>
        <v>101844</v>
      </c>
      <c r="F24" s="9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9"/>
      <c r="S24" s="38">
        <f>SUM(E24:R24)</f>
        <v>101844</v>
      </c>
      <c r="T24" s="9"/>
      <c r="U24" s="9"/>
    </row>
    <row r="25" spans="1:21" ht="12.75">
      <c r="A25" s="4">
        <v>9</v>
      </c>
      <c r="C25" t="s">
        <v>141</v>
      </c>
      <c r="E25" s="85">
        <f>+'Inc State 2'!S25</f>
        <v>48110</v>
      </c>
      <c r="F25" s="9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9"/>
      <c r="S25" s="38">
        <f>SUM(E25:R25)</f>
        <v>48110</v>
      </c>
      <c r="T25" s="9"/>
      <c r="U25" s="9"/>
    </row>
    <row r="26" spans="1:21" ht="12.75">
      <c r="A26" s="4">
        <v>10</v>
      </c>
      <c r="C26" t="s">
        <v>142</v>
      </c>
      <c r="E26" s="85">
        <f>+'Inc State 2'!S26</f>
        <v>23604</v>
      </c>
      <c r="F26" s="9"/>
      <c r="G26" s="85"/>
      <c r="H26" s="85"/>
      <c r="I26" s="85"/>
      <c r="J26" s="85"/>
      <c r="K26" s="85">
        <f>+'Hydro Reshaping'!H22/1000</f>
        <v>-2776</v>
      </c>
      <c r="L26" s="85"/>
      <c r="M26" s="85">
        <f>+'New Colstrip Capacity'!H21/1000</f>
        <v>-716</v>
      </c>
      <c r="N26" s="85"/>
      <c r="O26" s="85"/>
      <c r="P26" s="85"/>
      <c r="Q26" s="85"/>
      <c r="R26" s="9"/>
      <c r="S26" s="38">
        <f>SUM(E26:R26)</f>
        <v>20112</v>
      </c>
      <c r="T26" s="9"/>
      <c r="U26" s="9"/>
    </row>
    <row r="27" spans="1:21" ht="12.75">
      <c r="A27" s="4">
        <v>11</v>
      </c>
      <c r="C27" t="s">
        <v>143</v>
      </c>
      <c r="E27" s="86">
        <f>+'Inc State 2'!S27</f>
        <v>6669</v>
      </c>
      <c r="F27" s="9"/>
      <c r="G27" s="86"/>
      <c r="H27" s="85"/>
      <c r="I27" s="86"/>
      <c r="J27" s="85"/>
      <c r="K27" s="86"/>
      <c r="L27" s="85"/>
      <c r="M27" s="86">
        <f>+'New Colstrip Capacity'!H22/1000</f>
        <v>33</v>
      </c>
      <c r="N27" s="85"/>
      <c r="O27" s="86"/>
      <c r="P27" s="85"/>
      <c r="Q27" s="86"/>
      <c r="R27" s="9"/>
      <c r="S27" s="39">
        <f>SUM(E27:R27)</f>
        <v>6702</v>
      </c>
      <c r="T27" s="9"/>
      <c r="U27" s="9"/>
    </row>
    <row r="28" spans="1:21" ht="12.75">
      <c r="A28" s="4">
        <v>12</v>
      </c>
      <c r="C28" t="s">
        <v>144</v>
      </c>
      <c r="E28" s="85">
        <f>SUM(E24:E27)</f>
        <v>180227</v>
      </c>
      <c r="F28" s="9"/>
      <c r="G28" s="85">
        <f>SUM(G24:G27)</f>
        <v>0</v>
      </c>
      <c r="H28" s="85"/>
      <c r="I28" s="85">
        <f>SUM(I24:I27)</f>
        <v>0</v>
      </c>
      <c r="J28" s="85"/>
      <c r="K28" s="85">
        <f>SUM(K24:K27)</f>
        <v>-2776</v>
      </c>
      <c r="L28" s="85"/>
      <c r="M28" s="85">
        <f>SUM(M24:M27)</f>
        <v>-683</v>
      </c>
      <c r="N28" s="85"/>
      <c r="O28" s="85">
        <f>SUM(O24:O27)</f>
        <v>0</v>
      </c>
      <c r="P28" s="85"/>
      <c r="Q28" s="85">
        <f>SUM(Q24:Q27)</f>
        <v>0</v>
      </c>
      <c r="R28" s="85"/>
      <c r="S28" s="85">
        <f>SUM(S24:S27)</f>
        <v>176768</v>
      </c>
      <c r="T28" s="9"/>
      <c r="U28" s="9"/>
    </row>
    <row r="29" spans="1:21" ht="7.5" customHeight="1">
      <c r="A29" s="4"/>
      <c r="E29" s="85"/>
      <c r="F29" s="9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9"/>
      <c r="S29" s="38"/>
      <c r="T29" s="9"/>
      <c r="U29" s="9"/>
    </row>
    <row r="30" spans="1:21" ht="12.75">
      <c r="A30" s="4">
        <v>13</v>
      </c>
      <c r="C30" t="s">
        <v>7</v>
      </c>
      <c r="E30" s="85"/>
      <c r="F30" s="9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9"/>
      <c r="S30" s="38"/>
      <c r="T30" s="9"/>
      <c r="U30" s="9"/>
    </row>
    <row r="31" spans="1:21" ht="12.75">
      <c r="A31" s="4">
        <v>14</v>
      </c>
      <c r="C31" t="s">
        <v>141</v>
      </c>
      <c r="E31" s="85">
        <f>+'Inc State 2'!S31</f>
        <v>12634.114028738068</v>
      </c>
      <c r="F31" s="9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9"/>
      <c r="S31" s="38">
        <f>SUM(E31:R31)</f>
        <v>12634.114028738068</v>
      </c>
      <c r="T31" s="9"/>
      <c r="U31" s="9"/>
    </row>
    <row r="32" spans="1:21" ht="12.75">
      <c r="A32" s="4">
        <v>15</v>
      </c>
      <c r="C32" t="s">
        <v>145</v>
      </c>
      <c r="E32" s="85">
        <f>+'Inc State 2'!S32</f>
        <v>10067</v>
      </c>
      <c r="F32" s="9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9"/>
      <c r="S32" s="38">
        <f>SUM(E32:R32)</f>
        <v>10067</v>
      </c>
      <c r="T32" s="9"/>
      <c r="U32" s="9"/>
    </row>
    <row r="33" spans="1:21" ht="12.75">
      <c r="A33" s="4">
        <v>16</v>
      </c>
      <c r="C33" t="s">
        <v>146</v>
      </c>
      <c r="E33" s="86">
        <f>+'Inc State 2'!S33</f>
        <v>17401</v>
      </c>
      <c r="F33" s="9"/>
      <c r="G33" s="86"/>
      <c r="H33" s="85"/>
      <c r="I33" s="86"/>
      <c r="J33" s="85"/>
      <c r="K33" s="86"/>
      <c r="L33" s="85"/>
      <c r="M33" s="86"/>
      <c r="N33" s="85"/>
      <c r="O33" s="86"/>
      <c r="P33" s="85"/>
      <c r="Q33" s="86"/>
      <c r="R33" s="9"/>
      <c r="S33" s="39">
        <f>SUM(E33:R33)</f>
        <v>17401</v>
      </c>
      <c r="T33" s="9"/>
      <c r="U33" s="9"/>
    </row>
    <row r="34" spans="1:21" ht="12.75">
      <c r="A34" s="4">
        <v>17</v>
      </c>
      <c r="C34" t="s">
        <v>147</v>
      </c>
      <c r="E34" s="85">
        <f>SUM(E30:E33)</f>
        <v>40102.11402873807</v>
      </c>
      <c r="F34" s="9"/>
      <c r="G34" s="85">
        <f>SUM(G30:G33)</f>
        <v>0</v>
      </c>
      <c r="H34" s="85"/>
      <c r="I34" s="85"/>
      <c r="J34" s="85"/>
      <c r="K34" s="85">
        <f>SUM(K30:K33)</f>
        <v>0</v>
      </c>
      <c r="L34" s="85"/>
      <c r="M34" s="85">
        <f>SUM(M30:M33)</f>
        <v>0</v>
      </c>
      <c r="N34" s="85"/>
      <c r="O34" s="85">
        <f>SUM(O30:O33)</f>
        <v>0</v>
      </c>
      <c r="P34" s="85"/>
      <c r="Q34" s="85">
        <f>SUM(Q30:Q33)</f>
        <v>0</v>
      </c>
      <c r="R34" s="85"/>
      <c r="S34" s="85">
        <f>SUM(S30:S33)</f>
        <v>40102.11402873807</v>
      </c>
      <c r="T34" s="9"/>
      <c r="U34" s="9"/>
    </row>
    <row r="35" spans="1:21" ht="7.5" customHeight="1">
      <c r="A35" s="4"/>
      <c r="E35" s="85"/>
      <c r="F35" s="9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9"/>
      <c r="S35" s="38"/>
      <c r="T35" s="9"/>
      <c r="U35" s="9"/>
    </row>
    <row r="36" spans="1:21" ht="12.75">
      <c r="A36" s="4">
        <v>18</v>
      </c>
      <c r="C36" t="s">
        <v>14</v>
      </c>
      <c r="E36" s="85">
        <f>+'Inc State 2'!S36</f>
        <v>7542</v>
      </c>
      <c r="F36" s="9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9"/>
      <c r="S36" s="38">
        <f>SUM(E36:R36)</f>
        <v>7542</v>
      </c>
      <c r="T36" s="9"/>
      <c r="U36" s="9"/>
    </row>
    <row r="37" spans="1:21" ht="12.75">
      <c r="A37" s="4">
        <v>19</v>
      </c>
      <c r="C37" t="s">
        <v>148</v>
      </c>
      <c r="E37" s="85">
        <f>+'Inc State 2'!S37</f>
        <v>269</v>
      </c>
      <c r="F37" s="9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9"/>
      <c r="S37" s="38">
        <f>SUM(E37:R37)</f>
        <v>269</v>
      </c>
      <c r="T37" s="9"/>
      <c r="U37" s="9"/>
    </row>
    <row r="38" spans="1:21" ht="12.75">
      <c r="A38" s="4">
        <v>20</v>
      </c>
      <c r="C38" t="s">
        <v>149</v>
      </c>
      <c r="E38" s="86">
        <f>+'Inc State 2'!S38</f>
        <v>709</v>
      </c>
      <c r="F38" s="9"/>
      <c r="G38" s="86"/>
      <c r="H38" s="85"/>
      <c r="I38" s="86"/>
      <c r="J38" s="85"/>
      <c r="K38" s="86"/>
      <c r="L38" s="85"/>
      <c r="M38" s="86"/>
      <c r="N38" s="85"/>
      <c r="O38" s="86"/>
      <c r="P38" s="85"/>
      <c r="Q38" s="86"/>
      <c r="R38" s="9"/>
      <c r="S38" s="39">
        <f>SUM(E38:R38)</f>
        <v>709</v>
      </c>
      <c r="T38" s="9"/>
      <c r="U38" s="9"/>
    </row>
    <row r="39" spans="1:21" ht="12.75">
      <c r="A39" s="4">
        <v>21</v>
      </c>
      <c r="C39" t="s">
        <v>230</v>
      </c>
      <c r="E39" s="85">
        <f>SUM(E35:E38)</f>
        <v>8520</v>
      </c>
      <c r="F39" s="9"/>
      <c r="G39" s="85">
        <f>SUM(G35:G38)</f>
        <v>0</v>
      </c>
      <c r="H39" s="85"/>
      <c r="I39" s="85"/>
      <c r="J39" s="85"/>
      <c r="K39" s="85">
        <f>SUM(K35:K38)</f>
        <v>0</v>
      </c>
      <c r="L39" s="85"/>
      <c r="M39" s="85">
        <f>SUM(M35:M38)</f>
        <v>0</v>
      </c>
      <c r="N39" s="85"/>
      <c r="O39" s="85">
        <f>SUM(O35:O38)</f>
        <v>0</v>
      </c>
      <c r="P39" s="85"/>
      <c r="Q39" s="85">
        <f>SUM(Q35:Q38)</f>
        <v>0</v>
      </c>
      <c r="R39" s="85"/>
      <c r="S39" s="85">
        <f>SUM(S35:S38)</f>
        <v>8520</v>
      </c>
      <c r="T39" s="9"/>
      <c r="U39" s="9"/>
    </row>
    <row r="40" spans="1:21" ht="7.5" customHeight="1">
      <c r="A40" s="4"/>
      <c r="E40" s="85"/>
      <c r="F40" s="9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9"/>
      <c r="S40" s="38"/>
      <c r="T40" s="9"/>
      <c r="U40" s="9"/>
    </row>
    <row r="41" spans="1:21" ht="12.75">
      <c r="A41" s="4">
        <v>22</v>
      </c>
      <c r="C41" t="s">
        <v>141</v>
      </c>
      <c r="E41" s="85">
        <f>+'Inc State 2'!S41</f>
        <v>31933</v>
      </c>
      <c r="F41" s="9"/>
      <c r="G41" s="85">
        <f>+'Expiring Lease'!H19/1000</f>
        <v>-1091.103</v>
      </c>
      <c r="H41" s="85"/>
      <c r="I41" s="85">
        <f>+'Misc Expense'!H44/1000</f>
        <v>-132.0432344972576</v>
      </c>
      <c r="J41" s="85"/>
      <c r="K41" s="85"/>
      <c r="L41" s="85"/>
      <c r="M41" s="85"/>
      <c r="N41" s="85"/>
      <c r="O41" s="85"/>
      <c r="P41" s="85"/>
      <c r="Q41" s="85"/>
      <c r="R41" s="9"/>
      <c r="S41" s="38">
        <f>SUM(E41:R41)</f>
        <v>30709.853765502743</v>
      </c>
      <c r="T41" s="9"/>
      <c r="U41" s="9"/>
    </row>
    <row r="42" spans="1:21" ht="12.75">
      <c r="A42" s="4">
        <v>23</v>
      </c>
      <c r="C42" t="s">
        <v>145</v>
      </c>
      <c r="E42" s="85">
        <f>+'Inc State 2'!S42</f>
        <v>6014.83265572956</v>
      </c>
      <c r="F42" s="9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9"/>
      <c r="S42" s="38">
        <f>SUM(E42:R42)</f>
        <v>6014.83265572956</v>
      </c>
      <c r="T42" s="9"/>
      <c r="U42" s="9"/>
    </row>
    <row r="43" spans="1:21" ht="12.75">
      <c r="A43" s="4">
        <v>24</v>
      </c>
      <c r="C43" t="s">
        <v>146</v>
      </c>
      <c r="E43" s="86">
        <f>+'Inc State 2'!S43</f>
        <v>3</v>
      </c>
      <c r="F43" s="9"/>
      <c r="G43" s="86"/>
      <c r="H43" s="85"/>
      <c r="I43" s="86"/>
      <c r="J43" s="85"/>
      <c r="K43" s="86"/>
      <c r="L43" s="85"/>
      <c r="M43" s="86"/>
      <c r="N43" s="85"/>
      <c r="O43" s="86"/>
      <c r="P43" s="85"/>
      <c r="Q43" s="86"/>
      <c r="R43" s="9"/>
      <c r="S43" s="39">
        <f>SUM(E43:R43)</f>
        <v>3</v>
      </c>
      <c r="T43" s="9"/>
      <c r="U43" s="9"/>
    </row>
    <row r="44" spans="1:21" ht="12.75">
      <c r="A44" s="4">
        <v>25</v>
      </c>
      <c r="C44" t="s">
        <v>150</v>
      </c>
      <c r="E44" s="85">
        <f>SUM(E41:E43)</f>
        <v>37950.83265572956</v>
      </c>
      <c r="F44" s="9"/>
      <c r="G44" s="85">
        <f>SUM(G41:G43)</f>
        <v>-1091.103</v>
      </c>
      <c r="H44" s="85"/>
      <c r="I44" s="85">
        <f>SUM(I41:I43)</f>
        <v>-132.0432344972576</v>
      </c>
      <c r="J44" s="85"/>
      <c r="K44" s="85">
        <f>SUM(K41:K43)</f>
        <v>0</v>
      </c>
      <c r="L44" s="85"/>
      <c r="M44" s="85">
        <f>SUM(M41:M43)</f>
        <v>0</v>
      </c>
      <c r="N44" s="85"/>
      <c r="O44" s="85">
        <f>SUM(O41:O43)</f>
        <v>0</v>
      </c>
      <c r="P44" s="85"/>
      <c r="Q44" s="85">
        <f>SUM(Q41:Q43)</f>
        <v>0</v>
      </c>
      <c r="R44" s="85"/>
      <c r="S44" s="85">
        <f>SUM(S41:S43)</f>
        <v>36727.686421232305</v>
      </c>
      <c r="T44" s="9"/>
      <c r="U44" s="9"/>
    </row>
    <row r="45" spans="1:21" ht="7.5" customHeight="1">
      <c r="A45" s="4"/>
      <c r="E45" s="85"/>
      <c r="F45" s="9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9"/>
      <c r="S45" s="38"/>
      <c r="T45" s="9"/>
      <c r="U45" s="9"/>
    </row>
    <row r="46" spans="1:21" ht="12.75">
      <c r="A46" s="4">
        <v>26</v>
      </c>
      <c r="C46" t="s">
        <v>151</v>
      </c>
      <c r="E46" s="86">
        <f>+E28+E34+E39+E44</f>
        <v>266799.9466844676</v>
      </c>
      <c r="F46" s="9"/>
      <c r="G46" s="86">
        <f>+G28+G34+G39+G44</f>
        <v>-1091.103</v>
      </c>
      <c r="H46" s="85"/>
      <c r="I46" s="86">
        <f>+I28+I34+I39+I44</f>
        <v>-132.0432344972576</v>
      </c>
      <c r="J46" s="85"/>
      <c r="K46" s="86">
        <f>+K28+K34+K39+K44</f>
        <v>-2776</v>
      </c>
      <c r="L46" s="85"/>
      <c r="M46" s="86">
        <f>+M28+M34+M39+M44</f>
        <v>-683</v>
      </c>
      <c r="N46" s="85"/>
      <c r="O46" s="86">
        <f>+O28+O34+O39+O44</f>
        <v>0</v>
      </c>
      <c r="P46" s="85"/>
      <c r="Q46" s="86">
        <f>+Q28+Q34+Q39+Q44</f>
        <v>0</v>
      </c>
      <c r="R46" s="9"/>
      <c r="S46" s="86">
        <f>+S28+S34+S39+S44</f>
        <v>262117.80044997035</v>
      </c>
      <c r="T46" s="9"/>
      <c r="U46" s="9"/>
    </row>
    <row r="47" spans="1:21" ht="7.5" customHeight="1">
      <c r="A47" s="4"/>
      <c r="E47" s="85"/>
      <c r="F47" s="9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9"/>
      <c r="S47" s="85"/>
      <c r="T47" s="9"/>
      <c r="U47" s="9"/>
    </row>
    <row r="48" spans="1:21" ht="12.75">
      <c r="A48" s="4">
        <v>27</v>
      </c>
      <c r="C48" t="s">
        <v>152</v>
      </c>
      <c r="E48" s="38">
        <f>+E21-E46</f>
        <v>68563.26131553238</v>
      </c>
      <c r="F48" s="9"/>
      <c r="G48" s="38">
        <f>+G21-G46</f>
        <v>1091.103</v>
      </c>
      <c r="H48" s="85"/>
      <c r="I48" s="38">
        <f>+I21-I46</f>
        <v>132.0432344972576</v>
      </c>
      <c r="J48" s="85"/>
      <c r="K48" s="38">
        <f>+K21-K46</f>
        <v>2776</v>
      </c>
      <c r="L48" s="85"/>
      <c r="M48" s="38">
        <f>+M21-M46</f>
        <v>683</v>
      </c>
      <c r="N48" s="85"/>
      <c r="O48" s="38">
        <f>+O21-O46</f>
        <v>0</v>
      </c>
      <c r="P48" s="85"/>
      <c r="Q48" s="38">
        <f>+Q21-Q46</f>
        <v>0</v>
      </c>
      <c r="R48" s="9"/>
      <c r="S48" s="38">
        <f>+S21-S46</f>
        <v>73245.40755002963</v>
      </c>
      <c r="T48" s="9"/>
      <c r="U48" s="9"/>
    </row>
    <row r="49" spans="1:21" ht="7.5" customHeight="1">
      <c r="A49" s="4"/>
      <c r="E49" s="87"/>
      <c r="F49" s="9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9"/>
      <c r="S49" s="9"/>
      <c r="T49" s="9"/>
      <c r="U49" s="9"/>
    </row>
    <row r="50" spans="1:21" ht="12.75">
      <c r="A50" s="4">
        <v>28</v>
      </c>
      <c r="C50" t="s">
        <v>153</v>
      </c>
      <c r="E50" s="9"/>
      <c r="F50" s="9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9"/>
      <c r="S50" s="9"/>
      <c r="T50" s="9"/>
      <c r="U50" s="9"/>
    </row>
    <row r="51" spans="1:21" ht="12.75">
      <c r="A51" s="4">
        <v>29</v>
      </c>
      <c r="C51" t="s">
        <v>154</v>
      </c>
      <c r="E51" s="85">
        <f>+'Inc State 2'!S51</f>
        <v>7770.292280046709</v>
      </c>
      <c r="F51" s="9"/>
      <c r="G51" s="85">
        <f>+'Expiring Lease'!H23/1000</f>
        <v>381.88605</v>
      </c>
      <c r="H51" s="85"/>
      <c r="I51" s="85">
        <f>+'Misc Expense'!H48/1000</f>
        <v>46.215132074040156</v>
      </c>
      <c r="J51" s="85"/>
      <c r="K51" s="85">
        <f>+'Hydro Reshaping'!H26/1000</f>
        <v>971.5999999999999</v>
      </c>
      <c r="L51" s="85"/>
      <c r="M51" s="85">
        <f>+'New Colstrip Capacity'!H28/1000</f>
        <v>239.04999999999998</v>
      </c>
      <c r="N51" s="85"/>
      <c r="O51" s="85"/>
      <c r="P51" s="85"/>
      <c r="Q51" s="85"/>
      <c r="R51" s="9"/>
      <c r="S51" s="38">
        <f>SUM(E51:R51)</f>
        <v>9409.043462120748</v>
      </c>
      <c r="T51" s="9"/>
      <c r="U51" s="9"/>
    </row>
    <row r="52" spans="1:21" ht="12.75">
      <c r="A52" s="4">
        <v>30</v>
      </c>
      <c r="C52" t="s">
        <v>155</v>
      </c>
      <c r="E52" s="86">
        <f>+'Inc State 2'!S52</f>
        <v>1131</v>
      </c>
      <c r="F52" s="9"/>
      <c r="G52" s="86"/>
      <c r="H52" s="85"/>
      <c r="I52" s="86"/>
      <c r="J52" s="85"/>
      <c r="K52" s="86"/>
      <c r="L52" s="85"/>
      <c r="M52" s="86"/>
      <c r="N52" s="85"/>
      <c r="O52" s="86"/>
      <c r="P52" s="85"/>
      <c r="Q52" s="86"/>
      <c r="R52" s="9"/>
      <c r="S52" s="39">
        <f>SUM(E52:R52)</f>
        <v>1131</v>
      </c>
      <c r="T52" s="9"/>
      <c r="U52" s="9"/>
    </row>
    <row r="53" spans="5:21" ht="7.5" customHeight="1">
      <c r="E53" s="9"/>
      <c r="F53" s="9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9"/>
      <c r="S53" s="9"/>
      <c r="T53" s="9"/>
      <c r="U53" s="9"/>
    </row>
    <row r="54" spans="1:21" ht="13.5" thickBot="1">
      <c r="A54" s="4">
        <v>31</v>
      </c>
      <c r="C54" t="s">
        <v>156</v>
      </c>
      <c r="E54" s="41">
        <f>+E48-E51-E52</f>
        <v>59661.96903548567</v>
      </c>
      <c r="F54" s="9"/>
      <c r="G54" s="41">
        <f>+G48-G51-G52</f>
        <v>709.21695</v>
      </c>
      <c r="H54" s="85"/>
      <c r="I54" s="41">
        <f>+I48-I51-I52</f>
        <v>85.82810242321744</v>
      </c>
      <c r="J54" s="85"/>
      <c r="K54" s="41">
        <f>+K48-K51-K52</f>
        <v>1804.4</v>
      </c>
      <c r="L54" s="85"/>
      <c r="M54" s="41">
        <f>+M48-M51-M52</f>
        <v>443.95000000000005</v>
      </c>
      <c r="N54" s="85"/>
      <c r="O54" s="41">
        <f>+O48-O51-O52</f>
        <v>0</v>
      </c>
      <c r="P54" s="85"/>
      <c r="Q54" s="41">
        <f>+Q48-Q51-Q52</f>
        <v>0</v>
      </c>
      <c r="R54" s="9"/>
      <c r="S54" s="41">
        <f>+S48-S51-S52</f>
        <v>62705.364087908885</v>
      </c>
      <c r="T54" s="9"/>
      <c r="U54" s="9"/>
    </row>
    <row r="55" spans="5:21" ht="13.5" thickTop="1">
      <c r="E55" s="9"/>
      <c r="F55" s="9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9"/>
      <c r="S55" s="9"/>
      <c r="T55" s="9"/>
      <c r="U55" s="9"/>
    </row>
    <row r="56" spans="5:21" ht="12.75">
      <c r="E56" s="9"/>
      <c r="F56" s="9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9"/>
      <c r="S56" s="38"/>
      <c r="T56" s="9"/>
      <c r="U56" s="9"/>
    </row>
    <row r="57" spans="5:21" ht="12.75">
      <c r="E57" s="9"/>
      <c r="F57" s="9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9"/>
      <c r="S57" s="9"/>
      <c r="T57" s="9"/>
      <c r="U57" s="9"/>
    </row>
    <row r="58" spans="5:21" ht="12.75">
      <c r="E58" s="9"/>
      <c r="F58" s="9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9"/>
      <c r="S58" s="9"/>
      <c r="T58" s="9"/>
      <c r="U58" s="9"/>
    </row>
    <row r="59" spans="5:21" ht="12.75">
      <c r="E59" s="9"/>
      <c r="F59" s="9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9"/>
      <c r="S59" s="9"/>
      <c r="T59" s="9"/>
      <c r="U59" s="9"/>
    </row>
    <row r="60" spans="5:21" ht="12.75">
      <c r="E60" s="9"/>
      <c r="F60" s="9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9"/>
      <c r="S60" s="9"/>
      <c r="T60" s="9"/>
      <c r="U60" s="9"/>
    </row>
    <row r="61" spans="5:21" ht="12.75">
      <c r="E61" s="9"/>
      <c r="F61" s="9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9"/>
      <c r="S61" s="9"/>
      <c r="T61" s="9"/>
      <c r="U61" s="9"/>
    </row>
    <row r="62" spans="5:21" ht="12.75">
      <c r="E62" s="9"/>
      <c r="F62" s="9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9"/>
      <c r="S62" s="9"/>
      <c r="T62" s="9"/>
      <c r="U62" s="9"/>
    </row>
    <row r="63" spans="5:21" ht="12.75">
      <c r="E63" s="9"/>
      <c r="F63" s="9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9"/>
      <c r="S63" s="9"/>
      <c r="T63" s="9"/>
      <c r="U63" s="9"/>
    </row>
    <row r="64" spans="5:21" ht="12.75">
      <c r="E64" s="9"/>
      <c r="F64" s="9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9"/>
      <c r="S64" s="9"/>
      <c r="T64" s="9"/>
      <c r="U64" s="9"/>
    </row>
    <row r="65" spans="5:21" ht="12.75">
      <c r="E65" s="9"/>
      <c r="F65" s="9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9"/>
      <c r="S65" s="9"/>
      <c r="T65" s="9"/>
      <c r="U65" s="9"/>
    </row>
    <row r="66" spans="5:21" ht="12.75">
      <c r="E66" s="9"/>
      <c r="F66" s="9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9"/>
      <c r="S66" s="9"/>
      <c r="T66" s="9"/>
      <c r="U66" s="9"/>
    </row>
    <row r="67" spans="5:21" ht="12.75">
      <c r="E67" s="9"/>
      <c r="F67" s="9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9"/>
      <c r="S67" s="9"/>
      <c r="T67" s="9"/>
      <c r="U67" s="9"/>
    </row>
    <row r="68" spans="5:21" ht="12.75"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5:21" ht="12.75"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 spans="5:21" ht="12.75"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5:21" ht="12.75"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</row>
    <row r="72" spans="5:21" ht="12.75"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</row>
    <row r="73" spans="5:21" ht="12.75"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5:21" ht="12.75"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</sheetData>
  <mergeCells count="3">
    <mergeCell ref="E5:M5"/>
    <mergeCell ref="E6:M6"/>
    <mergeCell ref="E7:M7"/>
  </mergeCells>
  <printOptions/>
  <pageMargins left="0.75" right="0.75" top="1.25" bottom="0.5" header="0.5" footer="0.5"/>
  <pageSetup fitToHeight="1" fitToWidth="1" horizontalDpi="600" verticalDpi="600" orientation="landscape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workbookViewId="0" topLeftCell="A1">
      <selection activeCell="L2" sqref="L2"/>
    </sheetView>
  </sheetViews>
  <sheetFormatPr defaultColWidth="9.140625" defaultRowHeight="12.75"/>
  <cols>
    <col min="1" max="1" width="5.7109375" style="0" customWidth="1"/>
    <col min="2" max="2" width="2.7109375" style="0" customWidth="1"/>
    <col min="3" max="3" width="12.7109375" style="0" customWidth="1"/>
    <col min="6" max="6" width="10.28125" style="0" bestFit="1" customWidth="1"/>
    <col min="7" max="7" width="1.7109375" style="0" customWidth="1"/>
    <col min="8" max="8" width="14.00390625" style="0" bestFit="1" customWidth="1"/>
    <col min="9" max="9" width="1.7109375" style="0" customWidth="1"/>
    <col min="10" max="10" width="10.8515625" style="0" customWidth="1"/>
    <col min="11" max="11" width="1.7109375" style="0" customWidth="1"/>
  </cols>
  <sheetData>
    <row r="1" spans="1:12" ht="12.75">
      <c r="A1" t="s">
        <v>222</v>
      </c>
      <c r="L1" s="43" t="s">
        <v>663</v>
      </c>
    </row>
    <row r="2" ht="12.75">
      <c r="L2" s="43" t="s">
        <v>794</v>
      </c>
    </row>
    <row r="3" ht="12.75">
      <c r="L3" s="43" t="s">
        <v>770</v>
      </c>
    </row>
    <row r="4" ht="12.75">
      <c r="J4" s="43"/>
    </row>
    <row r="5" spans="10:12" ht="12.75">
      <c r="J5" s="43"/>
      <c r="L5" s="43" t="s">
        <v>251</v>
      </c>
    </row>
    <row r="6" spans="3:9" ht="18">
      <c r="C6" s="146" t="s">
        <v>79</v>
      </c>
      <c r="D6" s="146"/>
      <c r="E6" s="146"/>
      <c r="F6" s="146"/>
      <c r="G6" s="146"/>
      <c r="H6" s="146"/>
      <c r="I6" s="146"/>
    </row>
    <row r="7" spans="3:9" ht="12.75">
      <c r="C7" s="150" t="s">
        <v>158</v>
      </c>
      <c r="D7" s="150"/>
      <c r="E7" s="150"/>
      <c r="F7" s="150"/>
      <c r="G7" s="150"/>
      <c r="H7" s="150"/>
      <c r="I7" s="150"/>
    </row>
    <row r="8" spans="3:9" ht="12.75">
      <c r="C8" s="150" t="s">
        <v>161</v>
      </c>
      <c r="D8" s="150"/>
      <c r="E8" s="150"/>
      <c r="F8" s="150"/>
      <c r="G8" s="150"/>
      <c r="H8" s="150"/>
      <c r="I8" s="150"/>
    </row>
    <row r="12" spans="1:10" ht="12.75">
      <c r="A12" s="4" t="s">
        <v>3</v>
      </c>
      <c r="H12" s="4" t="s">
        <v>76</v>
      </c>
      <c r="J12" s="4" t="s">
        <v>76</v>
      </c>
    </row>
    <row r="13" spans="1:12" ht="12.75">
      <c r="A13" s="5" t="s">
        <v>4</v>
      </c>
      <c r="C13" s="8" t="s">
        <v>5</v>
      </c>
      <c r="D13" s="8"/>
      <c r="E13" s="8"/>
      <c r="F13" s="8"/>
      <c r="H13" s="5" t="s">
        <v>102</v>
      </c>
      <c r="J13" s="5" t="s">
        <v>104</v>
      </c>
      <c r="L13" s="5" t="s">
        <v>105</v>
      </c>
    </row>
    <row r="15" spans="1:3" ht="12.75">
      <c r="A15" s="4">
        <v>1</v>
      </c>
      <c r="C15" t="s">
        <v>101</v>
      </c>
    </row>
    <row r="16" spans="1:12" ht="12.75">
      <c r="A16" s="4">
        <v>2</v>
      </c>
      <c r="C16" t="s">
        <v>647</v>
      </c>
      <c r="H16" s="2">
        <f>+'Cust Depts RB'!H24</f>
        <v>-2329021.8880373747</v>
      </c>
      <c r="I16" s="2"/>
      <c r="J16" s="2">
        <f>+'Cust Depts RB'!L24</f>
        <v>-1050100.1119626253</v>
      </c>
      <c r="L16" s="126" t="s">
        <v>162</v>
      </c>
    </row>
    <row r="17" spans="1:12" ht="12.75">
      <c r="A17" s="15"/>
      <c r="B17" s="9"/>
      <c r="C17" s="14"/>
      <c r="D17" s="9"/>
      <c r="E17" s="9"/>
      <c r="F17" s="9"/>
      <c r="G17" s="9"/>
      <c r="H17" s="10"/>
      <c r="I17" s="9"/>
      <c r="J17" s="9"/>
      <c r="K17" s="9"/>
      <c r="L17" s="15"/>
    </row>
    <row r="18" spans="1:12" ht="12.75">
      <c r="A18" s="15">
        <v>3</v>
      </c>
      <c r="B18" s="9"/>
      <c r="C18" s="14" t="s">
        <v>163</v>
      </c>
      <c r="D18" s="9"/>
      <c r="E18" s="9"/>
      <c r="F18" s="11">
        <v>36285</v>
      </c>
      <c r="G18" s="9"/>
      <c r="H18" s="11"/>
      <c r="I18" s="9"/>
      <c r="J18" s="9"/>
      <c r="K18" s="9"/>
      <c r="L18" s="15" t="s">
        <v>99</v>
      </c>
    </row>
    <row r="19" spans="1:12" ht="12.75">
      <c r="A19" s="15"/>
      <c r="B19" s="9"/>
      <c r="C19" s="14"/>
      <c r="D19" s="9"/>
      <c r="E19" s="9"/>
      <c r="F19" s="9"/>
      <c r="G19" s="9"/>
      <c r="H19" s="10"/>
      <c r="I19" s="9"/>
      <c r="J19" s="9"/>
      <c r="K19" s="9"/>
      <c r="L19" s="9"/>
    </row>
    <row r="20" spans="1:12" ht="12.75">
      <c r="A20" s="15">
        <v>4</v>
      </c>
      <c r="B20" s="9"/>
      <c r="C20" s="14" t="s">
        <v>164</v>
      </c>
      <c r="D20" s="9"/>
      <c r="E20" s="9"/>
      <c r="F20" s="9"/>
      <c r="G20" s="9"/>
      <c r="H20" s="10">
        <f>+$F$18*($H$16/($H$16+$J$16))</f>
        <v>25009.028738067504</v>
      </c>
      <c r="I20" s="9"/>
      <c r="J20" s="10">
        <f>+$F$18*($J$16/($H$16+$J$16))</f>
        <v>11275.971261932495</v>
      </c>
      <c r="K20" s="9"/>
      <c r="L20" s="9"/>
    </row>
    <row r="21" spans="1:12" ht="12.75">
      <c r="A21" s="15"/>
      <c r="B21" s="9"/>
      <c r="C21" s="14"/>
      <c r="D21" s="9"/>
      <c r="E21" s="9"/>
      <c r="F21" s="9"/>
      <c r="G21" s="9"/>
      <c r="H21" s="16"/>
      <c r="I21" s="9"/>
      <c r="J21" s="9"/>
      <c r="K21" s="9"/>
      <c r="L21" s="9"/>
    </row>
    <row r="22" spans="1:12" ht="12.75">
      <c r="A22" s="15">
        <v>5</v>
      </c>
      <c r="B22" s="9"/>
      <c r="C22" s="9" t="s">
        <v>165</v>
      </c>
      <c r="D22" s="9"/>
      <c r="E22" s="9"/>
      <c r="F22" s="9"/>
      <c r="G22" s="9"/>
      <c r="H22" s="71">
        <v>0.35</v>
      </c>
      <c r="I22" s="9"/>
      <c r="J22" s="71">
        <v>0.35</v>
      </c>
      <c r="K22" s="9"/>
      <c r="L22" s="9"/>
    </row>
    <row r="23" spans="1:12" ht="12.75">
      <c r="A23" s="15"/>
      <c r="B23" s="9"/>
      <c r="C23" s="14"/>
      <c r="D23" s="9"/>
      <c r="E23" s="9"/>
      <c r="F23" s="9"/>
      <c r="G23" s="9"/>
      <c r="H23" s="9"/>
      <c r="I23" s="9"/>
      <c r="J23" s="9"/>
      <c r="K23" s="9"/>
      <c r="L23" s="9"/>
    </row>
    <row r="24" spans="1:12" ht="13.5" thickBot="1">
      <c r="A24" s="15">
        <v>6</v>
      </c>
      <c r="B24" s="9"/>
      <c r="C24" s="14" t="s">
        <v>166</v>
      </c>
      <c r="D24" s="9"/>
      <c r="E24" s="9"/>
      <c r="F24" s="9"/>
      <c r="G24" s="9"/>
      <c r="H24" s="7">
        <f>+H20*-H22</f>
        <v>-8753.160058323625</v>
      </c>
      <c r="I24" s="9"/>
      <c r="J24" s="7">
        <f>+J20*-J22</f>
        <v>-3946.5899416763727</v>
      </c>
      <c r="K24" s="9"/>
      <c r="L24" s="9"/>
    </row>
    <row r="25" spans="1:12" ht="13.5" thickTop="1">
      <c r="A25" s="15"/>
      <c r="B25" s="9"/>
      <c r="C25" s="14"/>
      <c r="D25" s="9"/>
      <c r="E25" s="9"/>
      <c r="F25" s="9"/>
      <c r="G25" s="9"/>
      <c r="H25" s="9"/>
      <c r="I25" s="9"/>
      <c r="J25" s="9"/>
      <c r="K25" s="9"/>
      <c r="L25" s="9"/>
    </row>
    <row r="26" spans="1:12" ht="12.75">
      <c r="A26" s="15"/>
      <c r="B26" s="9"/>
      <c r="C26" s="14"/>
      <c r="D26" s="9"/>
      <c r="E26" s="9"/>
      <c r="F26" s="9"/>
      <c r="G26" s="9"/>
      <c r="H26" s="9"/>
      <c r="I26" s="9"/>
      <c r="J26" s="9"/>
      <c r="K26" s="9"/>
      <c r="L26" s="9"/>
    </row>
    <row r="27" spans="1:12" ht="12.75">
      <c r="A27" s="15"/>
      <c r="B27" s="9"/>
      <c r="C27" s="14"/>
      <c r="D27" s="9"/>
      <c r="E27" s="9"/>
      <c r="F27" s="9"/>
      <c r="G27" s="9"/>
      <c r="H27" s="9"/>
      <c r="I27" s="9"/>
      <c r="J27" s="9"/>
      <c r="K27" s="9"/>
      <c r="L27" s="9"/>
    </row>
    <row r="28" spans="1:12" ht="12.75">
      <c r="A28" s="15"/>
      <c r="B28" s="9"/>
      <c r="C28" s="14"/>
      <c r="D28" s="9"/>
      <c r="E28" s="9"/>
      <c r="F28" s="9"/>
      <c r="G28" s="9"/>
      <c r="H28" s="10"/>
      <c r="I28" s="9"/>
      <c r="J28" s="9"/>
      <c r="K28" s="9"/>
      <c r="L28" s="9"/>
    </row>
    <row r="29" spans="1:12" ht="12.75">
      <c r="A29" s="15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2.75">
      <c r="A30" s="15"/>
      <c r="B30" s="9"/>
      <c r="C30" s="14"/>
      <c r="D30" s="9"/>
      <c r="E30" s="9"/>
      <c r="F30" s="9"/>
      <c r="G30" s="9"/>
      <c r="H30" s="9"/>
      <c r="I30" s="9"/>
      <c r="J30" s="9"/>
      <c r="K30" s="9"/>
      <c r="L30" s="9"/>
    </row>
    <row r="31" spans="1:12" ht="12.75">
      <c r="A31" s="15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43" ht="12.75">
      <c r="C43" t="s">
        <v>78</v>
      </c>
    </row>
  </sheetData>
  <mergeCells count="3">
    <mergeCell ref="C6:I6"/>
    <mergeCell ref="C7:I7"/>
    <mergeCell ref="C8:I8"/>
  </mergeCells>
  <printOptions/>
  <pageMargins left="1.25" right="0.75" top="1" bottom="1" header="0.5" footer="0.5"/>
  <pageSetup fitToHeight="1" fitToWidth="1" horizontalDpi="600" verticalDpi="600" orientation="portrait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K34"/>
  <sheetViews>
    <sheetView workbookViewId="0" topLeftCell="A1">
      <selection activeCell="K4" sqref="K4"/>
    </sheetView>
  </sheetViews>
  <sheetFormatPr defaultColWidth="9.140625" defaultRowHeight="12.75"/>
  <cols>
    <col min="1" max="1" width="5.7109375" style="0" customWidth="1"/>
    <col min="2" max="3" width="2.7109375" style="0" customWidth="1"/>
    <col min="9" max="9" width="10.28125" style="0" bestFit="1" customWidth="1"/>
    <col min="10" max="10" width="3.7109375" style="0" customWidth="1"/>
  </cols>
  <sheetData>
    <row r="3" spans="1:11" ht="12.75">
      <c r="A3" t="s">
        <v>222</v>
      </c>
      <c r="K3" s="43" t="s">
        <v>663</v>
      </c>
    </row>
    <row r="4" ht="12.75">
      <c r="K4" s="43" t="s">
        <v>794</v>
      </c>
    </row>
    <row r="5" ht="12.75">
      <c r="K5" s="43" t="s">
        <v>769</v>
      </c>
    </row>
    <row r="6" ht="12.75">
      <c r="K6" s="43"/>
    </row>
    <row r="7" ht="12.75">
      <c r="K7" s="43" t="s">
        <v>252</v>
      </c>
    </row>
    <row r="9" spans="3:10" ht="15.75">
      <c r="C9" s="149" t="s">
        <v>79</v>
      </c>
      <c r="D9" s="149"/>
      <c r="E9" s="149"/>
      <c r="F9" s="149"/>
      <c r="G9" s="149"/>
      <c r="H9" s="149"/>
      <c r="I9" s="149"/>
      <c r="J9" s="149"/>
    </row>
    <row r="10" spans="3:10" ht="12.75">
      <c r="C10" s="150" t="s">
        <v>158</v>
      </c>
      <c r="D10" s="150"/>
      <c r="E10" s="150"/>
      <c r="F10" s="150"/>
      <c r="G10" s="150"/>
      <c r="H10" s="150"/>
      <c r="I10" s="150"/>
      <c r="J10" s="150"/>
    </row>
    <row r="11" spans="3:10" ht="12.75">
      <c r="C11" s="150" t="s">
        <v>187</v>
      </c>
      <c r="D11" s="150"/>
      <c r="E11" s="150"/>
      <c r="F11" s="150"/>
      <c r="G11" s="150"/>
      <c r="H11" s="150"/>
      <c r="I11" s="150"/>
      <c r="J11" s="150"/>
    </row>
    <row r="12" spans="3:10" ht="12.75">
      <c r="C12" s="150" t="s">
        <v>188</v>
      </c>
      <c r="D12" s="150"/>
      <c r="E12" s="150"/>
      <c r="F12" s="150"/>
      <c r="G12" s="150"/>
      <c r="H12" s="150"/>
      <c r="I12" s="150"/>
      <c r="J12" s="150"/>
    </row>
    <row r="13" spans="3:10" ht="12.75">
      <c r="C13" s="150" t="s">
        <v>189</v>
      </c>
      <c r="D13" s="150"/>
      <c r="E13" s="150"/>
      <c r="F13" s="150"/>
      <c r="G13" s="150"/>
      <c r="H13" s="150"/>
      <c r="I13" s="150"/>
      <c r="J13" s="150"/>
    </row>
    <row r="15" spans="1:8" ht="12.75">
      <c r="A15" s="4" t="s">
        <v>3</v>
      </c>
      <c r="H15" s="9"/>
    </row>
    <row r="16" spans="1:11" ht="12.75">
      <c r="A16" s="5" t="s">
        <v>4</v>
      </c>
      <c r="C16" s="8" t="s">
        <v>5</v>
      </c>
      <c r="D16" s="8"/>
      <c r="E16" s="8"/>
      <c r="F16" s="8"/>
      <c r="G16" s="8"/>
      <c r="H16" s="9"/>
      <c r="I16" s="5" t="s">
        <v>0</v>
      </c>
      <c r="K16" s="5" t="s">
        <v>105</v>
      </c>
    </row>
    <row r="17" ht="12.75">
      <c r="H17" s="9"/>
    </row>
    <row r="18" spans="1:11" ht="12.75">
      <c r="A18" s="4"/>
      <c r="E18" s="11"/>
      <c r="F18" s="11"/>
      <c r="G18" s="11"/>
      <c r="H18" s="11"/>
      <c r="I18" s="2"/>
      <c r="J18" s="40"/>
      <c r="K18" s="2"/>
    </row>
    <row r="19" spans="1:10" ht="12.75">
      <c r="A19" s="4">
        <v>1</v>
      </c>
      <c r="C19" t="s">
        <v>190</v>
      </c>
      <c r="H19" s="9"/>
      <c r="I19" s="2"/>
      <c r="J19" s="40"/>
    </row>
    <row r="20" spans="1:3" ht="12.75">
      <c r="A20" s="4">
        <v>2</v>
      </c>
      <c r="C20" t="s">
        <v>191</v>
      </c>
    </row>
    <row r="21" spans="1:9" ht="12.75">
      <c r="A21" s="4">
        <v>3</v>
      </c>
      <c r="C21" t="s">
        <v>192</v>
      </c>
      <c r="I21" s="2"/>
    </row>
    <row r="22" spans="1:11" ht="12.75">
      <c r="A22" s="4">
        <v>4</v>
      </c>
      <c r="C22" t="s">
        <v>193</v>
      </c>
      <c r="I22" s="1"/>
      <c r="K22" s="40" t="s">
        <v>178</v>
      </c>
    </row>
    <row r="23" spans="1:11" ht="12.75">
      <c r="A23" s="4">
        <v>5</v>
      </c>
      <c r="D23" t="s">
        <v>194</v>
      </c>
      <c r="I23" s="1">
        <f>-521000</f>
        <v>-521000</v>
      </c>
      <c r="K23" t="s">
        <v>174</v>
      </c>
    </row>
    <row r="24" spans="1:11" ht="12.75">
      <c r="A24" s="4">
        <v>6</v>
      </c>
      <c r="D24" t="s">
        <v>195</v>
      </c>
      <c r="I24" s="72">
        <f>-13000</f>
        <v>-13000</v>
      </c>
      <c r="K24" t="s">
        <v>197</v>
      </c>
    </row>
    <row r="25" spans="1:9" ht="12.75">
      <c r="A25" s="4"/>
      <c r="I25" s="1"/>
    </row>
    <row r="26" spans="1:9" ht="12.75">
      <c r="A26" s="4">
        <v>7</v>
      </c>
      <c r="D26" t="s">
        <v>196</v>
      </c>
      <c r="I26" s="1">
        <f>+I23+I24</f>
        <v>-534000</v>
      </c>
    </row>
    <row r="27" spans="1:9" ht="12.75">
      <c r="A27" s="4"/>
      <c r="I27" s="1"/>
    </row>
    <row r="28" spans="1:9" ht="12.75">
      <c r="A28" s="4"/>
      <c r="I28" s="1"/>
    </row>
    <row r="29" spans="1:9" ht="12.75">
      <c r="A29" s="4">
        <v>8</v>
      </c>
      <c r="C29" t="s">
        <v>165</v>
      </c>
      <c r="I29" s="71">
        <v>0.35</v>
      </c>
    </row>
    <row r="31" spans="1:3" ht="12.75">
      <c r="A31" s="4">
        <v>9</v>
      </c>
      <c r="C31" t="s">
        <v>180</v>
      </c>
    </row>
    <row r="32" spans="1:9" ht="12.75">
      <c r="A32" s="4">
        <v>10</v>
      </c>
      <c r="C32" t="s">
        <v>181</v>
      </c>
      <c r="I32" s="3">
        <f>+I26*-I29</f>
        <v>186900</v>
      </c>
    </row>
    <row r="34" spans="1:9" ht="13.5" thickBot="1">
      <c r="A34" s="4">
        <v>11</v>
      </c>
      <c r="C34" t="s">
        <v>182</v>
      </c>
      <c r="I34" s="7">
        <f>-I26-I32</f>
        <v>347100</v>
      </c>
    </row>
    <row r="35" ht="13.5" thickTop="1"/>
  </sheetData>
  <mergeCells count="5">
    <mergeCell ref="C13:J13"/>
    <mergeCell ref="C9:J9"/>
    <mergeCell ref="C10:J10"/>
    <mergeCell ref="C11:J11"/>
    <mergeCell ref="C12:J12"/>
  </mergeCells>
  <printOptions/>
  <pageMargins left="1.2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workbookViewId="0" topLeftCell="A1">
      <selection activeCell="H26" sqref="H26"/>
    </sheetView>
  </sheetViews>
  <sheetFormatPr defaultColWidth="9.140625" defaultRowHeight="12.75"/>
  <cols>
    <col min="1" max="1" width="5.7109375" style="0" customWidth="1"/>
    <col min="2" max="2" width="2.7109375" style="0" customWidth="1"/>
    <col min="7" max="7" width="2.7109375" style="0" customWidth="1"/>
    <col min="8" max="8" width="13.421875" style="0" customWidth="1"/>
    <col min="9" max="9" width="3.7109375" style="0" customWidth="1"/>
    <col min="10" max="10" width="11.421875" style="0" bestFit="1" customWidth="1"/>
  </cols>
  <sheetData>
    <row r="1" spans="1:10" ht="12.75">
      <c r="A1" t="s">
        <v>222</v>
      </c>
      <c r="J1" s="43" t="s">
        <v>663</v>
      </c>
    </row>
    <row r="2" ht="12.75">
      <c r="J2" s="43" t="s">
        <v>794</v>
      </c>
    </row>
    <row r="3" ht="12.75">
      <c r="J3" s="43" t="s">
        <v>768</v>
      </c>
    </row>
    <row r="4" ht="12.75">
      <c r="J4" s="43"/>
    </row>
    <row r="5" ht="12.75">
      <c r="J5" s="43" t="s">
        <v>253</v>
      </c>
    </row>
    <row r="6" spans="3:9" ht="15.75">
      <c r="C6" s="149" t="s">
        <v>79</v>
      </c>
      <c r="D6" s="149"/>
      <c r="E6" s="149"/>
      <c r="F6" s="149"/>
      <c r="G6" s="149"/>
      <c r="H6" s="149"/>
      <c r="I6" s="149"/>
    </row>
    <row r="7" spans="3:9" ht="12.75">
      <c r="C7" s="150" t="s">
        <v>233</v>
      </c>
      <c r="D7" s="150"/>
      <c r="E7" s="150"/>
      <c r="F7" s="150"/>
      <c r="G7" s="150"/>
      <c r="H7" s="150"/>
      <c r="I7" s="150"/>
    </row>
    <row r="8" spans="3:9" ht="12.75">
      <c r="C8" s="150" t="s">
        <v>234</v>
      </c>
      <c r="D8" s="150"/>
      <c r="E8" s="150"/>
      <c r="F8" s="150"/>
      <c r="G8" s="150"/>
      <c r="H8" s="150"/>
      <c r="I8" s="150"/>
    </row>
    <row r="12" spans="1:8" ht="12.75">
      <c r="A12" s="4" t="s">
        <v>3</v>
      </c>
      <c r="H12" s="4"/>
    </row>
    <row r="13" spans="1:10" ht="12.75">
      <c r="A13" s="5" t="s">
        <v>4</v>
      </c>
      <c r="C13" s="8" t="s">
        <v>5</v>
      </c>
      <c r="D13" s="8"/>
      <c r="E13" s="8"/>
      <c r="F13" s="8"/>
      <c r="H13" s="5" t="s">
        <v>0</v>
      </c>
      <c r="J13" s="5" t="s">
        <v>105</v>
      </c>
    </row>
    <row r="15" spans="1:10" ht="12.75">
      <c r="A15" s="4">
        <v>1</v>
      </c>
      <c r="C15" s="9" t="s">
        <v>42</v>
      </c>
      <c r="D15" s="9"/>
      <c r="E15" s="9"/>
      <c r="F15" s="9"/>
      <c r="G15" s="9"/>
      <c r="H15" s="10">
        <f>+'Rate Base P2'!T44*1000</f>
        <v>771824978.1119627</v>
      </c>
      <c r="I15" s="9"/>
      <c r="J15" t="s">
        <v>623</v>
      </c>
    </row>
    <row r="16" spans="1:10" ht="12.75">
      <c r="A16" s="15"/>
      <c r="B16" s="9"/>
      <c r="C16" s="9"/>
      <c r="D16" s="9"/>
      <c r="E16" s="9"/>
      <c r="F16" s="9"/>
      <c r="G16" s="9"/>
      <c r="H16" s="9"/>
      <c r="I16" s="9"/>
      <c r="J16" s="9"/>
    </row>
    <row r="17" spans="1:10" ht="12.75">
      <c r="A17" s="15">
        <v>2</v>
      </c>
      <c r="B17" s="9"/>
      <c r="C17" s="14" t="s">
        <v>43</v>
      </c>
      <c r="D17" s="9"/>
      <c r="E17" s="9"/>
      <c r="F17" s="9"/>
      <c r="G17" s="9"/>
      <c r="H17" s="10"/>
      <c r="I17" s="9"/>
      <c r="J17" s="9"/>
    </row>
    <row r="18" spans="1:10" ht="12.75">
      <c r="A18" s="15">
        <v>3</v>
      </c>
      <c r="B18" s="9"/>
      <c r="C18" s="14" t="s">
        <v>44</v>
      </c>
      <c r="D18" s="9"/>
      <c r="E18" s="9"/>
      <c r="F18" s="9"/>
      <c r="G18" s="9"/>
      <c r="H18" s="36">
        <f>+COC!L36+COC!L40</f>
        <v>0.04824036</v>
      </c>
      <c r="I18" s="9"/>
      <c r="J18" s="9" t="s">
        <v>624</v>
      </c>
    </row>
    <row r="19" spans="1:10" ht="12.75">
      <c r="A19" s="15"/>
      <c r="B19" s="9"/>
      <c r="C19" s="14"/>
      <c r="D19" s="9"/>
      <c r="E19" s="9"/>
      <c r="F19" s="9"/>
      <c r="G19" s="9"/>
      <c r="H19" s="10"/>
      <c r="I19" s="9"/>
      <c r="J19" s="9"/>
    </row>
    <row r="20" spans="1:10" ht="12.75">
      <c r="A20" s="15">
        <v>4</v>
      </c>
      <c r="B20" s="9"/>
      <c r="C20" s="14" t="s">
        <v>45</v>
      </c>
      <c r="D20" s="9"/>
      <c r="E20" s="9"/>
      <c r="F20" s="9"/>
      <c r="G20" s="9"/>
      <c r="H20" s="10"/>
      <c r="I20" s="9"/>
      <c r="J20" s="9"/>
    </row>
    <row r="21" spans="1:10" ht="12.75">
      <c r="A21" s="15">
        <v>5</v>
      </c>
      <c r="B21" s="9"/>
      <c r="C21" s="14" t="s">
        <v>46</v>
      </c>
      <c r="D21" s="9"/>
      <c r="E21" s="9"/>
      <c r="F21" s="9"/>
      <c r="G21" s="9"/>
      <c r="H21" s="16"/>
      <c r="I21" s="9"/>
      <c r="J21" s="9"/>
    </row>
    <row r="22" spans="1:10" ht="12.75">
      <c r="A22" s="15">
        <v>6</v>
      </c>
      <c r="B22" s="9"/>
      <c r="C22" s="14" t="s">
        <v>47</v>
      </c>
      <c r="D22" s="9"/>
      <c r="E22" s="9"/>
      <c r="F22" s="9"/>
      <c r="G22" s="9"/>
      <c r="H22" s="10">
        <f>+H15*H18</f>
        <v>37233114.8011132</v>
      </c>
      <c r="I22" s="9"/>
      <c r="J22" s="9" t="s">
        <v>625</v>
      </c>
    </row>
    <row r="23" spans="1:10" ht="12.75">
      <c r="A23" s="15"/>
      <c r="B23" s="9"/>
      <c r="C23" s="14"/>
      <c r="D23" s="9"/>
      <c r="E23" s="9"/>
      <c r="F23" s="9"/>
      <c r="G23" s="9"/>
      <c r="H23" s="9"/>
      <c r="I23" s="9"/>
      <c r="J23" s="9"/>
    </row>
    <row r="24" spans="1:10" ht="12.75">
      <c r="A24" s="15">
        <v>7</v>
      </c>
      <c r="B24" s="9"/>
      <c r="C24" s="14" t="s">
        <v>48</v>
      </c>
      <c r="D24" s="9"/>
      <c r="E24" s="9"/>
      <c r="F24" s="9"/>
      <c r="G24" s="9"/>
      <c r="H24" s="10"/>
      <c r="I24" s="9"/>
      <c r="J24" s="9" t="s">
        <v>160</v>
      </c>
    </row>
    <row r="25" spans="1:10" ht="12.75">
      <c r="A25" s="15">
        <v>8</v>
      </c>
      <c r="B25" s="9"/>
      <c r="C25" s="14" t="s">
        <v>627</v>
      </c>
      <c r="D25" s="9"/>
      <c r="E25" s="9"/>
      <c r="F25" s="9"/>
      <c r="G25" s="9"/>
      <c r="H25" s="3">
        <v>35893000</v>
      </c>
      <c r="I25" s="9"/>
      <c r="J25" s="9" t="s">
        <v>626</v>
      </c>
    </row>
    <row r="26" spans="1:10" ht="12.75">
      <c r="A26" s="15"/>
      <c r="B26" s="9"/>
      <c r="C26" s="14"/>
      <c r="D26" s="9"/>
      <c r="E26" s="9"/>
      <c r="F26" s="9"/>
      <c r="G26" s="9"/>
      <c r="H26" s="9"/>
      <c r="I26" s="9"/>
      <c r="J26" s="9"/>
    </row>
    <row r="27" spans="1:10" ht="12.75">
      <c r="A27" s="15">
        <v>9</v>
      </c>
      <c r="B27" s="9"/>
      <c r="C27" s="14" t="s">
        <v>49</v>
      </c>
      <c r="D27" s="9"/>
      <c r="E27" s="9"/>
      <c r="F27" s="9"/>
      <c r="G27" s="9"/>
      <c r="H27" s="9"/>
      <c r="I27" s="9"/>
      <c r="J27" s="9"/>
    </row>
    <row r="28" spans="1:10" ht="12.75">
      <c r="A28" s="15">
        <v>10</v>
      </c>
      <c r="B28" s="9"/>
      <c r="C28" s="14" t="s">
        <v>50</v>
      </c>
      <c r="D28" s="9"/>
      <c r="E28" s="9"/>
      <c r="F28" s="9"/>
      <c r="G28" s="9"/>
      <c r="H28" s="10"/>
      <c r="I28" s="9"/>
      <c r="J28" s="9"/>
    </row>
    <row r="29" spans="1:10" ht="12.75">
      <c r="A29" s="15">
        <v>11</v>
      </c>
      <c r="B29" s="9"/>
      <c r="C29" s="14" t="s">
        <v>51</v>
      </c>
      <c r="D29" s="9"/>
      <c r="E29" s="9"/>
      <c r="F29" s="9"/>
      <c r="G29" s="9"/>
      <c r="H29" s="10">
        <f>+H22-H25</f>
        <v>1340114.8011132032</v>
      </c>
      <c r="I29" s="9"/>
      <c r="J29" s="9" t="s">
        <v>614</v>
      </c>
    </row>
    <row r="30" spans="1:10" ht="12.75">
      <c r="A30" s="15"/>
      <c r="B30" s="9"/>
      <c r="C30" s="14"/>
      <c r="D30" s="9"/>
      <c r="E30" s="9"/>
      <c r="F30" s="9"/>
      <c r="G30" s="9"/>
      <c r="H30" s="9"/>
      <c r="I30" s="9"/>
      <c r="J30" s="9"/>
    </row>
    <row r="31" spans="1:10" ht="12.75">
      <c r="A31" s="15">
        <v>12</v>
      </c>
      <c r="B31" s="9"/>
      <c r="C31" s="14" t="s">
        <v>165</v>
      </c>
      <c r="D31" s="9"/>
      <c r="E31" s="9"/>
      <c r="F31" s="9"/>
      <c r="G31" s="9"/>
      <c r="H31" s="36">
        <v>0.35</v>
      </c>
      <c r="I31" s="9"/>
      <c r="J31" s="9"/>
    </row>
    <row r="32" spans="1:10" ht="12.75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ht="12.75">
      <c r="A33" s="45">
        <v>13</v>
      </c>
      <c r="B33" s="9"/>
      <c r="C33" s="14" t="s">
        <v>231</v>
      </c>
      <c r="D33" s="9"/>
      <c r="E33" s="9"/>
      <c r="F33" s="9"/>
      <c r="G33" s="9"/>
      <c r="H33" s="9"/>
      <c r="I33" s="9"/>
      <c r="J33" s="9"/>
    </row>
    <row r="34" spans="1:10" ht="13.5" thickBot="1">
      <c r="A34" s="45">
        <v>14</v>
      </c>
      <c r="C34" s="14" t="s">
        <v>232</v>
      </c>
      <c r="G34" s="9"/>
      <c r="H34" s="7">
        <f>-H29*H31</f>
        <v>-469040.18038962106</v>
      </c>
      <c r="J34" t="s">
        <v>628</v>
      </c>
    </row>
    <row r="35" ht="13.5" thickTop="1">
      <c r="G35" s="9"/>
    </row>
    <row r="36" ht="12.75">
      <c r="G36" s="9"/>
    </row>
    <row r="37" ht="12.75">
      <c r="G37" s="9"/>
    </row>
    <row r="38" ht="12.75">
      <c r="G38" s="9"/>
    </row>
    <row r="39" ht="12.75">
      <c r="G39" s="9"/>
    </row>
    <row r="40" ht="12.75">
      <c r="G40" s="9"/>
    </row>
    <row r="41" ht="12.75">
      <c r="G41" s="9"/>
    </row>
    <row r="42" ht="12.75">
      <c r="G42" s="9"/>
    </row>
    <row r="43" spans="3:7" ht="12.75">
      <c r="C43" t="s">
        <v>78</v>
      </c>
      <c r="G43" s="9"/>
    </row>
  </sheetData>
  <mergeCells count="3">
    <mergeCell ref="C6:I6"/>
    <mergeCell ref="C7:I7"/>
    <mergeCell ref="C8:I8"/>
  </mergeCells>
  <printOptions/>
  <pageMargins left="1.25" right="0.75" top="1" bottom="1" header="0.5" footer="0.5"/>
  <pageSetup fitToHeight="1" fitToWidth="1"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J2" sqref="J2"/>
    </sheetView>
  </sheetViews>
  <sheetFormatPr defaultColWidth="9.140625" defaultRowHeight="12.75"/>
  <cols>
    <col min="1" max="1" width="5.7109375" style="0" customWidth="1"/>
    <col min="2" max="2" width="2.7109375" style="0" customWidth="1"/>
    <col min="8" max="8" width="9.28125" style="0" bestFit="1" customWidth="1"/>
    <col min="9" max="9" width="4.7109375" style="0" customWidth="1"/>
  </cols>
  <sheetData>
    <row r="1" spans="1:10" ht="12.75">
      <c r="A1" t="s">
        <v>222</v>
      </c>
      <c r="J1" s="43" t="s">
        <v>663</v>
      </c>
    </row>
    <row r="2" ht="12.75">
      <c r="J2" s="43" t="s">
        <v>794</v>
      </c>
    </row>
    <row r="3" ht="12.75">
      <c r="J3" s="43" t="s">
        <v>767</v>
      </c>
    </row>
    <row r="4" ht="12.75">
      <c r="J4" s="43"/>
    </row>
    <row r="5" ht="12.75">
      <c r="J5" s="43" t="s">
        <v>255</v>
      </c>
    </row>
    <row r="7" spans="3:9" ht="15.75">
      <c r="C7" s="149" t="s">
        <v>79</v>
      </c>
      <c r="D7" s="149"/>
      <c r="E7" s="149"/>
      <c r="F7" s="149"/>
      <c r="G7" s="149"/>
      <c r="H7" s="149"/>
      <c r="I7" s="149"/>
    </row>
    <row r="8" spans="3:9" ht="12.75">
      <c r="C8" s="150" t="s">
        <v>158</v>
      </c>
      <c r="D8" s="150"/>
      <c r="E8" s="150"/>
      <c r="F8" s="150"/>
      <c r="G8" s="150"/>
      <c r="H8" s="150"/>
      <c r="I8" s="150"/>
    </row>
    <row r="9" spans="3:9" ht="12.75">
      <c r="C9" s="150" t="s">
        <v>168</v>
      </c>
      <c r="D9" s="150"/>
      <c r="E9" s="150"/>
      <c r="F9" s="150"/>
      <c r="G9" s="150"/>
      <c r="H9" s="150"/>
      <c r="I9" s="150"/>
    </row>
    <row r="10" spans="3:9" ht="12.75">
      <c r="C10" s="150" t="s">
        <v>167</v>
      </c>
      <c r="D10" s="150"/>
      <c r="E10" s="150"/>
      <c r="F10" s="150"/>
      <c r="G10" s="150"/>
      <c r="H10" s="150"/>
      <c r="I10" s="150"/>
    </row>
    <row r="13" spans="1:7" ht="12.75">
      <c r="A13" s="4" t="s">
        <v>3</v>
      </c>
      <c r="G13" s="9"/>
    </row>
    <row r="14" spans="1:10" ht="12.75">
      <c r="A14" s="5" t="s">
        <v>4</v>
      </c>
      <c r="C14" s="8" t="s">
        <v>5</v>
      </c>
      <c r="D14" s="8"/>
      <c r="E14" s="8"/>
      <c r="F14" s="8"/>
      <c r="G14" s="9"/>
      <c r="H14" s="5" t="s">
        <v>0</v>
      </c>
      <c r="J14" s="5" t="s">
        <v>105</v>
      </c>
    </row>
    <row r="15" ht="12.75">
      <c r="G15" s="9"/>
    </row>
    <row r="16" spans="1:3" ht="12.75">
      <c r="A16" s="4">
        <v>1</v>
      </c>
      <c r="C16" t="s">
        <v>169</v>
      </c>
    </row>
    <row r="17" spans="1:8" ht="12.75">
      <c r="A17" s="4">
        <v>2</v>
      </c>
      <c r="C17" t="s">
        <v>170</v>
      </c>
      <c r="H17" s="2"/>
    </row>
    <row r="18" spans="1:8" ht="12.75">
      <c r="A18" s="15">
        <v>3</v>
      </c>
      <c r="B18" s="9"/>
      <c r="C18" s="9" t="s">
        <v>171</v>
      </c>
      <c r="D18" s="9"/>
      <c r="E18" s="9"/>
      <c r="F18" s="9"/>
      <c r="G18" s="9"/>
      <c r="H18" s="9"/>
    </row>
    <row r="19" spans="1:10" ht="13.5" thickBot="1">
      <c r="A19" s="15">
        <v>4</v>
      </c>
      <c r="B19" s="9"/>
      <c r="C19" s="14" t="s">
        <v>172</v>
      </c>
      <c r="D19" s="9"/>
      <c r="E19" s="9"/>
      <c r="F19" s="9"/>
      <c r="G19" s="9"/>
      <c r="H19" s="123">
        <v>-234576</v>
      </c>
      <c r="I19" s="9"/>
      <c r="J19" t="s">
        <v>173</v>
      </c>
    </row>
    <row r="20" spans="1:9" ht="13.5" thickTop="1">
      <c r="A20" s="15"/>
      <c r="B20" s="9"/>
      <c r="C20" s="14"/>
      <c r="D20" s="9"/>
      <c r="E20" s="9"/>
      <c r="F20" s="9"/>
      <c r="G20" s="9"/>
      <c r="H20" s="10"/>
      <c r="I20" s="9"/>
    </row>
    <row r="21" spans="1:9" ht="12.75">
      <c r="A21" s="15"/>
      <c r="B21" s="9"/>
      <c r="C21" s="9"/>
      <c r="D21" s="9"/>
      <c r="E21" s="9"/>
      <c r="F21" s="9"/>
      <c r="G21" s="9"/>
      <c r="H21" s="10"/>
      <c r="I21" s="9"/>
    </row>
  </sheetData>
  <mergeCells count="4">
    <mergeCell ref="C7:I7"/>
    <mergeCell ref="C8:I8"/>
    <mergeCell ref="C9:I9"/>
    <mergeCell ref="C10:I10"/>
  </mergeCells>
  <printOptions/>
  <pageMargins left="1.2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"/>
  <sheetViews>
    <sheetView workbookViewId="0" topLeftCell="A4">
      <selection activeCell="F8" sqref="F8:L8"/>
    </sheetView>
  </sheetViews>
  <sheetFormatPr defaultColWidth="9.140625" defaultRowHeight="12.75"/>
  <cols>
    <col min="1" max="1" width="5.7109375" style="0" customWidth="1"/>
    <col min="2" max="3" width="2.7109375" style="0" customWidth="1"/>
    <col min="4" max="4" width="27.57421875" style="0" customWidth="1"/>
    <col min="5" max="5" width="2.7109375" style="0" customWidth="1"/>
    <col min="6" max="6" width="15.57421875" style="0" customWidth="1"/>
    <col min="7" max="7" width="1.7109375" style="0" customWidth="1"/>
    <col min="8" max="8" width="15.57421875" style="0" customWidth="1"/>
    <col min="9" max="9" width="2.7109375" style="0" customWidth="1"/>
    <col min="10" max="10" width="15.57421875" style="0" customWidth="1"/>
    <col min="11" max="11" width="1.7109375" style="0" customWidth="1"/>
    <col min="12" max="12" width="14.00390625" style="0" bestFit="1" customWidth="1"/>
    <col min="13" max="13" width="1.7109375" style="0" customWidth="1"/>
    <col min="14" max="14" width="14.00390625" style="0" customWidth="1"/>
    <col min="15" max="15" width="1.7109375" style="0" customWidth="1"/>
    <col min="16" max="16" width="12.7109375" style="0" customWidth="1"/>
    <col min="17" max="17" width="1.7109375" style="0" customWidth="1"/>
    <col min="18" max="18" width="12.7109375" style="0" customWidth="1"/>
    <col min="19" max="19" width="2.7109375" style="0" customWidth="1"/>
    <col min="20" max="20" width="16.57421875" style="0" bestFit="1" customWidth="1"/>
  </cols>
  <sheetData>
    <row r="1" ht="12.75">
      <c r="T1" s="43" t="s">
        <v>663</v>
      </c>
    </row>
    <row r="2" ht="12.75">
      <c r="T2" s="43" t="s">
        <v>794</v>
      </c>
    </row>
    <row r="3" ht="12.75">
      <c r="T3" s="43" t="s">
        <v>784</v>
      </c>
    </row>
    <row r="4" ht="12.75">
      <c r="A4" t="s">
        <v>222</v>
      </c>
    </row>
    <row r="5" ht="12.75">
      <c r="T5" s="43" t="s">
        <v>247</v>
      </c>
    </row>
    <row r="6" ht="12.75">
      <c r="T6" s="43" t="s">
        <v>664</v>
      </c>
    </row>
    <row r="7" spans="6:12" ht="18">
      <c r="F7" s="146" t="s">
        <v>79</v>
      </c>
      <c r="G7" s="146"/>
      <c r="H7" s="146"/>
      <c r="I7" s="146"/>
      <c r="J7" s="146"/>
      <c r="K7" s="146"/>
      <c r="L7" s="146"/>
    </row>
    <row r="8" spans="6:12" ht="15">
      <c r="F8" s="148" t="s">
        <v>83</v>
      </c>
      <c r="G8" s="148"/>
      <c r="H8" s="148"/>
      <c r="I8" s="148"/>
      <c r="J8" s="148"/>
      <c r="K8" s="148"/>
      <c r="L8" s="148"/>
    </row>
    <row r="9" spans="6:12" ht="15">
      <c r="F9" s="148" t="s">
        <v>81</v>
      </c>
      <c r="G9" s="148"/>
      <c r="H9" s="148"/>
      <c r="I9" s="148"/>
      <c r="J9" s="148"/>
      <c r="K9" s="148"/>
      <c r="L9" s="148"/>
    </row>
    <row r="10" spans="6:12" ht="15">
      <c r="F10" s="145"/>
      <c r="G10" s="145"/>
      <c r="H10" s="145"/>
      <c r="I10" s="145" t="s">
        <v>797</v>
      </c>
      <c r="J10" s="145"/>
      <c r="K10" s="145"/>
      <c r="L10" s="145"/>
    </row>
    <row r="12" spans="6:20" ht="12.75">
      <c r="F12" s="4"/>
      <c r="G12" s="4"/>
      <c r="H12" s="4"/>
      <c r="I12" s="4"/>
      <c r="K12" s="4"/>
      <c r="L12" s="4" t="s">
        <v>135</v>
      </c>
      <c r="T12" s="4"/>
    </row>
    <row r="13" spans="1:20" ht="12.75">
      <c r="A13" s="4"/>
      <c r="F13" s="4" t="s">
        <v>18</v>
      </c>
      <c r="G13" s="4"/>
      <c r="H13" s="4" t="s">
        <v>53</v>
      </c>
      <c r="I13" s="4"/>
      <c r="J13" s="4" t="s">
        <v>135</v>
      </c>
      <c r="K13" s="4"/>
      <c r="L13" s="4" t="s">
        <v>203</v>
      </c>
      <c r="N13" s="4" t="s">
        <v>204</v>
      </c>
      <c r="P13" s="4" t="s">
        <v>207</v>
      </c>
      <c r="Q13" s="4"/>
      <c r="T13" s="4"/>
    </row>
    <row r="14" spans="1:20" ht="12.75">
      <c r="A14" s="4" t="s">
        <v>3</v>
      </c>
      <c r="F14" s="4" t="s">
        <v>19</v>
      </c>
      <c r="H14" s="4" t="s">
        <v>54</v>
      </c>
      <c r="J14" s="4" t="s">
        <v>136</v>
      </c>
      <c r="L14" s="4" t="s">
        <v>136</v>
      </c>
      <c r="M14" s="4"/>
      <c r="N14" s="4" t="s">
        <v>205</v>
      </c>
      <c r="O14" s="4"/>
      <c r="P14" s="4" t="s">
        <v>208</v>
      </c>
      <c r="Q14" s="4"/>
      <c r="R14" s="4" t="s">
        <v>596</v>
      </c>
      <c r="S14" s="4"/>
      <c r="T14" s="4" t="s">
        <v>217</v>
      </c>
    </row>
    <row r="15" spans="1:20" ht="12.75">
      <c r="A15" s="5" t="s">
        <v>4</v>
      </c>
      <c r="C15" s="8"/>
      <c r="D15" s="5" t="s">
        <v>5</v>
      </c>
      <c r="F15" s="5" t="s">
        <v>20</v>
      </c>
      <c r="G15" s="15"/>
      <c r="H15" s="5" t="s">
        <v>63</v>
      </c>
      <c r="I15" s="15"/>
      <c r="J15" s="5" t="s">
        <v>64</v>
      </c>
      <c r="K15" s="15"/>
      <c r="L15" s="5" t="s">
        <v>65</v>
      </c>
      <c r="M15" s="4"/>
      <c r="N15" s="5" t="s">
        <v>73</v>
      </c>
      <c r="O15" s="4"/>
      <c r="P15" s="5" t="s">
        <v>210</v>
      </c>
      <c r="Q15" s="5"/>
      <c r="R15" s="5" t="s">
        <v>211</v>
      </c>
      <c r="S15" s="4"/>
      <c r="T15" s="5" t="s">
        <v>219</v>
      </c>
    </row>
    <row r="16" spans="1:20" ht="12.75">
      <c r="A16" s="15"/>
      <c r="D16" s="15" t="s">
        <v>56</v>
      </c>
      <c r="F16" s="15" t="s">
        <v>57</v>
      </c>
      <c r="G16" s="15"/>
      <c r="H16" s="15" t="s">
        <v>58</v>
      </c>
      <c r="I16" s="15"/>
      <c r="J16" s="15" t="s">
        <v>59</v>
      </c>
      <c r="K16" s="15"/>
      <c r="L16" s="15" t="s">
        <v>60</v>
      </c>
      <c r="M16" s="4"/>
      <c r="N16" s="15" t="s">
        <v>61</v>
      </c>
      <c r="O16" s="4"/>
      <c r="P16" s="15" t="s">
        <v>62</v>
      </c>
      <c r="Q16" s="4"/>
      <c r="R16" s="15" t="s">
        <v>71</v>
      </c>
      <c r="S16" s="4"/>
      <c r="T16" s="15" t="s">
        <v>212</v>
      </c>
    </row>
    <row r="17" spans="1:20" ht="12.75">
      <c r="A17" s="15"/>
      <c r="C17" s="15"/>
      <c r="D17" s="15"/>
      <c r="F17" s="15"/>
      <c r="G17" s="15"/>
      <c r="H17" s="15"/>
      <c r="I17" s="15"/>
      <c r="J17" s="15"/>
      <c r="K17" s="15"/>
      <c r="L17" s="15"/>
      <c r="M17" s="4"/>
      <c r="N17" s="15"/>
      <c r="O17" s="4"/>
      <c r="P17" s="4"/>
      <c r="Q17" s="4"/>
      <c r="R17" s="4"/>
      <c r="S17" s="4"/>
      <c r="T17" s="15"/>
    </row>
    <row r="18" spans="1:20" ht="12.75">
      <c r="A18" s="15"/>
      <c r="C18" s="15"/>
      <c r="D18" s="15"/>
      <c r="F18" s="15"/>
      <c r="G18" s="15"/>
      <c r="H18" s="15"/>
      <c r="I18" s="15"/>
      <c r="J18" s="15"/>
      <c r="K18" s="15"/>
      <c r="L18" s="15"/>
      <c r="M18" s="4"/>
      <c r="N18" s="15"/>
      <c r="O18" s="4"/>
      <c r="P18" s="4"/>
      <c r="Q18" s="4"/>
      <c r="R18" s="4"/>
      <c r="S18" s="4"/>
      <c r="T18" s="15"/>
    </row>
    <row r="19" spans="1:3" ht="12.75">
      <c r="A19" s="4">
        <v>1</v>
      </c>
      <c r="C19" t="s">
        <v>245</v>
      </c>
    </row>
    <row r="20" spans="1:26" ht="12.75">
      <c r="A20" s="4">
        <f>+A19+1</f>
        <v>2</v>
      </c>
      <c r="C20" t="s">
        <v>15</v>
      </c>
      <c r="F20" s="2"/>
      <c r="G20" s="2"/>
      <c r="H20" s="11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>
        <f aca="true" t="shared" si="0" ref="T20:T25">SUM(F20:S20)</f>
        <v>0</v>
      </c>
      <c r="U20" s="2"/>
      <c r="V20" s="2"/>
      <c r="W20" s="2"/>
      <c r="X20" s="2"/>
      <c r="Y20" s="2"/>
      <c r="Z20" s="2"/>
    </row>
    <row r="21" spans="1:26" ht="12.75">
      <c r="A21" s="4">
        <f aca="true" t="shared" si="1" ref="A21:A31">+A20+1</f>
        <v>3</v>
      </c>
      <c r="D21" t="s">
        <v>84</v>
      </c>
      <c r="F21" s="1">
        <v>21374</v>
      </c>
      <c r="G21" s="2"/>
      <c r="H21" s="11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>
        <f t="shared" si="0"/>
        <v>21374</v>
      </c>
      <c r="U21" s="2"/>
      <c r="V21" s="2"/>
      <c r="W21" s="2"/>
      <c r="X21" s="2"/>
      <c r="Y21" s="2"/>
      <c r="Z21" s="2"/>
    </row>
    <row r="22" spans="1:26" ht="12.75">
      <c r="A22" s="4">
        <f t="shared" si="1"/>
        <v>4</v>
      </c>
      <c r="D22" t="s">
        <v>85</v>
      </c>
      <c r="F22" s="2">
        <v>651310</v>
      </c>
      <c r="G22" s="2"/>
      <c r="H22" s="11"/>
      <c r="I22" s="2"/>
      <c r="J22" s="2"/>
      <c r="K22" s="2"/>
      <c r="L22" s="2"/>
      <c r="M22" s="2"/>
      <c r="N22" s="2"/>
      <c r="O22" s="2"/>
      <c r="P22" s="2">
        <f>+'Boulder Park RB'!H14/1000</f>
        <v>-4965</v>
      </c>
      <c r="Q22" s="2"/>
      <c r="R22" s="2"/>
      <c r="S22" s="2"/>
      <c r="T22" s="2">
        <f t="shared" si="0"/>
        <v>646345</v>
      </c>
      <c r="U22" s="2"/>
      <c r="V22" s="2"/>
      <c r="W22" s="2"/>
      <c r="X22" s="2"/>
      <c r="Y22" s="2"/>
      <c r="Z22" s="2"/>
    </row>
    <row r="23" spans="1:26" ht="12.75">
      <c r="A23" s="4">
        <f t="shared" si="1"/>
        <v>5</v>
      </c>
      <c r="D23" t="s">
        <v>6</v>
      </c>
      <c r="F23" s="2">
        <v>232082</v>
      </c>
      <c r="G23" s="2"/>
      <c r="H23" s="11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>
        <f t="shared" si="0"/>
        <v>232082</v>
      </c>
      <c r="U23" s="2"/>
      <c r="V23" s="2"/>
      <c r="W23" s="2"/>
      <c r="X23" s="2"/>
      <c r="Y23" s="2"/>
      <c r="Z23" s="2"/>
    </row>
    <row r="24" spans="1:26" ht="12.75">
      <c r="A24" s="4">
        <f t="shared" si="1"/>
        <v>6</v>
      </c>
      <c r="D24" t="s">
        <v>7</v>
      </c>
      <c r="F24" s="2">
        <v>459516</v>
      </c>
      <c r="G24" s="2"/>
      <c r="H24" s="11"/>
      <c r="I24" s="2"/>
      <c r="J24" s="11"/>
      <c r="K24" s="2"/>
      <c r="L24" s="2"/>
      <c r="M24" s="2"/>
      <c r="N24" s="2"/>
      <c r="O24" s="2"/>
      <c r="P24" s="2"/>
      <c r="Q24" s="2"/>
      <c r="R24" s="2"/>
      <c r="S24" s="2"/>
      <c r="T24" s="2">
        <f t="shared" si="0"/>
        <v>459516</v>
      </c>
      <c r="U24" s="2"/>
      <c r="V24" s="2"/>
      <c r="W24" s="2"/>
      <c r="X24" s="2"/>
      <c r="Y24" s="2"/>
      <c r="Z24" s="2"/>
    </row>
    <row r="25" spans="1:26" ht="12.75">
      <c r="A25" s="4">
        <f t="shared" si="1"/>
        <v>7</v>
      </c>
      <c r="D25" t="s">
        <v>86</v>
      </c>
      <c r="F25" s="3">
        <v>63155</v>
      </c>
      <c r="G25" s="2"/>
      <c r="H25" s="3"/>
      <c r="I25" s="2"/>
      <c r="J25" s="3"/>
      <c r="K25" s="2"/>
      <c r="L25" s="3"/>
      <c r="M25" s="2"/>
      <c r="N25" s="3"/>
      <c r="O25" s="2"/>
      <c r="P25" s="3"/>
      <c r="Q25" s="2"/>
      <c r="R25" s="3"/>
      <c r="S25" s="2"/>
      <c r="T25" s="3">
        <f t="shared" si="0"/>
        <v>63155</v>
      </c>
      <c r="U25" s="2"/>
      <c r="V25" s="2"/>
      <c r="W25" s="2"/>
      <c r="X25" s="2"/>
      <c r="Y25" s="2"/>
      <c r="Z25" s="2"/>
    </row>
    <row r="26" spans="1:26" ht="12.75">
      <c r="A26" s="4">
        <f t="shared" si="1"/>
        <v>8</v>
      </c>
      <c r="F26" s="2"/>
      <c r="G26" s="2"/>
      <c r="H26" s="11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4">
        <f t="shared" si="1"/>
        <v>9</v>
      </c>
      <c r="D27" t="s">
        <v>87</v>
      </c>
      <c r="F27" s="1">
        <f>SUM(F21:F26)</f>
        <v>1427437</v>
      </c>
      <c r="G27" s="2"/>
      <c r="H27" s="1">
        <f>SUM(H21:H26)</f>
        <v>0</v>
      </c>
      <c r="I27" s="2"/>
      <c r="J27" s="1">
        <f>SUM(J21:J26)</f>
        <v>0</v>
      </c>
      <c r="K27" s="2"/>
      <c r="L27" s="1">
        <f>SUM(L21:L26)</f>
        <v>0</v>
      </c>
      <c r="M27" s="2"/>
      <c r="N27" s="1">
        <f>SUM(N21:N26)</f>
        <v>0</v>
      </c>
      <c r="O27" s="2"/>
      <c r="P27" s="1">
        <f>SUM(P21:P26)</f>
        <v>-4965</v>
      </c>
      <c r="Q27" s="2"/>
      <c r="R27" s="1">
        <f>SUM(R21:R26)</f>
        <v>0</v>
      </c>
      <c r="S27" s="2"/>
      <c r="T27" s="2">
        <f>SUM(F27:S27)</f>
        <v>1422472</v>
      </c>
      <c r="U27" s="2"/>
      <c r="V27" s="2"/>
      <c r="W27" s="2"/>
      <c r="X27" s="2"/>
      <c r="Y27" s="2"/>
      <c r="Z27" s="2"/>
    </row>
    <row r="28" spans="1:26" ht="12.75">
      <c r="A28" s="4">
        <f t="shared" si="1"/>
        <v>10</v>
      </c>
      <c r="F28" s="2"/>
      <c r="G28" s="2"/>
      <c r="H28" s="11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4">
        <f t="shared" si="1"/>
        <v>11</v>
      </c>
      <c r="C29" t="s">
        <v>88</v>
      </c>
      <c r="F29" s="2">
        <v>428229</v>
      </c>
      <c r="G29" s="2"/>
      <c r="H29" s="11"/>
      <c r="I29" s="2"/>
      <c r="J29" s="2">
        <f>-' Colstrip AFUDC RB'!M49/1000</f>
        <v>441</v>
      </c>
      <c r="K29" s="2"/>
      <c r="L29" s="2">
        <f>-'Colstrip Common RB'!K25/1000</f>
        <v>-63</v>
      </c>
      <c r="M29" s="2"/>
      <c r="N29" s="2">
        <f>-'Kettle Falls RB'!H51/1000</f>
        <v>479</v>
      </c>
      <c r="O29" s="2"/>
      <c r="P29" s="2">
        <f>+'Boulder Park RB'!H24/1000</f>
        <v>-449</v>
      </c>
      <c r="Q29" s="2"/>
      <c r="R29" s="2">
        <f>(+Coyote!H23-Coyote!F53)/1000</f>
        <v>1634</v>
      </c>
      <c r="S29" s="2"/>
      <c r="T29" s="2">
        <f>SUM(F29:S29)</f>
        <v>430271</v>
      </c>
      <c r="U29" s="2"/>
      <c r="V29" s="2"/>
      <c r="W29" s="2"/>
      <c r="X29" s="2"/>
      <c r="Y29" s="2"/>
      <c r="Z29" s="2"/>
    </row>
    <row r="30" spans="1:26" ht="12.75">
      <c r="A30" s="4">
        <f t="shared" si="1"/>
        <v>12</v>
      </c>
      <c r="C30" t="s">
        <v>89</v>
      </c>
      <c r="F30" s="3">
        <v>47788</v>
      </c>
      <c r="G30" s="11"/>
      <c r="H30" s="3"/>
      <c r="I30" s="11"/>
      <c r="J30" s="3"/>
      <c r="K30" s="11"/>
      <c r="L30" s="3"/>
      <c r="M30" s="2"/>
      <c r="N30" s="3"/>
      <c r="O30" s="2"/>
      <c r="P30" s="3"/>
      <c r="Q30" s="2"/>
      <c r="R30" s="3"/>
      <c r="S30" s="2"/>
      <c r="T30" s="3">
        <f>SUM(F30:S30)</f>
        <v>47788</v>
      </c>
      <c r="U30" s="2"/>
      <c r="V30" s="2"/>
      <c r="W30" s="2"/>
      <c r="X30" s="2"/>
      <c r="Y30" s="2"/>
      <c r="Z30" s="2"/>
    </row>
    <row r="31" spans="1:26" ht="12.75">
      <c r="A31" s="4">
        <f t="shared" si="1"/>
        <v>13</v>
      </c>
      <c r="D31" t="s">
        <v>90</v>
      </c>
      <c r="F31" s="2">
        <f>+F29+F30</f>
        <v>476017</v>
      </c>
      <c r="G31" s="2"/>
      <c r="H31" s="2">
        <f>+H29+H30</f>
        <v>0</v>
      </c>
      <c r="I31" s="2"/>
      <c r="J31" s="2">
        <f>+J29+J30</f>
        <v>441</v>
      </c>
      <c r="K31" s="2"/>
      <c r="L31" s="2">
        <f>+L29+L30</f>
        <v>-63</v>
      </c>
      <c r="M31" s="2"/>
      <c r="N31" s="2">
        <f>+N29+N30</f>
        <v>479</v>
      </c>
      <c r="O31" s="2"/>
      <c r="P31" s="2">
        <f>+P29+P30</f>
        <v>-449</v>
      </c>
      <c r="Q31" s="2"/>
      <c r="R31" s="2">
        <f>+R29+R30</f>
        <v>1634</v>
      </c>
      <c r="S31" s="2"/>
      <c r="T31" s="2">
        <f>+T29+T30</f>
        <v>478059</v>
      </c>
      <c r="U31" s="2"/>
      <c r="V31" s="2"/>
      <c r="W31" s="2"/>
      <c r="X31" s="2"/>
      <c r="Y31" s="2"/>
      <c r="Z31" s="2"/>
    </row>
    <row r="32" spans="1:26" ht="12.75">
      <c r="A32" s="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4">
        <v>14</v>
      </c>
      <c r="C33" t="s">
        <v>91</v>
      </c>
      <c r="F33" s="1">
        <f>+F27-F29-F30</f>
        <v>951420</v>
      </c>
      <c r="G33" s="2"/>
      <c r="H33" s="1">
        <f aca="true" t="shared" si="2" ref="H33:T33">+H27-H29-H30</f>
        <v>0</v>
      </c>
      <c r="I33" s="1"/>
      <c r="J33" s="1">
        <f t="shared" si="2"/>
        <v>-441</v>
      </c>
      <c r="K33" s="1"/>
      <c r="L33" s="1">
        <f t="shared" si="2"/>
        <v>63</v>
      </c>
      <c r="M33" s="1"/>
      <c r="N33" s="1">
        <f t="shared" si="2"/>
        <v>-479</v>
      </c>
      <c r="O33" s="1"/>
      <c r="P33" s="1">
        <f t="shared" si="2"/>
        <v>-4516</v>
      </c>
      <c r="Q33" s="1"/>
      <c r="R33" s="1">
        <f t="shared" si="2"/>
        <v>-1634</v>
      </c>
      <c r="S33" s="1"/>
      <c r="T33" s="1">
        <f t="shared" si="2"/>
        <v>944413</v>
      </c>
      <c r="U33" s="2"/>
      <c r="V33" s="2"/>
      <c r="W33" s="2"/>
      <c r="X33" s="2"/>
      <c r="Y33" s="2"/>
      <c r="Z33" s="2"/>
    </row>
    <row r="34" spans="1:26" ht="12.75">
      <c r="A34" s="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4">
        <v>15</v>
      </c>
      <c r="C35" t="s">
        <v>16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4">
        <v>16</v>
      </c>
      <c r="D36" t="s">
        <v>92</v>
      </c>
      <c r="F36" s="2">
        <f>-715</f>
        <v>-715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>
        <f aca="true" t="shared" si="3" ref="T36:T42">SUM(F36:S36)</f>
        <v>-715</v>
      </c>
      <c r="U36" s="2"/>
      <c r="V36" s="2"/>
      <c r="W36" s="2"/>
      <c r="X36" s="2"/>
      <c r="Y36" s="2"/>
      <c r="Z36" s="2"/>
    </row>
    <row r="37" spans="1:26" ht="12.75">
      <c r="A37" s="4">
        <v>17</v>
      </c>
      <c r="D37" t="s">
        <v>93</v>
      </c>
      <c r="F37" s="2">
        <f>-154860</f>
        <v>-154860</v>
      </c>
      <c r="G37" s="2"/>
      <c r="H37" s="2"/>
      <c r="I37" s="2"/>
      <c r="J37" s="2"/>
      <c r="K37" s="2"/>
      <c r="L37" s="2"/>
      <c r="M37" s="2"/>
      <c r="N37" s="2"/>
      <c r="O37" s="2"/>
      <c r="P37" s="2">
        <f>+'Boulder Park RB'!H33/1000</f>
        <v>113</v>
      </c>
      <c r="Q37" s="2"/>
      <c r="R37" s="2">
        <f>(+Coyote!H48-Coyote!F54)/1000</f>
        <v>-248</v>
      </c>
      <c r="S37" s="2"/>
      <c r="T37" s="2">
        <f t="shared" si="3"/>
        <v>-154995</v>
      </c>
      <c r="U37" s="2"/>
      <c r="V37" s="2"/>
      <c r="W37" s="2"/>
      <c r="X37" s="2"/>
      <c r="Y37" s="2"/>
      <c r="Z37" s="2"/>
    </row>
    <row r="38" spans="1:26" ht="12.75">
      <c r="A38" s="4">
        <f>+A37+1</f>
        <v>18</v>
      </c>
      <c r="D38" t="s">
        <v>94</v>
      </c>
      <c r="F38" s="2"/>
      <c r="G38" s="2"/>
      <c r="H38" s="2">
        <f>+'Cust Depts RB'!H24/1000</f>
        <v>-2329.0218880373745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>
        <f t="shared" si="3"/>
        <v>-2329.0218880373745</v>
      </c>
      <c r="U38" s="2"/>
      <c r="V38" s="2"/>
      <c r="W38" s="2"/>
      <c r="X38" s="2"/>
      <c r="Y38" s="2"/>
      <c r="Z38" s="2"/>
    </row>
    <row r="39" spans="1:26" ht="12.75">
      <c r="A39" s="4">
        <f>+A38+1</f>
        <v>19</v>
      </c>
      <c r="D39" t="s">
        <v>95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>
        <f t="shared" si="3"/>
        <v>0</v>
      </c>
      <c r="U39" s="2"/>
      <c r="V39" s="2"/>
      <c r="W39" s="2"/>
      <c r="X39" s="2"/>
      <c r="Y39" s="2"/>
      <c r="Z39" s="2"/>
    </row>
    <row r="40" spans="1:26" ht="12.75">
      <c r="A40" s="4">
        <f>+A39+1</f>
        <v>20</v>
      </c>
      <c r="D40" t="s">
        <v>95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>
        <f t="shared" si="3"/>
        <v>0</v>
      </c>
      <c r="U40" s="2"/>
      <c r="V40" s="2"/>
      <c r="W40" s="2"/>
      <c r="X40" s="2"/>
      <c r="Y40" s="2"/>
      <c r="Z40" s="2"/>
    </row>
    <row r="41" spans="1:26" ht="12.75">
      <c r="A41" s="4">
        <f>+A40+1</f>
        <v>21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>
        <f t="shared" si="3"/>
        <v>0</v>
      </c>
      <c r="U41" s="2"/>
      <c r="V41" s="2"/>
      <c r="W41" s="2"/>
      <c r="X41" s="2"/>
      <c r="Y41" s="2"/>
      <c r="Z41" s="2"/>
    </row>
    <row r="42" spans="1:26" ht="12.75">
      <c r="A42" s="4">
        <f>+A41+1</f>
        <v>22</v>
      </c>
      <c r="F42" s="3"/>
      <c r="G42" s="11"/>
      <c r="H42" s="3"/>
      <c r="I42" s="11"/>
      <c r="J42" s="3"/>
      <c r="K42" s="11"/>
      <c r="L42" s="3"/>
      <c r="M42" s="2"/>
      <c r="N42" s="3"/>
      <c r="O42" s="2"/>
      <c r="P42" s="3"/>
      <c r="Q42" s="2"/>
      <c r="R42" s="3"/>
      <c r="S42" s="2"/>
      <c r="T42" s="3">
        <f t="shared" si="3"/>
        <v>0</v>
      </c>
      <c r="U42" s="2"/>
      <c r="V42" s="2"/>
      <c r="W42" s="2"/>
      <c r="X42" s="2"/>
      <c r="Y42" s="2"/>
      <c r="Z42" s="2"/>
    </row>
    <row r="43" spans="1:26" ht="12.75">
      <c r="A43" s="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thickBot="1">
      <c r="A44" s="4">
        <v>23</v>
      </c>
      <c r="C44" t="s">
        <v>246</v>
      </c>
      <c r="F44" s="7">
        <f>SUM(F33:F42)</f>
        <v>795845</v>
      </c>
      <c r="G44" s="11"/>
      <c r="H44" s="7">
        <f>SUM(H33:H42)</f>
        <v>-2329.0218880373745</v>
      </c>
      <c r="I44" s="11"/>
      <c r="J44" s="7">
        <f>SUM(J33:J42)</f>
        <v>-441</v>
      </c>
      <c r="K44" s="11"/>
      <c r="L44" s="7">
        <f>SUM(L33:L42)</f>
        <v>63</v>
      </c>
      <c r="M44" s="2"/>
      <c r="N44" s="7">
        <f>SUM(N33:N42)</f>
        <v>-479</v>
      </c>
      <c r="O44" s="2"/>
      <c r="P44" s="7">
        <f>SUM(P33:P42)</f>
        <v>-4403</v>
      </c>
      <c r="Q44" s="2"/>
      <c r="R44" s="7">
        <f>SUM(R33:R42)</f>
        <v>-1882</v>
      </c>
      <c r="S44" s="2"/>
      <c r="T44" s="7">
        <f>SUM(T33:T42)</f>
        <v>786373.9781119627</v>
      </c>
      <c r="U44" s="2"/>
      <c r="V44" s="2"/>
      <c r="W44" s="2"/>
      <c r="X44" s="2"/>
      <c r="Y44" s="2"/>
      <c r="Z44" s="2"/>
    </row>
    <row r="45" spans="1:26" ht="13.5" thickTop="1">
      <c r="A45" s="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>
      <c r="A51" s="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>
      <c r="A52" s="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6:26" ht="12.75"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6:26" ht="12.75"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6:26" ht="12.75"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6:26" ht="12.75"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6:26" ht="12.75"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6:26" ht="12.75"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6:26" ht="12.75"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6:26" ht="12.75"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6:26" ht="12.75"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6:26" ht="12.75"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6:26" ht="12.75"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</sheetData>
  <mergeCells count="3">
    <mergeCell ref="F7:L7"/>
    <mergeCell ref="F8:L8"/>
    <mergeCell ref="F9:L9"/>
  </mergeCells>
  <printOptions/>
  <pageMargins left="0.75" right="0.75" top="1.5" bottom="1" header="0.5" footer="0.5"/>
  <pageSetup fitToHeight="1" fitToWidth="1" horizontalDpi="600" verticalDpi="600" orientation="landscape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workbookViewId="0" topLeftCell="A1">
      <selection activeCell="J2" sqref="J2"/>
    </sheetView>
  </sheetViews>
  <sheetFormatPr defaultColWidth="9.140625" defaultRowHeight="12.75"/>
  <cols>
    <col min="1" max="1" width="5.7109375" style="0" customWidth="1"/>
    <col min="2" max="2" width="2.7109375" style="0" customWidth="1"/>
    <col min="7" max="7" width="8.7109375" style="0" customWidth="1"/>
    <col min="8" max="8" width="11.8515625" style="0" bestFit="1" customWidth="1"/>
    <col min="9" max="9" width="5.7109375" style="0" customWidth="1"/>
  </cols>
  <sheetData>
    <row r="1" spans="1:10" ht="12.75">
      <c r="A1" t="s">
        <v>222</v>
      </c>
      <c r="J1" s="43" t="s">
        <v>663</v>
      </c>
    </row>
    <row r="2" ht="12.75">
      <c r="J2" s="43" t="s">
        <v>794</v>
      </c>
    </row>
    <row r="3" ht="12.75">
      <c r="J3" s="43" t="s">
        <v>766</v>
      </c>
    </row>
    <row r="4" ht="12.75">
      <c r="J4" s="43"/>
    </row>
    <row r="5" ht="12.75">
      <c r="J5" s="43" t="s">
        <v>254</v>
      </c>
    </row>
    <row r="7" spans="3:9" ht="15.75">
      <c r="C7" s="149" t="s">
        <v>79</v>
      </c>
      <c r="D7" s="149"/>
      <c r="E7" s="149"/>
      <c r="F7" s="149"/>
      <c r="G7" s="149"/>
      <c r="H7" s="149"/>
      <c r="I7" s="149"/>
    </row>
    <row r="8" spans="3:9" ht="12.75">
      <c r="C8" s="150" t="s">
        <v>158</v>
      </c>
      <c r="D8" s="150"/>
      <c r="E8" s="150"/>
      <c r="F8" s="150"/>
      <c r="G8" s="150"/>
      <c r="H8" s="150"/>
      <c r="I8" s="150"/>
    </row>
    <row r="9" spans="3:9" ht="12.75">
      <c r="C9" s="150" t="s">
        <v>159</v>
      </c>
      <c r="D9" s="150"/>
      <c r="E9" s="150"/>
      <c r="F9" s="150"/>
      <c r="G9" s="150"/>
      <c r="H9" s="150"/>
      <c r="I9" s="150"/>
    </row>
    <row r="13" spans="1:7" ht="12.75">
      <c r="A13" s="4" t="s">
        <v>3</v>
      </c>
      <c r="G13" s="9"/>
    </row>
    <row r="14" spans="1:8" ht="12.75">
      <c r="A14" s="5" t="s">
        <v>4</v>
      </c>
      <c r="C14" s="8" t="s">
        <v>5</v>
      </c>
      <c r="D14" s="8"/>
      <c r="E14" s="8"/>
      <c r="F14" s="8"/>
      <c r="G14" s="9"/>
      <c r="H14" s="5" t="s">
        <v>0</v>
      </c>
    </row>
    <row r="15" ht="12.75">
      <c r="G15" s="9"/>
    </row>
    <row r="16" spans="1:10" ht="12.75">
      <c r="A16" s="4">
        <v>1</v>
      </c>
      <c r="C16" t="s">
        <v>183</v>
      </c>
      <c r="J16" t="s">
        <v>160</v>
      </c>
    </row>
    <row r="17" spans="1:10" ht="12.75">
      <c r="A17" s="4">
        <v>2</v>
      </c>
      <c r="C17" t="s">
        <v>184</v>
      </c>
      <c r="H17" s="2">
        <f>-992433</f>
        <v>-992433</v>
      </c>
      <c r="J17" t="s">
        <v>157</v>
      </c>
    </row>
    <row r="18" spans="1:8" ht="12.75">
      <c r="A18" s="15"/>
      <c r="B18" s="9"/>
      <c r="D18" s="9"/>
      <c r="E18" s="9"/>
      <c r="F18" s="9"/>
      <c r="G18" s="9"/>
      <c r="H18" s="9"/>
    </row>
    <row r="19" spans="1:9" ht="12.75">
      <c r="A19" s="15">
        <v>3</v>
      </c>
      <c r="B19" s="9"/>
      <c r="C19" t="s">
        <v>185</v>
      </c>
      <c r="D19" s="9"/>
      <c r="E19" s="9"/>
      <c r="F19" s="9"/>
      <c r="G19" s="9"/>
      <c r="H19" s="11"/>
      <c r="I19" s="9"/>
    </row>
    <row r="20" spans="1:9" ht="13.5" thickBot="1">
      <c r="A20" s="15">
        <v>4</v>
      </c>
      <c r="B20" s="9"/>
      <c r="C20" s="14" t="s">
        <v>186</v>
      </c>
      <c r="D20" s="9"/>
      <c r="E20" s="9"/>
      <c r="F20" s="9"/>
      <c r="G20" s="9"/>
      <c r="H20" s="7">
        <f>-H17</f>
        <v>992433</v>
      </c>
      <c r="I20" s="9"/>
    </row>
    <row r="21" spans="1:9" ht="13.5" thickTop="1">
      <c r="A21" s="15"/>
      <c r="B21" s="9"/>
      <c r="C21" s="9"/>
      <c r="D21" s="9"/>
      <c r="E21" s="9"/>
      <c r="F21" s="9"/>
      <c r="G21" s="9"/>
      <c r="H21" s="10"/>
      <c r="I21" s="9"/>
    </row>
    <row r="22" spans="1:9" ht="12.75">
      <c r="A22" s="15"/>
      <c r="B22" s="9"/>
      <c r="C22" s="14"/>
      <c r="D22" s="9"/>
      <c r="E22" s="9"/>
      <c r="F22" s="9"/>
      <c r="G22" s="9"/>
      <c r="H22" s="16"/>
      <c r="I22" s="9"/>
    </row>
    <row r="23" spans="1:9" ht="12.75">
      <c r="A23" s="15"/>
      <c r="B23" s="9"/>
      <c r="C23" s="9"/>
      <c r="D23" s="9"/>
      <c r="E23" s="9"/>
      <c r="F23" s="9"/>
      <c r="G23" s="9"/>
      <c r="H23" s="9"/>
      <c r="I23" s="9"/>
    </row>
    <row r="24" spans="1:9" ht="12.75">
      <c r="A24" s="15"/>
      <c r="B24" s="9"/>
      <c r="C24" s="14"/>
      <c r="D24" s="9"/>
      <c r="E24" s="9"/>
      <c r="F24" s="9"/>
      <c r="G24" s="9"/>
      <c r="H24" s="9"/>
      <c r="I24" s="9"/>
    </row>
    <row r="25" spans="1:9" ht="12.75">
      <c r="A25" s="15"/>
      <c r="B25" s="9"/>
      <c r="C25" s="14"/>
      <c r="D25" s="9"/>
      <c r="E25" s="9"/>
      <c r="F25" s="9"/>
      <c r="G25" s="9"/>
      <c r="H25" s="10"/>
      <c r="I25" s="9"/>
    </row>
    <row r="26" spans="1:9" ht="12.75">
      <c r="A26" s="15"/>
      <c r="B26" s="9"/>
      <c r="C26" s="14"/>
      <c r="D26" s="9"/>
      <c r="E26" s="9"/>
      <c r="F26" s="9"/>
      <c r="G26" s="9"/>
      <c r="H26" s="9"/>
      <c r="I26" s="9"/>
    </row>
    <row r="27" spans="1:9" ht="12.75">
      <c r="A27" s="15"/>
      <c r="B27" s="9"/>
      <c r="C27" s="14"/>
      <c r="D27" s="9"/>
      <c r="E27" s="9"/>
      <c r="F27" s="9"/>
      <c r="G27" s="9"/>
      <c r="H27" s="9"/>
      <c r="I27" s="9"/>
    </row>
    <row r="28" spans="1:9" ht="12.75">
      <c r="A28" s="15"/>
      <c r="B28" s="9"/>
      <c r="C28" s="14"/>
      <c r="D28" s="9"/>
      <c r="E28" s="9"/>
      <c r="F28" s="9"/>
      <c r="G28" s="9"/>
      <c r="H28" s="9"/>
      <c r="I28" s="9"/>
    </row>
    <row r="29" spans="1:9" ht="12.75">
      <c r="A29" s="15"/>
      <c r="B29" s="9"/>
      <c r="C29" s="14"/>
      <c r="D29" s="9"/>
      <c r="E29" s="9"/>
      <c r="F29" s="9"/>
      <c r="G29" s="9"/>
      <c r="H29" s="10"/>
      <c r="I29" s="9"/>
    </row>
    <row r="30" spans="1:9" ht="12.75">
      <c r="A30" s="15"/>
      <c r="B30" s="9"/>
      <c r="C30" s="9"/>
      <c r="D30" s="9"/>
      <c r="E30" s="9"/>
      <c r="F30" s="9"/>
      <c r="G30" s="9"/>
      <c r="H30" s="9"/>
      <c r="I30" s="9"/>
    </row>
    <row r="31" spans="1:9" ht="12.75">
      <c r="A31" s="15"/>
      <c r="B31" s="9"/>
      <c r="C31" s="14"/>
      <c r="D31" s="9"/>
      <c r="E31" s="9"/>
      <c r="F31" s="9"/>
      <c r="G31" s="9"/>
      <c r="H31" s="9"/>
      <c r="I31" s="9"/>
    </row>
    <row r="32" ht="12.75">
      <c r="A32" s="4"/>
    </row>
    <row r="43" ht="12.75">
      <c r="C43" t="s">
        <v>78</v>
      </c>
    </row>
  </sheetData>
  <mergeCells count="3">
    <mergeCell ref="C7:I7"/>
    <mergeCell ref="C8:I8"/>
    <mergeCell ref="C9:I9"/>
  </mergeCells>
  <printOptions/>
  <pageMargins left="1.25" right="0.75" top="1" bottom="1" header="0.5" footer="0.5"/>
  <pageSetup fitToHeight="1" fitToWidth="1"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8"/>
  <sheetViews>
    <sheetView workbookViewId="0" topLeftCell="A4">
      <selection activeCell="E14" sqref="E14"/>
    </sheetView>
  </sheetViews>
  <sheetFormatPr defaultColWidth="9.140625" defaultRowHeight="12.75"/>
  <cols>
    <col min="1" max="1" width="5.7109375" style="0" customWidth="1"/>
    <col min="2" max="2" width="2.7109375" style="0" customWidth="1"/>
    <col min="3" max="3" width="14.7109375" style="0" customWidth="1"/>
    <col min="7" max="7" width="2.7109375" style="0" customWidth="1"/>
    <col min="8" max="8" width="12.8515625" style="0" bestFit="1" customWidth="1"/>
    <col min="9" max="9" width="2.7109375" style="0" customWidth="1"/>
    <col min="11" max="11" width="1.7109375" style="0" customWidth="1"/>
  </cols>
  <sheetData>
    <row r="3" spans="1:10" ht="12.75">
      <c r="A3" t="s">
        <v>222</v>
      </c>
      <c r="J3" s="43" t="s">
        <v>663</v>
      </c>
    </row>
    <row r="4" ht="12.75">
      <c r="J4" s="43" t="s">
        <v>794</v>
      </c>
    </row>
    <row r="5" ht="12.75">
      <c r="J5" s="43" t="s">
        <v>765</v>
      </c>
    </row>
    <row r="6" ht="12.75">
      <c r="J6" s="43"/>
    </row>
    <row r="7" ht="12.75">
      <c r="J7" s="43" t="s">
        <v>256</v>
      </c>
    </row>
    <row r="9" spans="3:9" ht="15.75">
      <c r="C9" s="149" t="s">
        <v>79</v>
      </c>
      <c r="D9" s="149"/>
      <c r="E9" s="149"/>
      <c r="F9" s="149"/>
      <c r="G9" s="149"/>
      <c r="H9" s="149"/>
      <c r="I9" s="149"/>
    </row>
    <row r="10" spans="3:9" ht="12.75">
      <c r="C10" s="150" t="s">
        <v>158</v>
      </c>
      <c r="D10" s="150"/>
      <c r="E10" s="150"/>
      <c r="F10" s="150"/>
      <c r="G10" s="150"/>
      <c r="H10" s="150"/>
      <c r="I10" s="150"/>
    </row>
    <row r="11" spans="3:9" ht="12.75">
      <c r="C11" s="150" t="s">
        <v>168</v>
      </c>
      <c r="D11" s="150"/>
      <c r="E11" s="150"/>
      <c r="F11" s="150"/>
      <c r="G11" s="150"/>
      <c r="H11" s="150"/>
      <c r="I11" s="150"/>
    </row>
    <row r="12" spans="3:9" ht="12.75">
      <c r="C12" s="150" t="s">
        <v>796</v>
      </c>
      <c r="D12" s="150"/>
      <c r="E12" s="150"/>
      <c r="F12" s="150"/>
      <c r="G12" s="150"/>
      <c r="H12" s="150"/>
      <c r="I12" s="150"/>
    </row>
    <row r="15" spans="1:7" ht="12.75">
      <c r="A15" s="4" t="s">
        <v>3</v>
      </c>
      <c r="G15" s="9"/>
    </row>
    <row r="16" spans="1:10" ht="12.75">
      <c r="A16" s="5" t="s">
        <v>4</v>
      </c>
      <c r="C16" s="8" t="s">
        <v>5</v>
      </c>
      <c r="D16" s="8"/>
      <c r="E16" s="8"/>
      <c r="F16" s="8"/>
      <c r="G16" s="9"/>
      <c r="H16" s="5" t="s">
        <v>0</v>
      </c>
      <c r="J16" s="5" t="s">
        <v>105</v>
      </c>
    </row>
    <row r="17" ht="12.75">
      <c r="G17" s="9"/>
    </row>
    <row r="18" spans="1:10" ht="12.75">
      <c r="A18" s="4"/>
      <c r="E18" s="11"/>
      <c r="F18" s="11"/>
      <c r="G18" s="11"/>
      <c r="H18" s="2"/>
      <c r="I18" s="40"/>
      <c r="J18" s="2"/>
    </row>
    <row r="19" spans="1:10" ht="12.75">
      <c r="A19" s="4">
        <v>1</v>
      </c>
      <c r="C19" t="s">
        <v>175</v>
      </c>
      <c r="G19" s="9"/>
      <c r="H19" s="2"/>
      <c r="I19" s="40"/>
      <c r="J19" s="40" t="s">
        <v>178</v>
      </c>
    </row>
    <row r="20" spans="1:10" ht="12.75">
      <c r="A20" s="4">
        <v>2</v>
      </c>
      <c r="C20" t="s">
        <v>176</v>
      </c>
      <c r="J20" t="s">
        <v>174</v>
      </c>
    </row>
    <row r="21" spans="1:10" ht="12.75">
      <c r="A21" s="4">
        <v>3</v>
      </c>
      <c r="C21" t="s">
        <v>177</v>
      </c>
      <c r="H21" s="2">
        <f>-491895</f>
        <v>-491895</v>
      </c>
      <c r="J21" t="s">
        <v>179</v>
      </c>
    </row>
    <row r="22" spans="1:8" ht="12.75">
      <c r="A22" s="4"/>
      <c r="H22" s="1"/>
    </row>
    <row r="23" spans="1:8" ht="12.75">
      <c r="A23" s="4">
        <v>4</v>
      </c>
      <c r="C23" t="s">
        <v>165</v>
      </c>
      <c r="H23" s="71">
        <v>0.35</v>
      </c>
    </row>
    <row r="25" spans="1:3" ht="12.75">
      <c r="A25" s="4">
        <v>5</v>
      </c>
      <c r="C25" t="s">
        <v>180</v>
      </c>
    </row>
    <row r="26" spans="1:10" ht="12.75">
      <c r="A26" s="4">
        <v>6</v>
      </c>
      <c r="C26" t="s">
        <v>181</v>
      </c>
      <c r="H26" s="3">
        <f>+H21*-H23</f>
        <v>172163.25</v>
      </c>
      <c r="J26" t="s">
        <v>629</v>
      </c>
    </row>
    <row r="28" spans="1:10" ht="13.5" thickBot="1">
      <c r="A28" s="4">
        <v>7</v>
      </c>
      <c r="C28" t="s">
        <v>182</v>
      </c>
      <c r="H28" s="7">
        <f>-H21-H26</f>
        <v>319731.75</v>
      </c>
      <c r="J28" t="s">
        <v>630</v>
      </c>
    </row>
    <row r="29" ht="13.5" thickTop="1"/>
  </sheetData>
  <mergeCells count="4">
    <mergeCell ref="C9:I9"/>
    <mergeCell ref="C10:I10"/>
    <mergeCell ref="C11:I11"/>
    <mergeCell ref="C12:I12"/>
  </mergeCells>
  <printOptions/>
  <pageMargins left="1.25" right="0.75" top="1" bottom="1" header="0.5" footer="0.5"/>
  <pageSetup fitToHeight="1" fitToWidth="1"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workbookViewId="0" topLeftCell="D1">
      <selection activeCell="J2" sqref="J2"/>
    </sheetView>
  </sheetViews>
  <sheetFormatPr defaultColWidth="9.140625" defaultRowHeight="12.75"/>
  <cols>
    <col min="1" max="1" width="5.7109375" style="0" customWidth="1"/>
    <col min="2" max="2" width="2.7109375" style="0" customWidth="1"/>
    <col min="3" max="3" width="16.421875" style="0" customWidth="1"/>
    <col min="4" max="4" width="32.00390625" style="0" customWidth="1"/>
    <col min="5" max="5" width="3.00390625" style="0" customWidth="1"/>
    <col min="6" max="6" width="13.421875" style="0" bestFit="1" customWidth="1"/>
    <col min="7" max="7" width="2.7109375" style="0" customWidth="1"/>
    <col min="8" max="8" width="11.7109375" style="0" bestFit="1" customWidth="1"/>
    <col min="9" max="9" width="1.7109375" style="0" customWidth="1"/>
    <col min="10" max="10" width="15.28125" style="0" customWidth="1"/>
  </cols>
  <sheetData>
    <row r="1" spans="1:10" ht="12.75">
      <c r="A1" t="s">
        <v>223</v>
      </c>
      <c r="J1" s="43" t="s">
        <v>663</v>
      </c>
    </row>
    <row r="2" ht="12.75">
      <c r="J2" s="43" t="s">
        <v>794</v>
      </c>
    </row>
    <row r="3" ht="12.75">
      <c r="J3" s="43" t="s">
        <v>764</v>
      </c>
    </row>
    <row r="5" ht="12.75">
      <c r="J5" s="43" t="s">
        <v>646</v>
      </c>
    </row>
    <row r="8" spans="3:9" ht="15.75">
      <c r="C8" s="149" t="s">
        <v>79</v>
      </c>
      <c r="D8" s="149"/>
      <c r="E8" s="149"/>
      <c r="F8" s="149"/>
      <c r="G8" s="149"/>
      <c r="H8" s="149"/>
      <c r="I8" s="149"/>
    </row>
    <row r="9" spans="3:9" ht="12.75">
      <c r="C9" s="150" t="s">
        <v>81</v>
      </c>
      <c r="D9" s="150"/>
      <c r="E9" s="150"/>
      <c r="F9" s="150"/>
      <c r="G9" s="150"/>
      <c r="H9" s="150"/>
      <c r="I9" s="150"/>
    </row>
    <row r="10" spans="3:9" ht="12.75">
      <c r="C10" s="150" t="s">
        <v>595</v>
      </c>
      <c r="D10" s="150"/>
      <c r="E10" s="150"/>
      <c r="F10" s="150"/>
      <c r="G10" s="150"/>
      <c r="H10" s="150"/>
      <c r="I10" s="150"/>
    </row>
    <row r="12" spans="1:6" ht="12.75">
      <c r="A12" s="4" t="s">
        <v>3</v>
      </c>
      <c r="F12" t="s">
        <v>554</v>
      </c>
    </row>
    <row r="13" spans="1:10" ht="12.75">
      <c r="A13" s="5" t="s">
        <v>4</v>
      </c>
      <c r="C13" s="8" t="s">
        <v>5</v>
      </c>
      <c r="D13" s="8"/>
      <c r="E13" s="8"/>
      <c r="F13" s="8"/>
      <c r="G13" s="9"/>
      <c r="H13" s="5"/>
      <c r="I13" s="9"/>
      <c r="J13" s="5" t="s">
        <v>105</v>
      </c>
    </row>
    <row r="14" spans="1:10" ht="12.75">
      <c r="A14" s="4">
        <v>1</v>
      </c>
      <c r="C14" t="s">
        <v>582</v>
      </c>
      <c r="E14" s="63"/>
      <c r="F14" s="63">
        <v>3650129</v>
      </c>
      <c r="G14" s="63"/>
      <c r="H14" s="66"/>
      <c r="I14" s="9"/>
      <c r="J14" t="s">
        <v>594</v>
      </c>
    </row>
    <row r="15" spans="1:10" ht="12.75">
      <c r="A15" s="4"/>
      <c r="E15" s="66"/>
      <c r="F15" s="66"/>
      <c r="G15" s="63"/>
      <c r="H15" s="63"/>
      <c r="J15" s="9"/>
    </row>
    <row r="16" spans="1:10" ht="12.75">
      <c r="A16" s="4">
        <v>2</v>
      </c>
      <c r="C16" t="s">
        <v>583</v>
      </c>
      <c r="E16" s="66"/>
      <c r="F16" s="67">
        <v>1300000</v>
      </c>
      <c r="G16" s="63"/>
      <c r="H16" s="63"/>
      <c r="J16" t="s">
        <v>594</v>
      </c>
    </row>
    <row r="17" spans="1:8" ht="12.75">
      <c r="A17" s="4"/>
      <c r="E17" s="66"/>
      <c r="F17" s="66"/>
      <c r="G17" s="63"/>
      <c r="H17" s="63"/>
    </row>
    <row r="18" spans="1:8" ht="12.75">
      <c r="A18" s="4">
        <v>3</v>
      </c>
      <c r="C18" t="s">
        <v>584</v>
      </c>
      <c r="E18" s="66"/>
      <c r="F18" s="66">
        <f>+F14-F16</f>
        <v>2350129</v>
      </c>
      <c r="G18" s="63"/>
      <c r="H18" s="63"/>
    </row>
    <row r="19" spans="1:9" ht="12.75">
      <c r="A19" s="4"/>
      <c r="E19" s="66"/>
      <c r="F19" s="66"/>
      <c r="G19" s="63"/>
      <c r="H19" s="64"/>
      <c r="I19" s="2"/>
    </row>
    <row r="20" spans="1:8" ht="12.75">
      <c r="A20" s="4">
        <v>4</v>
      </c>
      <c r="C20" t="s">
        <v>372</v>
      </c>
      <c r="E20" s="66"/>
      <c r="F20" s="67">
        <v>-822545</v>
      </c>
      <c r="G20" s="63"/>
      <c r="H20" s="63"/>
    </row>
    <row r="21" spans="1:9" ht="12.75">
      <c r="A21" s="4"/>
      <c r="E21" s="66"/>
      <c r="F21" s="66"/>
      <c r="G21" s="63"/>
      <c r="H21" s="65"/>
      <c r="I21" s="53"/>
    </row>
    <row r="22" spans="1:8" ht="13.5" thickBot="1">
      <c r="A22" s="4">
        <v>5</v>
      </c>
      <c r="C22" t="s">
        <v>585</v>
      </c>
      <c r="E22" s="66"/>
      <c r="F22" s="52">
        <f>+F18+F20</f>
        <v>1527584</v>
      </c>
      <c r="G22" s="63"/>
      <c r="H22" s="63"/>
    </row>
    <row r="23" spans="1:8" ht="13.5" thickTop="1">
      <c r="A23" s="4"/>
      <c r="E23" s="66"/>
      <c r="F23" s="66"/>
      <c r="G23" s="63"/>
      <c r="H23" s="63"/>
    </row>
    <row r="24" spans="1:9" ht="12.75">
      <c r="A24" s="4">
        <v>6</v>
      </c>
      <c r="C24" t="s">
        <v>586</v>
      </c>
      <c r="D24" t="s">
        <v>584</v>
      </c>
      <c r="E24" s="66"/>
      <c r="F24" s="66">
        <f>+F18/10</f>
        <v>235012.9</v>
      </c>
      <c r="G24" s="63"/>
      <c r="H24" s="64"/>
      <c r="I24" s="2"/>
    </row>
    <row r="25" spans="1:10" ht="12.75">
      <c r="A25" s="15"/>
      <c r="B25" s="9"/>
      <c r="C25" s="9"/>
      <c r="D25" s="9"/>
      <c r="E25" s="66"/>
      <c r="F25" s="66"/>
      <c r="G25" s="66"/>
      <c r="H25" s="66"/>
      <c r="I25" s="9"/>
      <c r="J25" s="9"/>
    </row>
    <row r="26" spans="1:10" ht="12.75">
      <c r="A26" s="15">
        <v>7</v>
      </c>
      <c r="B26" s="9"/>
      <c r="C26" s="14"/>
      <c r="D26" s="9" t="s">
        <v>587</v>
      </c>
      <c r="E26" s="66"/>
      <c r="F26" s="67">
        <f>+F20/10</f>
        <v>-82254.5</v>
      </c>
      <c r="G26" s="66"/>
      <c r="H26" s="66"/>
      <c r="I26" s="9"/>
      <c r="J26" s="9"/>
    </row>
    <row r="27" spans="1:10" ht="12.75">
      <c r="A27" s="15"/>
      <c r="B27" s="9"/>
      <c r="C27" s="14"/>
      <c r="D27" s="9"/>
      <c r="E27" s="66"/>
      <c r="F27" s="66"/>
      <c r="G27" s="66"/>
      <c r="H27" s="65"/>
      <c r="I27" s="53"/>
      <c r="J27" s="9"/>
    </row>
    <row r="28" spans="1:10" ht="13.5" thickBot="1">
      <c r="A28" s="15">
        <v>8</v>
      </c>
      <c r="B28" s="9"/>
      <c r="C28" s="9" t="s">
        <v>588</v>
      </c>
      <c r="D28" s="9"/>
      <c r="E28" s="66"/>
      <c r="F28" s="52">
        <f>-F24-F26</f>
        <v>-152758.4</v>
      </c>
      <c r="G28" s="66"/>
      <c r="H28" s="65"/>
      <c r="I28" s="53"/>
      <c r="J28" s="9"/>
    </row>
    <row r="29" spans="1:10" ht="13.5" thickTop="1">
      <c r="A29" s="15"/>
      <c r="B29" s="9"/>
      <c r="C29" s="14"/>
      <c r="D29" s="9"/>
      <c r="E29" s="66"/>
      <c r="F29" s="66"/>
      <c r="G29" s="66"/>
      <c r="H29" s="101"/>
      <c r="I29" s="11"/>
      <c r="J29" s="9"/>
    </row>
    <row r="30" spans="1:10" ht="12.75">
      <c r="A30" s="9"/>
      <c r="B30" s="9"/>
      <c r="C30" s="9" t="s">
        <v>589</v>
      </c>
      <c r="D30" s="9"/>
      <c r="E30" s="66"/>
      <c r="F30" s="66"/>
      <c r="G30" s="66"/>
      <c r="H30" s="65"/>
      <c r="I30" s="53"/>
      <c r="J30" s="9"/>
    </row>
    <row r="31" spans="1:10" ht="12.75">
      <c r="A31" s="15">
        <v>9</v>
      </c>
      <c r="B31" s="9"/>
      <c r="C31" s="14"/>
      <c r="D31" s="9" t="s">
        <v>590</v>
      </c>
      <c r="E31" s="66"/>
      <c r="F31" s="66">
        <f>0.6516*F24</f>
        <v>153134.40563999998</v>
      </c>
      <c r="G31" s="66"/>
      <c r="H31" s="66">
        <f>+ROUND(F31,-3)</f>
        <v>153000</v>
      </c>
      <c r="I31" s="9"/>
      <c r="J31" s="9"/>
    </row>
    <row r="32" spans="1:10" ht="12.75">
      <c r="A32" s="15">
        <v>10</v>
      </c>
      <c r="B32" s="9"/>
      <c r="C32" s="9"/>
      <c r="D32" s="9" t="s">
        <v>591</v>
      </c>
      <c r="E32" s="66"/>
      <c r="F32" s="66">
        <f>+F26*0.6516</f>
        <v>-53597.032199999994</v>
      </c>
      <c r="G32" s="66"/>
      <c r="H32" s="67">
        <f>+ROUND(F32,-3)</f>
        <v>-54000</v>
      </c>
      <c r="I32" s="9"/>
      <c r="J32" s="9"/>
    </row>
    <row r="33" spans="1:10" ht="12.75">
      <c r="A33" s="15"/>
      <c r="B33" s="9"/>
      <c r="C33" s="9"/>
      <c r="D33" s="9"/>
      <c r="E33" s="66"/>
      <c r="F33" s="101"/>
      <c r="G33" s="101"/>
      <c r="H33" s="66"/>
      <c r="I33" s="9"/>
      <c r="J33" s="9"/>
    </row>
    <row r="34" spans="1:10" ht="12.75">
      <c r="A34" s="15">
        <v>11</v>
      </c>
      <c r="B34" s="9"/>
      <c r="C34" s="9"/>
      <c r="D34" s="9" t="s">
        <v>592</v>
      </c>
      <c r="E34" s="66"/>
      <c r="F34" s="101"/>
      <c r="G34" s="101"/>
      <c r="H34" s="66">
        <f>-H31-H32</f>
        <v>-99000</v>
      </c>
      <c r="I34" s="9"/>
      <c r="J34" s="9"/>
    </row>
    <row r="35" spans="1:10" ht="12.75">
      <c r="A35" s="15"/>
      <c r="B35" s="9"/>
      <c r="C35" s="9"/>
      <c r="D35" s="9"/>
      <c r="E35" s="66"/>
      <c r="F35" s="99"/>
      <c r="G35" s="101"/>
      <c r="H35" s="101"/>
      <c r="I35" s="11"/>
      <c r="J35" s="9"/>
    </row>
    <row r="36" spans="1:10" ht="12.75">
      <c r="A36" s="15">
        <v>12</v>
      </c>
      <c r="B36" s="9"/>
      <c r="C36" s="9" t="s">
        <v>117</v>
      </c>
      <c r="D36" s="9"/>
      <c r="E36" s="66"/>
      <c r="F36" s="101"/>
      <c r="G36" s="101"/>
      <c r="H36" s="67">
        <v>-199000</v>
      </c>
      <c r="I36" s="9"/>
      <c r="J36" s="9"/>
    </row>
    <row r="37" spans="1:10" ht="12.75">
      <c r="A37" s="15"/>
      <c r="B37" s="9"/>
      <c r="C37" s="9"/>
      <c r="D37" s="9"/>
      <c r="E37" s="66"/>
      <c r="F37" s="66"/>
      <c r="G37" s="66"/>
      <c r="H37" s="66"/>
      <c r="I37" s="38"/>
      <c r="J37" s="9"/>
    </row>
    <row r="38" spans="1:10" ht="13.5" thickBot="1">
      <c r="A38" s="15">
        <v>13</v>
      </c>
      <c r="B38" s="9"/>
      <c r="C38" s="14" t="s">
        <v>593</v>
      </c>
      <c r="D38" s="9"/>
      <c r="E38" s="66"/>
      <c r="F38" s="66"/>
      <c r="G38" s="66"/>
      <c r="H38" s="103">
        <f>+H34-H36</f>
        <v>100000</v>
      </c>
      <c r="I38" s="9"/>
      <c r="J38" s="9"/>
    </row>
    <row r="39" spans="5:8" ht="13.5" thickTop="1">
      <c r="E39" s="66"/>
      <c r="F39" s="66"/>
      <c r="G39" s="63"/>
      <c r="H39" s="63"/>
    </row>
    <row r="40" spans="5:8" ht="12.75">
      <c r="E40" s="66"/>
      <c r="F40" s="66"/>
      <c r="G40" s="63"/>
      <c r="H40" s="63"/>
    </row>
    <row r="41" spans="5:6" ht="12.75">
      <c r="E41" s="9"/>
      <c r="F41" s="120"/>
    </row>
    <row r="42" spans="5:6" ht="12.75">
      <c r="E42" s="9"/>
      <c r="F42" s="120"/>
    </row>
    <row r="43" spans="5:6" ht="12.75">
      <c r="E43" s="9"/>
      <c r="F43" s="9"/>
    </row>
    <row r="44" spans="5:6" ht="12.75">
      <c r="E44" s="9"/>
      <c r="F44" s="9"/>
    </row>
    <row r="45" spans="5:6" ht="12.75">
      <c r="E45" s="9"/>
      <c r="F45" s="9"/>
    </row>
    <row r="46" spans="5:6" ht="12.75">
      <c r="E46" s="9"/>
      <c r="F46" s="9"/>
    </row>
    <row r="47" spans="5:6" ht="12.75">
      <c r="E47" s="9"/>
      <c r="F47" s="9"/>
    </row>
    <row r="48" spans="5:6" ht="12.75">
      <c r="E48" s="9"/>
      <c r="F48" s="9"/>
    </row>
    <row r="49" spans="5:6" ht="12.75">
      <c r="E49" s="9"/>
      <c r="F49" s="9"/>
    </row>
    <row r="50" spans="5:6" ht="12.75">
      <c r="E50" s="9"/>
      <c r="F50" s="9"/>
    </row>
    <row r="51" spans="5:6" ht="12.75">
      <c r="E51" s="9"/>
      <c r="F51" s="9"/>
    </row>
    <row r="52" spans="5:6" ht="12.75">
      <c r="E52" s="9"/>
      <c r="F52" s="9"/>
    </row>
    <row r="53" spans="5:6" ht="12.75">
      <c r="E53" s="9"/>
      <c r="F53" s="9"/>
    </row>
    <row r="54" spans="5:6" ht="12.75">
      <c r="E54" s="9"/>
      <c r="F54" s="9"/>
    </row>
    <row r="55" spans="5:6" ht="12.75">
      <c r="E55" s="9"/>
      <c r="F55" s="9"/>
    </row>
  </sheetData>
  <mergeCells count="3">
    <mergeCell ref="C8:I8"/>
    <mergeCell ref="C9:I9"/>
    <mergeCell ref="C10:I10"/>
  </mergeCells>
  <printOptions/>
  <pageMargins left="1.25" right="0.75" top="1" bottom="1" header="0.5" footer="0.5"/>
  <pageSetup fitToHeight="1" fitToWidth="1" horizontalDpi="600" verticalDpi="600" orientation="portrait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H13" sqref="H13"/>
    </sheetView>
  </sheetViews>
  <sheetFormatPr defaultColWidth="9.140625" defaultRowHeight="12.75"/>
  <cols>
    <col min="1" max="1" width="5.7109375" style="0" customWidth="1"/>
    <col min="2" max="2" width="2.7109375" style="0" customWidth="1"/>
    <col min="8" max="8" width="12.8515625" style="0" bestFit="1" customWidth="1"/>
    <col min="9" max="9" width="4.7109375" style="0" customWidth="1"/>
  </cols>
  <sheetData>
    <row r="1" spans="1:10" ht="12.75">
      <c r="A1" t="s">
        <v>223</v>
      </c>
      <c r="J1" s="43" t="s">
        <v>663</v>
      </c>
    </row>
    <row r="2" ht="12.75">
      <c r="J2" s="43" t="s">
        <v>794</v>
      </c>
    </row>
    <row r="3" ht="12.75">
      <c r="J3" s="43" t="s">
        <v>763</v>
      </c>
    </row>
    <row r="4" ht="12.75">
      <c r="J4" s="43"/>
    </row>
    <row r="5" ht="12.75">
      <c r="J5" s="43" t="s">
        <v>726</v>
      </c>
    </row>
    <row r="7" spans="3:9" ht="15.75">
      <c r="C7" s="149" t="s">
        <v>79</v>
      </c>
      <c r="D7" s="149"/>
      <c r="E7" s="149"/>
      <c r="F7" s="149"/>
      <c r="G7" s="149"/>
      <c r="H7" s="149"/>
      <c r="I7" s="149"/>
    </row>
    <row r="8" spans="3:9" ht="12.75">
      <c r="C8" s="150" t="s">
        <v>158</v>
      </c>
      <c r="D8" s="150"/>
      <c r="E8" s="150"/>
      <c r="F8" s="150"/>
      <c r="G8" s="150"/>
      <c r="H8" s="150"/>
      <c r="I8" s="150"/>
    </row>
    <row r="9" spans="3:9" ht="12.75">
      <c r="C9" s="150" t="s">
        <v>235</v>
      </c>
      <c r="D9" s="150"/>
      <c r="E9" s="150"/>
      <c r="F9" s="150"/>
      <c r="G9" s="150"/>
      <c r="H9" s="150"/>
      <c r="I9" s="150"/>
    </row>
    <row r="10" spans="3:9" ht="12.75">
      <c r="C10" s="150"/>
      <c r="D10" s="150"/>
      <c r="E10" s="150"/>
      <c r="F10" s="150"/>
      <c r="G10" s="150"/>
      <c r="H10" s="150"/>
      <c r="I10" s="150"/>
    </row>
    <row r="13" spans="1:8" ht="12.75">
      <c r="A13" s="4" t="s">
        <v>3</v>
      </c>
      <c r="G13" s="9"/>
      <c r="H13" s="4"/>
    </row>
    <row r="14" spans="1:10" ht="12.75">
      <c r="A14" s="5" t="s">
        <v>4</v>
      </c>
      <c r="C14" s="8" t="s">
        <v>5</v>
      </c>
      <c r="D14" s="8"/>
      <c r="E14" s="8"/>
      <c r="F14" s="8"/>
      <c r="G14" s="9"/>
      <c r="H14" s="5" t="s">
        <v>0</v>
      </c>
      <c r="J14" s="5" t="s">
        <v>105</v>
      </c>
    </row>
    <row r="15" ht="12.75">
      <c r="G15" s="9"/>
    </row>
    <row r="16" spans="1:3" ht="12.75">
      <c r="A16" s="4">
        <v>1</v>
      </c>
      <c r="C16" t="s">
        <v>605</v>
      </c>
    </row>
    <row r="17" spans="1:12" ht="12.75">
      <c r="A17" s="4">
        <v>2</v>
      </c>
      <c r="C17" t="s">
        <v>606</v>
      </c>
      <c r="H17" s="121">
        <v>3937000</v>
      </c>
      <c r="J17" t="s">
        <v>608</v>
      </c>
      <c r="L17" s="17"/>
    </row>
    <row r="18" spans="1:8" ht="12.75">
      <c r="A18" s="15"/>
      <c r="B18" s="9"/>
      <c r="C18" s="9"/>
      <c r="D18" s="9"/>
      <c r="E18" s="9"/>
      <c r="F18" s="9"/>
      <c r="G18" s="9"/>
      <c r="H18" s="9"/>
    </row>
    <row r="19" spans="1:9" ht="12.75">
      <c r="A19" s="15">
        <v>3</v>
      </c>
      <c r="B19" s="9"/>
      <c r="C19" s="14" t="s">
        <v>605</v>
      </c>
      <c r="D19" s="9"/>
      <c r="E19" s="9"/>
      <c r="F19" s="9"/>
      <c r="G19" s="9"/>
      <c r="H19" s="85"/>
      <c r="I19" s="9"/>
    </row>
    <row r="20" spans="1:10" ht="12.75">
      <c r="A20" s="15">
        <v>4</v>
      </c>
      <c r="B20" s="9"/>
      <c r="C20" s="14" t="s">
        <v>607</v>
      </c>
      <c r="D20" s="9"/>
      <c r="E20" s="9"/>
      <c r="F20" s="9"/>
      <c r="G20" s="9"/>
      <c r="H20" s="86">
        <v>6869000</v>
      </c>
      <c r="I20" s="9"/>
      <c r="J20" t="s">
        <v>608</v>
      </c>
    </row>
    <row r="21" spans="1:12" ht="12.75">
      <c r="A21" s="15"/>
      <c r="B21" s="9"/>
      <c r="C21" s="9"/>
      <c r="D21" s="9"/>
      <c r="E21" s="9"/>
      <c r="F21" s="9"/>
      <c r="G21" s="9"/>
      <c r="H21" s="89"/>
      <c r="I21" s="9"/>
      <c r="L21" s="17"/>
    </row>
    <row r="22" spans="1:3" ht="12.75">
      <c r="A22" s="45">
        <v>5</v>
      </c>
      <c r="C22" s="14" t="s">
        <v>609</v>
      </c>
    </row>
    <row r="23" spans="1:10" ht="12.75">
      <c r="A23" s="45">
        <v>6</v>
      </c>
      <c r="C23" s="14" t="s">
        <v>610</v>
      </c>
      <c r="H23" s="17">
        <f>+H17-H20</f>
        <v>-2932000</v>
      </c>
      <c r="J23" t="s">
        <v>612</v>
      </c>
    </row>
    <row r="25" spans="1:8" ht="12.75">
      <c r="A25" s="45">
        <v>7</v>
      </c>
      <c r="C25" t="s">
        <v>165</v>
      </c>
      <c r="H25" s="13">
        <v>0.35</v>
      </c>
    </row>
    <row r="27" spans="1:10" ht="12.75">
      <c r="A27" s="45">
        <v>8</v>
      </c>
      <c r="C27" t="s">
        <v>611</v>
      </c>
      <c r="H27" s="3">
        <f>+H23*-H25</f>
        <v>1026199.9999999999</v>
      </c>
      <c r="J27" t="s">
        <v>613</v>
      </c>
    </row>
    <row r="29" spans="1:10" ht="13.5" thickBot="1">
      <c r="A29" s="4">
        <v>9</v>
      </c>
      <c r="C29" t="s">
        <v>182</v>
      </c>
      <c r="H29" s="7">
        <f>-H23-H27</f>
        <v>1905800</v>
      </c>
      <c r="J29" t="s">
        <v>614</v>
      </c>
    </row>
    <row r="30" ht="13.5" thickTop="1"/>
  </sheetData>
  <mergeCells count="4">
    <mergeCell ref="C7:I7"/>
    <mergeCell ref="C8:I8"/>
    <mergeCell ref="C9:I9"/>
    <mergeCell ref="C10:I10"/>
  </mergeCells>
  <printOptions/>
  <pageMargins left="1.25" right="0.75" top="1" bottom="1" header="0.5" footer="0.5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workbookViewId="0" topLeftCell="A1">
      <selection activeCell="J4" sqref="J4"/>
    </sheetView>
  </sheetViews>
  <sheetFormatPr defaultColWidth="9.140625" defaultRowHeight="12.75"/>
  <cols>
    <col min="1" max="1" width="5.7109375" style="0" customWidth="1"/>
    <col min="2" max="2" width="2.7109375" style="0" customWidth="1"/>
    <col min="3" max="3" width="14.7109375" style="0" customWidth="1"/>
    <col min="7" max="7" width="2.7109375" style="0" customWidth="1"/>
    <col min="8" max="8" width="14.00390625" style="0" bestFit="1" customWidth="1"/>
    <col min="9" max="9" width="2.7109375" style="0" customWidth="1"/>
    <col min="11" max="11" width="1.7109375" style="0" customWidth="1"/>
  </cols>
  <sheetData>
    <row r="3" spans="1:10" ht="12.75">
      <c r="A3" t="s">
        <v>222</v>
      </c>
      <c r="J3" s="43" t="s">
        <v>663</v>
      </c>
    </row>
    <row r="4" ht="12.75">
      <c r="J4" s="43" t="s">
        <v>794</v>
      </c>
    </row>
    <row r="5" ht="12.75">
      <c r="J5" s="43" t="s">
        <v>762</v>
      </c>
    </row>
    <row r="6" ht="12.75">
      <c r="J6" s="43"/>
    </row>
    <row r="7" ht="12.75">
      <c r="J7" s="43" t="s">
        <v>687</v>
      </c>
    </row>
    <row r="9" spans="3:9" ht="15.75">
      <c r="C9" s="149" t="s">
        <v>79</v>
      </c>
      <c r="D9" s="149"/>
      <c r="E9" s="149"/>
      <c r="F9" s="149"/>
      <c r="G9" s="149"/>
      <c r="H9" s="149"/>
      <c r="I9" s="149"/>
    </row>
    <row r="10" spans="3:9" ht="12.75">
      <c r="C10" s="150" t="s">
        <v>158</v>
      </c>
      <c r="D10" s="150"/>
      <c r="E10" s="150"/>
      <c r="F10" s="150"/>
      <c r="G10" s="150"/>
      <c r="H10" s="150"/>
      <c r="I10" s="150"/>
    </row>
    <row r="11" spans="3:9" ht="12.75">
      <c r="C11" s="150" t="s">
        <v>669</v>
      </c>
      <c r="D11" s="150"/>
      <c r="E11" s="150"/>
      <c r="F11" s="150"/>
      <c r="G11" s="150"/>
      <c r="H11" s="150"/>
      <c r="I11" s="150"/>
    </row>
    <row r="12" spans="3:9" ht="12.75">
      <c r="C12" s="150"/>
      <c r="D12" s="150"/>
      <c r="E12" s="150"/>
      <c r="F12" s="150"/>
      <c r="G12" s="150"/>
      <c r="H12" s="150"/>
      <c r="I12" s="150"/>
    </row>
    <row r="15" spans="1:7" ht="12.75">
      <c r="A15" s="4" t="s">
        <v>3</v>
      </c>
      <c r="G15" s="9"/>
    </row>
    <row r="16" spans="1:10" ht="12.75">
      <c r="A16" s="5" t="s">
        <v>4</v>
      </c>
      <c r="C16" s="8" t="s">
        <v>5</v>
      </c>
      <c r="D16" s="8"/>
      <c r="E16" s="8"/>
      <c r="F16" s="8"/>
      <c r="G16" s="9"/>
      <c r="H16" s="5" t="s">
        <v>0</v>
      </c>
      <c r="J16" s="5" t="s">
        <v>105</v>
      </c>
    </row>
    <row r="17" ht="12.75">
      <c r="G17" s="9"/>
    </row>
    <row r="18" spans="1:10" ht="12.75">
      <c r="A18" s="4"/>
      <c r="E18" s="85"/>
      <c r="F18" s="85"/>
      <c r="G18" s="85"/>
      <c r="H18" s="88"/>
      <c r="I18" s="127"/>
      <c r="J18" s="88"/>
    </row>
    <row r="19" spans="1:10" ht="12.75">
      <c r="A19" s="4">
        <v>1</v>
      </c>
      <c r="C19" t="s">
        <v>670</v>
      </c>
      <c r="G19" s="9"/>
      <c r="H19" s="121">
        <v>1095355</v>
      </c>
      <c r="I19" s="127"/>
      <c r="J19" s="127" t="s">
        <v>675</v>
      </c>
    </row>
    <row r="20" ht="12.75">
      <c r="A20" s="4"/>
    </row>
    <row r="21" spans="1:8" ht="12.75">
      <c r="A21" s="4">
        <v>2</v>
      </c>
      <c r="C21" t="s">
        <v>671</v>
      </c>
      <c r="H21" s="88"/>
    </row>
    <row r="22" spans="1:10" ht="12.75">
      <c r="A22" s="4">
        <v>3</v>
      </c>
      <c r="C22" t="s">
        <v>672</v>
      </c>
      <c r="H22" s="86">
        <v>930147</v>
      </c>
      <c r="J22" t="s">
        <v>675</v>
      </c>
    </row>
    <row r="23" spans="1:8" ht="12.75">
      <c r="A23" s="4"/>
      <c r="H23" s="129"/>
    </row>
    <row r="24" spans="1:3" ht="12.75">
      <c r="A24" s="4">
        <v>4</v>
      </c>
      <c r="C24" t="s">
        <v>673</v>
      </c>
    </row>
    <row r="25" spans="1:10" ht="12.75">
      <c r="A25" s="4">
        <v>5</v>
      </c>
      <c r="C25" t="s">
        <v>674</v>
      </c>
      <c r="H25" s="10">
        <f>+H19-H22</f>
        <v>165208</v>
      </c>
      <c r="J25" t="s">
        <v>676</v>
      </c>
    </row>
    <row r="26" spans="1:8" ht="12.75">
      <c r="A26" s="4"/>
      <c r="H26" s="85"/>
    </row>
    <row r="27" spans="1:8" ht="12.75">
      <c r="A27" s="4">
        <v>6</v>
      </c>
      <c r="C27" t="s">
        <v>165</v>
      </c>
      <c r="H27" s="13">
        <v>0.35</v>
      </c>
    </row>
    <row r="28" ht="12.75">
      <c r="A28" s="4"/>
    </row>
    <row r="29" spans="1:10" ht="12.75">
      <c r="A29" s="4">
        <v>7</v>
      </c>
      <c r="C29" t="s">
        <v>611</v>
      </c>
      <c r="H29" s="72">
        <f>+H25*-H27</f>
        <v>-57822.799999999996</v>
      </c>
      <c r="J29" t="s">
        <v>679</v>
      </c>
    </row>
    <row r="31" spans="1:10" ht="13.5" thickBot="1">
      <c r="A31" s="4">
        <v>8</v>
      </c>
      <c r="C31" t="s">
        <v>182</v>
      </c>
      <c r="H31" s="7">
        <f>-H25-H29</f>
        <v>-107385.20000000001</v>
      </c>
      <c r="J31" t="s">
        <v>680</v>
      </c>
    </row>
    <row r="32" ht="13.5" thickTop="1"/>
  </sheetData>
  <mergeCells count="4">
    <mergeCell ref="C9:I9"/>
    <mergeCell ref="C10:I10"/>
    <mergeCell ref="C11:I11"/>
    <mergeCell ref="C12:I12"/>
  </mergeCells>
  <printOptions/>
  <pageMargins left="1.25" right="0.75" top="1" bottom="1" header="0.5" footer="0.5"/>
  <pageSetup fitToHeight="1" fitToWidth="1"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9"/>
  <sheetViews>
    <sheetView workbookViewId="0" topLeftCell="A1">
      <selection activeCell="J4" sqref="J4"/>
    </sheetView>
  </sheetViews>
  <sheetFormatPr defaultColWidth="9.140625" defaultRowHeight="12.75"/>
  <cols>
    <col min="1" max="1" width="5.7109375" style="0" customWidth="1"/>
    <col min="2" max="2" width="2.7109375" style="0" customWidth="1"/>
    <col min="3" max="3" width="14.7109375" style="0" customWidth="1"/>
    <col min="7" max="7" width="2.7109375" style="0" customWidth="1"/>
    <col min="8" max="8" width="14.00390625" style="0" bestFit="1" customWidth="1"/>
    <col min="9" max="9" width="2.7109375" style="0" customWidth="1"/>
    <col min="11" max="11" width="1.7109375" style="0" customWidth="1"/>
  </cols>
  <sheetData>
    <row r="3" spans="1:10" ht="12.75">
      <c r="A3" t="s">
        <v>222</v>
      </c>
      <c r="J3" s="43" t="s">
        <v>663</v>
      </c>
    </row>
    <row r="4" ht="12.75">
      <c r="J4" s="43" t="s">
        <v>794</v>
      </c>
    </row>
    <row r="5" ht="12.75">
      <c r="J5" s="43" t="s">
        <v>761</v>
      </c>
    </row>
    <row r="6" ht="12.75">
      <c r="J6" s="43"/>
    </row>
    <row r="7" ht="12.75">
      <c r="J7" s="43" t="s">
        <v>688</v>
      </c>
    </row>
    <row r="9" spans="3:9" ht="15.75">
      <c r="C9" s="149" t="s">
        <v>79</v>
      </c>
      <c r="D9" s="149"/>
      <c r="E9" s="149"/>
      <c r="F9" s="149"/>
      <c r="G9" s="149"/>
      <c r="H9" s="149"/>
      <c r="I9" s="149"/>
    </row>
    <row r="10" spans="3:9" ht="12.75">
      <c r="C10" s="150" t="s">
        <v>158</v>
      </c>
      <c r="D10" s="150"/>
      <c r="E10" s="150"/>
      <c r="F10" s="150"/>
      <c r="G10" s="150"/>
      <c r="H10" s="150"/>
      <c r="I10" s="150"/>
    </row>
    <row r="11" spans="3:9" ht="12.75">
      <c r="C11" s="150" t="s">
        <v>788</v>
      </c>
      <c r="D11" s="150"/>
      <c r="E11" s="150"/>
      <c r="F11" s="150"/>
      <c r="G11" s="150"/>
      <c r="H11" s="150"/>
      <c r="I11" s="150"/>
    </row>
    <row r="12" spans="3:9" ht="12.75">
      <c r="C12" s="150"/>
      <c r="D12" s="150"/>
      <c r="E12" s="150"/>
      <c r="F12" s="150"/>
      <c r="G12" s="150"/>
      <c r="H12" s="150"/>
      <c r="I12" s="150"/>
    </row>
    <row r="15" spans="1:7" ht="12.75">
      <c r="A15" s="4" t="s">
        <v>3</v>
      </c>
      <c r="G15" s="9"/>
    </row>
    <row r="16" spans="1:10" ht="12.75">
      <c r="A16" s="5" t="s">
        <v>4</v>
      </c>
      <c r="C16" s="8" t="s">
        <v>5</v>
      </c>
      <c r="D16" s="8"/>
      <c r="E16" s="8"/>
      <c r="F16" s="8"/>
      <c r="G16" s="9"/>
      <c r="H16" s="5" t="s">
        <v>0</v>
      </c>
      <c r="J16" s="5" t="s">
        <v>105</v>
      </c>
    </row>
    <row r="17" ht="12.75">
      <c r="G17" s="9"/>
    </row>
    <row r="18" spans="1:10" ht="12.75">
      <c r="A18" s="4"/>
      <c r="E18" s="85"/>
      <c r="F18" s="85"/>
      <c r="G18" s="85"/>
      <c r="H18" s="88"/>
      <c r="I18" s="127"/>
      <c r="J18" s="88"/>
    </row>
    <row r="19" spans="1:10" ht="12.75">
      <c r="A19" s="4">
        <v>1</v>
      </c>
      <c r="C19" t="s">
        <v>686</v>
      </c>
      <c r="G19" s="9"/>
      <c r="H19" s="132">
        <v>571673.4427043966</v>
      </c>
      <c r="I19" s="127"/>
      <c r="J19" s="127" t="s">
        <v>709</v>
      </c>
    </row>
    <row r="20" ht="12.75">
      <c r="A20" s="4"/>
    </row>
    <row r="21" spans="1:8" ht="12.75">
      <c r="A21" s="4">
        <v>2</v>
      </c>
      <c r="C21" t="s">
        <v>681</v>
      </c>
      <c r="H21" s="86">
        <v>10</v>
      </c>
    </row>
    <row r="22" spans="1:8" ht="12.75">
      <c r="A22" s="4"/>
      <c r="H22" s="129"/>
    </row>
    <row r="23" spans="1:10" ht="12.75">
      <c r="A23" s="4">
        <v>3</v>
      </c>
      <c r="C23" t="s">
        <v>682</v>
      </c>
      <c r="H23" s="17">
        <f>+H19/H21</f>
        <v>57167.34427043966</v>
      </c>
      <c r="J23" t="s">
        <v>789</v>
      </c>
    </row>
    <row r="24" spans="1:8" ht="12.75">
      <c r="A24" s="4"/>
      <c r="H24" s="85"/>
    </row>
    <row r="25" spans="1:8" ht="12.75">
      <c r="A25" s="4">
        <v>4</v>
      </c>
      <c r="C25" t="s">
        <v>165</v>
      </c>
      <c r="H25" s="130">
        <v>0.35</v>
      </c>
    </row>
    <row r="26" ht="12.75">
      <c r="A26" s="4"/>
    </row>
    <row r="27" spans="1:10" ht="12.75">
      <c r="A27" s="4">
        <v>5</v>
      </c>
      <c r="C27" t="s">
        <v>611</v>
      </c>
      <c r="H27" s="131">
        <f>+H23*H25</f>
        <v>20008.57049465388</v>
      </c>
      <c r="J27" t="s">
        <v>790</v>
      </c>
    </row>
    <row r="29" spans="1:10" ht="13.5" thickBot="1">
      <c r="A29" s="4">
        <v>6</v>
      </c>
      <c r="C29" t="s">
        <v>182</v>
      </c>
      <c r="H29" s="122">
        <f>+H23-H27</f>
        <v>37158.77377578578</v>
      </c>
      <c r="J29" t="s">
        <v>791</v>
      </c>
    </row>
    <row r="30" ht="13.5" thickTop="1"/>
  </sheetData>
  <mergeCells count="4">
    <mergeCell ref="C9:I9"/>
    <mergeCell ref="C10:I10"/>
    <mergeCell ref="C11:I11"/>
    <mergeCell ref="C12:I12"/>
  </mergeCells>
  <printOptions/>
  <pageMargins left="1.25" right="0.75" top="1" bottom="1" header="0.5" footer="0.5"/>
  <pageSetup fitToHeight="1" fitToWidth="1"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5"/>
  <sheetViews>
    <sheetView workbookViewId="0" topLeftCell="A1">
      <selection activeCell="J4" sqref="J4"/>
    </sheetView>
  </sheetViews>
  <sheetFormatPr defaultColWidth="9.140625" defaultRowHeight="12.75"/>
  <cols>
    <col min="1" max="1" width="5.7109375" style="0" customWidth="1"/>
    <col min="2" max="2" width="2.7109375" style="0" customWidth="1"/>
    <col min="3" max="3" width="14.7109375" style="0" customWidth="1"/>
    <col min="7" max="7" width="2.7109375" style="0" customWidth="1"/>
    <col min="8" max="8" width="14.00390625" style="0" bestFit="1" customWidth="1"/>
    <col min="9" max="9" width="2.7109375" style="0" customWidth="1"/>
    <col min="11" max="11" width="1.7109375" style="0" customWidth="1"/>
  </cols>
  <sheetData>
    <row r="3" spans="1:10" ht="12.75">
      <c r="A3" t="s">
        <v>222</v>
      </c>
      <c r="J3" s="43" t="s">
        <v>663</v>
      </c>
    </row>
    <row r="4" ht="12.75">
      <c r="J4" s="43" t="s">
        <v>794</v>
      </c>
    </row>
    <row r="5" ht="12.75">
      <c r="J5" s="43" t="s">
        <v>760</v>
      </c>
    </row>
    <row r="6" ht="12.75">
      <c r="J6" s="43"/>
    </row>
    <row r="7" ht="12.75">
      <c r="J7" s="43" t="s">
        <v>689</v>
      </c>
    </row>
    <row r="9" spans="3:9" ht="15.75">
      <c r="C9" s="149" t="s">
        <v>79</v>
      </c>
      <c r="D9" s="149"/>
      <c r="E9" s="149"/>
      <c r="F9" s="149"/>
      <c r="G9" s="149"/>
      <c r="H9" s="149"/>
      <c r="I9" s="149"/>
    </row>
    <row r="10" spans="3:9" ht="12.75">
      <c r="C10" s="150" t="s">
        <v>158</v>
      </c>
      <c r="D10" s="150"/>
      <c r="E10" s="150"/>
      <c r="F10" s="150"/>
      <c r="G10" s="150"/>
      <c r="H10" s="150"/>
      <c r="I10" s="150"/>
    </row>
    <row r="11" spans="3:9" ht="12.75">
      <c r="C11" s="150" t="s">
        <v>683</v>
      </c>
      <c r="D11" s="150"/>
      <c r="E11" s="150"/>
      <c r="F11" s="150"/>
      <c r="G11" s="150"/>
      <c r="H11" s="150"/>
      <c r="I11" s="150"/>
    </row>
    <row r="12" spans="3:9" ht="12.75">
      <c r="C12" s="150"/>
      <c r="D12" s="150"/>
      <c r="E12" s="150"/>
      <c r="F12" s="150"/>
      <c r="G12" s="150"/>
      <c r="H12" s="150"/>
      <c r="I12" s="150"/>
    </row>
    <row r="15" spans="1:7" ht="12.75">
      <c r="A15" s="4" t="s">
        <v>3</v>
      </c>
      <c r="G15" s="9"/>
    </row>
    <row r="16" spans="1:10" ht="12.75">
      <c r="A16" s="5" t="s">
        <v>4</v>
      </c>
      <c r="C16" s="8" t="s">
        <v>5</v>
      </c>
      <c r="D16" s="8"/>
      <c r="E16" s="8"/>
      <c r="F16" s="8"/>
      <c r="G16" s="9"/>
      <c r="H16" s="5" t="s">
        <v>0</v>
      </c>
      <c r="J16" s="5" t="s">
        <v>105</v>
      </c>
    </row>
    <row r="17" ht="12.75">
      <c r="G17" s="9"/>
    </row>
    <row r="18" spans="1:10" ht="12.75">
      <c r="A18" s="4"/>
      <c r="E18" s="85"/>
      <c r="F18" s="85"/>
      <c r="G18" s="85"/>
      <c r="H18" s="88"/>
      <c r="I18" s="127"/>
      <c r="J18" s="88"/>
    </row>
    <row r="19" spans="1:10" ht="12.75">
      <c r="A19" s="4">
        <v>1</v>
      </c>
      <c r="C19" t="s">
        <v>684</v>
      </c>
      <c r="G19" s="9"/>
      <c r="H19" s="133">
        <f>-1091103</f>
        <v>-1091103</v>
      </c>
      <c r="I19" s="127"/>
      <c r="J19" s="127" t="s">
        <v>685</v>
      </c>
    </row>
    <row r="20" spans="1:8" ht="12.75">
      <c r="A20" s="4"/>
      <c r="H20" s="85"/>
    </row>
    <row r="21" spans="1:8" ht="12.75">
      <c r="A21" s="4">
        <v>4</v>
      </c>
      <c r="C21" t="s">
        <v>165</v>
      </c>
      <c r="H21" s="130">
        <v>0.35</v>
      </c>
    </row>
    <row r="22" ht="12.75">
      <c r="A22" s="4"/>
    </row>
    <row r="23" spans="1:10" ht="12.75">
      <c r="A23" s="4">
        <v>5</v>
      </c>
      <c r="C23" t="s">
        <v>611</v>
      </c>
      <c r="H23" s="131">
        <f>+H19*-H21</f>
        <v>381886.05</v>
      </c>
      <c r="J23" t="s">
        <v>679</v>
      </c>
    </row>
    <row r="25" spans="1:10" ht="13.5" thickBot="1">
      <c r="A25" s="4">
        <v>6</v>
      </c>
      <c r="C25" t="s">
        <v>182</v>
      </c>
      <c r="H25" s="122">
        <f>+H19+H23</f>
        <v>-709216.95</v>
      </c>
      <c r="J25" t="s">
        <v>680</v>
      </c>
    </row>
    <row r="26" ht="13.5" thickTop="1"/>
  </sheetData>
  <mergeCells count="4">
    <mergeCell ref="C9:I9"/>
    <mergeCell ref="C10:I10"/>
    <mergeCell ref="C11:I11"/>
    <mergeCell ref="C12:I12"/>
  </mergeCells>
  <printOptions/>
  <pageMargins left="1.25" right="0.75" top="1" bottom="1" header="0.5" footer="0.5"/>
  <pageSetup fitToHeight="1" fitToWidth="1"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147"/>
  <sheetViews>
    <sheetView workbookViewId="0" topLeftCell="A1">
      <selection activeCell="J4" sqref="J4"/>
    </sheetView>
  </sheetViews>
  <sheetFormatPr defaultColWidth="9.140625" defaultRowHeight="12.75"/>
  <cols>
    <col min="1" max="1" width="5.7109375" style="0" customWidth="1"/>
    <col min="2" max="2" width="2.7109375" style="0" customWidth="1"/>
    <col min="3" max="3" width="14.7109375" style="0" customWidth="1"/>
    <col min="7" max="7" width="9.57421875" style="0" customWidth="1"/>
    <col min="8" max="8" width="14.00390625" style="0" bestFit="1" customWidth="1"/>
    <col min="9" max="9" width="2.7109375" style="0" customWidth="1"/>
    <col min="10" max="10" width="12.7109375" style="0" bestFit="1" customWidth="1"/>
    <col min="11" max="11" width="1.7109375" style="0" customWidth="1"/>
  </cols>
  <sheetData>
    <row r="3" spans="1:10" ht="12.75">
      <c r="A3" t="s">
        <v>222</v>
      </c>
      <c r="J3" s="43" t="s">
        <v>663</v>
      </c>
    </row>
    <row r="4" ht="12.75">
      <c r="J4" s="43" t="s">
        <v>794</v>
      </c>
    </row>
    <row r="5" ht="12.75">
      <c r="J5" s="43" t="s">
        <v>759</v>
      </c>
    </row>
    <row r="6" ht="12.75">
      <c r="J6" s="43"/>
    </row>
    <row r="7" ht="12.75">
      <c r="J7" s="43" t="s">
        <v>717</v>
      </c>
    </row>
    <row r="9" spans="3:9" ht="15.75">
      <c r="C9" s="149" t="s">
        <v>79</v>
      </c>
      <c r="D9" s="149"/>
      <c r="E9" s="149"/>
      <c r="F9" s="149"/>
      <c r="G9" s="149"/>
      <c r="H9" s="149"/>
      <c r="I9" s="149"/>
    </row>
    <row r="10" spans="3:9" ht="12.75">
      <c r="C10" s="150" t="s">
        <v>158</v>
      </c>
      <c r="D10" s="150"/>
      <c r="E10" s="150"/>
      <c r="F10" s="150"/>
      <c r="G10" s="150"/>
      <c r="H10" s="150"/>
      <c r="I10" s="150"/>
    </row>
    <row r="11" spans="3:9" ht="12.75">
      <c r="C11" s="150" t="s">
        <v>793</v>
      </c>
      <c r="D11" s="150"/>
      <c r="E11" s="150"/>
      <c r="F11" s="150"/>
      <c r="G11" s="150"/>
      <c r="H11" s="150"/>
      <c r="I11" s="150"/>
    </row>
    <row r="12" spans="3:9" ht="12.75">
      <c r="C12" s="150"/>
      <c r="D12" s="150"/>
      <c r="E12" s="150"/>
      <c r="F12" s="150"/>
      <c r="G12" s="150"/>
      <c r="H12" s="150"/>
      <c r="I12" s="150"/>
    </row>
    <row r="15" spans="1:7" ht="12.75">
      <c r="A15" s="4" t="s">
        <v>3</v>
      </c>
      <c r="G15" s="9"/>
    </row>
    <row r="16" spans="1:10" ht="12.75">
      <c r="A16" s="5" t="s">
        <v>4</v>
      </c>
      <c r="C16" s="8" t="s">
        <v>5</v>
      </c>
      <c r="D16" s="8"/>
      <c r="E16" s="8"/>
      <c r="F16" s="8"/>
      <c r="G16" s="9"/>
      <c r="H16" s="5" t="s">
        <v>0</v>
      </c>
      <c r="J16" s="5" t="s">
        <v>105</v>
      </c>
    </row>
    <row r="17" ht="12.75">
      <c r="A17" s="4"/>
    </row>
    <row r="18" spans="1:5" ht="12.75">
      <c r="A18" s="4">
        <v>1</v>
      </c>
      <c r="E18" t="s">
        <v>690</v>
      </c>
    </row>
    <row r="19" ht="12.75">
      <c r="A19" s="4"/>
    </row>
    <row r="20" spans="1:10" ht="12.75">
      <c r="A20" s="4">
        <v>2</v>
      </c>
      <c r="C20" t="s">
        <v>691</v>
      </c>
      <c r="E20">
        <v>991300</v>
      </c>
      <c r="H20" s="117">
        <v>10000</v>
      </c>
      <c r="J20" t="s">
        <v>709</v>
      </c>
    </row>
    <row r="21" spans="1:10" ht="12.75">
      <c r="A21" s="4">
        <v>3</v>
      </c>
      <c r="C21" t="s">
        <v>692</v>
      </c>
      <c r="E21">
        <v>991300</v>
      </c>
      <c r="H21" s="117">
        <v>75600</v>
      </c>
      <c r="J21" t="s">
        <v>709</v>
      </c>
    </row>
    <row r="22" spans="1:8" ht="12.75">
      <c r="A22" s="4">
        <v>4</v>
      </c>
      <c r="C22" t="s">
        <v>693</v>
      </c>
      <c r="H22" s="117"/>
    </row>
    <row r="23" spans="1:10" ht="12.75">
      <c r="A23" s="4">
        <v>5</v>
      </c>
      <c r="C23" t="s">
        <v>694</v>
      </c>
      <c r="E23">
        <v>991300</v>
      </c>
      <c r="H23" s="117">
        <v>22804.2</v>
      </c>
      <c r="J23" t="s">
        <v>709</v>
      </c>
    </row>
    <row r="24" spans="1:10" ht="12.75">
      <c r="A24" s="4">
        <v>6</v>
      </c>
      <c r="C24" t="s">
        <v>695</v>
      </c>
      <c r="E24">
        <v>993022</v>
      </c>
      <c r="H24" s="134">
        <v>82290.86</v>
      </c>
      <c r="J24" t="s">
        <v>709</v>
      </c>
    </row>
    <row r="25" spans="1:20" ht="12.75">
      <c r="A25" s="4">
        <v>7</v>
      </c>
      <c r="C25" t="s">
        <v>700</v>
      </c>
      <c r="H25" s="120">
        <f>+H20+H21+H23+H24</f>
        <v>190695.06</v>
      </c>
      <c r="J25" t="s">
        <v>710</v>
      </c>
      <c r="O25" s="9"/>
      <c r="P25" s="9"/>
      <c r="Q25" s="9"/>
      <c r="R25" s="9"/>
      <c r="S25" s="9"/>
      <c r="T25" s="9"/>
    </row>
    <row r="26" spans="15:20" ht="12.75">
      <c r="O26" s="9"/>
      <c r="P26" s="9"/>
      <c r="Q26" s="9"/>
      <c r="R26" s="9"/>
      <c r="S26" s="9"/>
      <c r="T26" s="9"/>
    </row>
    <row r="27" spans="1:20" ht="12.75">
      <c r="A27" s="4">
        <v>8</v>
      </c>
      <c r="C27" t="s">
        <v>697</v>
      </c>
      <c r="H27" s="111">
        <v>0.79742</v>
      </c>
      <c r="I27" s="107"/>
      <c r="J27" t="s">
        <v>709</v>
      </c>
      <c r="O27" s="9"/>
      <c r="P27" s="9"/>
      <c r="Q27" s="9"/>
      <c r="R27" s="79"/>
      <c r="S27" s="9"/>
      <c r="T27" s="9"/>
    </row>
    <row r="28" spans="8:20" ht="12.75">
      <c r="H28" s="107"/>
      <c r="I28" s="107"/>
      <c r="J28" s="107"/>
      <c r="O28" s="9"/>
      <c r="P28" s="9"/>
      <c r="Q28" s="9"/>
      <c r="R28" s="9"/>
      <c r="S28" s="9"/>
      <c r="T28" s="9"/>
    </row>
    <row r="29" spans="1:20" ht="12.75">
      <c r="A29" s="4">
        <v>9</v>
      </c>
      <c r="C29" t="s">
        <v>698</v>
      </c>
      <c r="H29" s="2">
        <f>+H25*H27</f>
        <v>152064.0547452</v>
      </c>
      <c r="J29" t="s">
        <v>711</v>
      </c>
      <c r="O29" s="9"/>
      <c r="P29" s="142"/>
      <c r="Q29" s="142"/>
      <c r="R29" s="142"/>
      <c r="S29" s="9"/>
      <c r="T29" s="9"/>
    </row>
    <row r="30" spans="7:20" ht="12.75">
      <c r="G30" s="135"/>
      <c r="O30" s="9"/>
      <c r="P30" s="143"/>
      <c r="Q30" s="9"/>
      <c r="R30" s="143"/>
      <c r="S30" s="143"/>
      <c r="T30" s="9"/>
    </row>
    <row r="31" spans="1:20" ht="12.75">
      <c r="A31" s="4">
        <v>10</v>
      </c>
      <c r="C31" t="s">
        <v>699</v>
      </c>
      <c r="H31" s="111">
        <v>0.64165</v>
      </c>
      <c r="J31" t="s">
        <v>709</v>
      </c>
      <c r="O31" s="9"/>
      <c r="P31" s="79"/>
      <c r="Q31" s="79"/>
      <c r="R31" s="79"/>
      <c r="S31" s="79"/>
      <c r="T31" s="9"/>
    </row>
    <row r="32" spans="1:20" ht="12.75">
      <c r="A32" s="4"/>
      <c r="H32" s="107"/>
      <c r="O32" s="9"/>
      <c r="P32" s="79"/>
      <c r="Q32" s="79"/>
      <c r="R32" s="79"/>
      <c r="S32" s="79"/>
      <c r="T32" s="9"/>
    </row>
    <row r="33" spans="1:20" ht="12.75">
      <c r="A33" s="4">
        <v>11</v>
      </c>
      <c r="C33" t="s">
        <v>701</v>
      </c>
      <c r="H33" s="133">
        <f>+H29*H31</f>
        <v>97571.90072725758</v>
      </c>
      <c r="J33" t="s">
        <v>712</v>
      </c>
      <c r="O33" s="9"/>
      <c r="P33" s="142"/>
      <c r="Q33" s="142"/>
      <c r="R33" s="144"/>
      <c r="S33" s="9"/>
      <c r="T33" s="9"/>
    </row>
    <row r="34" spans="1:20" ht="12.75">
      <c r="A34" s="4"/>
      <c r="H34" s="120"/>
      <c r="O34" s="9"/>
      <c r="P34" s="120"/>
      <c r="Q34" s="120"/>
      <c r="R34" s="120"/>
      <c r="S34" s="9"/>
      <c r="T34" s="9"/>
    </row>
    <row r="35" spans="1:20" ht="12.75">
      <c r="A35" s="4">
        <v>12</v>
      </c>
      <c r="C35" t="s">
        <v>702</v>
      </c>
      <c r="G35" s="117">
        <v>65847.82</v>
      </c>
      <c r="J35" t="s">
        <v>709</v>
      </c>
      <c r="O35" s="9"/>
      <c r="P35" s="9"/>
      <c r="Q35" s="9"/>
      <c r="R35" s="142"/>
      <c r="S35" s="9"/>
      <c r="T35" s="9"/>
    </row>
    <row r="36" spans="1:20" ht="12.75">
      <c r="A36" s="4"/>
      <c r="O36" s="9"/>
      <c r="P36" s="9"/>
      <c r="Q36" s="9"/>
      <c r="R36" s="9"/>
      <c r="S36" s="9"/>
      <c r="T36" s="9"/>
    </row>
    <row r="37" spans="1:20" ht="12.75">
      <c r="A37" s="4">
        <v>13</v>
      </c>
      <c r="C37" t="s">
        <v>696</v>
      </c>
      <c r="O37" s="9"/>
      <c r="P37" s="9"/>
      <c r="Q37" s="9"/>
      <c r="R37" s="9"/>
      <c r="S37" s="9"/>
      <c r="T37" s="9"/>
    </row>
    <row r="38" spans="1:20" ht="12.75">
      <c r="A38" s="4">
        <v>14</v>
      </c>
      <c r="C38" t="s">
        <v>703</v>
      </c>
      <c r="O38" s="9"/>
      <c r="P38" s="9"/>
      <c r="Q38" s="9"/>
      <c r="R38" s="9"/>
      <c r="S38" s="9"/>
      <c r="T38" s="9"/>
    </row>
    <row r="39" spans="1:20" ht="12.75">
      <c r="A39" s="4">
        <v>15</v>
      </c>
      <c r="C39" t="s">
        <v>704</v>
      </c>
      <c r="G39" s="136">
        <v>0.5235</v>
      </c>
      <c r="J39" t="s">
        <v>709</v>
      </c>
      <c r="O39" s="9"/>
      <c r="P39" s="120"/>
      <c r="Q39" s="120"/>
      <c r="R39" s="120"/>
      <c r="S39" s="9"/>
      <c r="T39" s="9"/>
    </row>
    <row r="40" spans="1:20" ht="12.75">
      <c r="A40" s="4"/>
      <c r="H40" s="96"/>
      <c r="O40" s="9"/>
      <c r="P40" s="120"/>
      <c r="Q40" s="120"/>
      <c r="R40" s="120"/>
      <c r="S40" s="9"/>
      <c r="T40" s="9"/>
    </row>
    <row r="41" spans="1:20" ht="12.75">
      <c r="A41" s="4">
        <v>16</v>
      </c>
      <c r="C41" t="s">
        <v>705</v>
      </c>
      <c r="H41" s="139">
        <f>+G35*G39</f>
        <v>34471.333770000005</v>
      </c>
      <c r="J41" t="s">
        <v>713</v>
      </c>
      <c r="O41" s="9"/>
      <c r="P41" s="96"/>
      <c r="Q41" s="96"/>
      <c r="R41" s="96"/>
      <c r="S41" s="9"/>
      <c r="T41" s="9"/>
    </row>
    <row r="42" spans="1:20" ht="12.75">
      <c r="A42" s="4"/>
      <c r="O42" s="9"/>
      <c r="P42" s="120"/>
      <c r="Q42" s="120"/>
      <c r="R42" s="137"/>
      <c r="S42" s="9"/>
      <c r="T42" s="9"/>
    </row>
    <row r="43" spans="1:20" ht="12.75">
      <c r="A43" s="4"/>
      <c r="H43" s="117"/>
      <c r="O43" s="9"/>
      <c r="P43" s="120"/>
      <c r="Q43" s="120"/>
      <c r="R43" s="120"/>
      <c r="S43" s="9"/>
      <c r="T43" s="9"/>
    </row>
    <row r="44" spans="1:20" ht="12.75">
      <c r="A44" s="4">
        <v>17</v>
      </c>
      <c r="C44" t="s">
        <v>706</v>
      </c>
      <c r="E44" s="9"/>
      <c r="F44" s="9"/>
      <c r="G44" s="9"/>
      <c r="H44" s="11">
        <f>-H33-H41</f>
        <v>-132043.2344972576</v>
      </c>
      <c r="I44" s="9"/>
      <c r="J44" s="9" t="s">
        <v>714</v>
      </c>
      <c r="K44" s="9"/>
      <c r="L44" s="9"/>
      <c r="M44" s="9"/>
      <c r="N44" s="9"/>
      <c r="O44" s="9"/>
      <c r="P44" s="120"/>
      <c r="Q44" s="120"/>
      <c r="R44" s="120"/>
      <c r="S44" s="9"/>
      <c r="T44" s="9"/>
    </row>
    <row r="45" spans="1:20" ht="12.75">
      <c r="A45" s="4"/>
      <c r="E45" s="9"/>
      <c r="F45" s="9"/>
      <c r="G45" s="9"/>
      <c r="H45" s="120"/>
      <c r="I45" s="9"/>
      <c r="J45" s="9"/>
      <c r="K45" s="9"/>
      <c r="L45" s="9"/>
      <c r="M45" s="9"/>
      <c r="N45" s="9"/>
      <c r="O45" s="9"/>
      <c r="P45" s="120"/>
      <c r="Q45" s="120"/>
      <c r="R45" s="120"/>
      <c r="S45" s="9"/>
      <c r="T45" s="9"/>
    </row>
    <row r="46" spans="1:20" ht="12.75">
      <c r="A46" s="4">
        <v>18</v>
      </c>
      <c r="C46" t="s">
        <v>165</v>
      </c>
      <c r="E46" s="9"/>
      <c r="F46" s="9"/>
      <c r="G46" s="9"/>
      <c r="H46" s="136">
        <v>0.35</v>
      </c>
      <c r="I46" s="9"/>
      <c r="J46" s="9"/>
      <c r="K46" s="9"/>
      <c r="L46" s="9"/>
      <c r="M46" s="9"/>
      <c r="N46" s="9"/>
      <c r="O46" s="9"/>
      <c r="P46" s="96"/>
      <c r="Q46" s="96"/>
      <c r="R46" s="96"/>
      <c r="S46" s="9"/>
      <c r="T46" s="9"/>
    </row>
    <row r="47" spans="1:20" ht="12.75">
      <c r="A47" s="4"/>
      <c r="E47" s="9"/>
      <c r="F47" s="9"/>
      <c r="G47" s="9"/>
      <c r="H47" s="120"/>
      <c r="I47" s="9"/>
      <c r="J47" s="9"/>
      <c r="K47" s="9"/>
      <c r="L47" s="9"/>
      <c r="M47" s="9"/>
      <c r="N47" s="9"/>
      <c r="O47" s="9"/>
      <c r="P47" s="120"/>
      <c r="Q47" s="120"/>
      <c r="R47" s="137"/>
      <c r="S47" s="9"/>
      <c r="T47" s="9"/>
    </row>
    <row r="48" spans="1:20" ht="12.75">
      <c r="A48" s="4">
        <v>19</v>
      </c>
      <c r="C48" t="s">
        <v>707</v>
      </c>
      <c r="E48" s="9"/>
      <c r="F48" s="9"/>
      <c r="G48" s="9"/>
      <c r="H48" s="134">
        <f>+H44*-H46</f>
        <v>46215.13207404016</v>
      </c>
      <c r="I48" s="9"/>
      <c r="J48" s="9" t="s">
        <v>715</v>
      </c>
      <c r="K48" s="9"/>
      <c r="L48" s="9"/>
      <c r="M48" s="9"/>
      <c r="N48" s="9"/>
      <c r="O48" s="9"/>
      <c r="P48" s="120"/>
      <c r="Q48" s="120"/>
      <c r="R48" s="120"/>
      <c r="S48" s="9"/>
      <c r="T48" s="9"/>
    </row>
    <row r="49" spans="1:20" ht="12.75">
      <c r="A49" s="4"/>
      <c r="E49" s="9"/>
      <c r="F49" s="9"/>
      <c r="G49" s="9"/>
      <c r="H49" s="140"/>
      <c r="I49" s="9"/>
      <c r="J49" s="9"/>
      <c r="K49" s="9"/>
      <c r="L49" s="9"/>
      <c r="M49" s="9"/>
      <c r="N49" s="9"/>
      <c r="O49" s="9"/>
      <c r="P49" s="120"/>
      <c r="Q49" s="120"/>
      <c r="R49" s="120"/>
      <c r="S49" s="9"/>
      <c r="T49" s="9"/>
    </row>
    <row r="50" spans="1:20" ht="13.5" thickBot="1">
      <c r="A50" s="4">
        <v>20</v>
      </c>
      <c r="C50" t="s">
        <v>708</v>
      </c>
      <c r="E50" s="9"/>
      <c r="F50" s="9"/>
      <c r="G50" s="9"/>
      <c r="H50" s="123">
        <f>+H44+H48</f>
        <v>-85828.10242321744</v>
      </c>
      <c r="I50" s="9"/>
      <c r="J50" s="9" t="s">
        <v>716</v>
      </c>
      <c r="K50" s="9"/>
      <c r="L50" s="9"/>
      <c r="M50" s="9"/>
      <c r="N50" s="9"/>
      <c r="O50" s="9"/>
      <c r="P50" s="120"/>
      <c r="Q50" s="120"/>
      <c r="R50" s="120"/>
      <c r="S50" s="9"/>
      <c r="T50" s="9"/>
    </row>
    <row r="51" spans="5:20" ht="13.5" thickTop="1">
      <c r="E51" s="9"/>
      <c r="F51" s="9"/>
      <c r="G51" s="9"/>
      <c r="H51" s="120"/>
      <c r="I51" s="9"/>
      <c r="J51" s="9"/>
      <c r="K51" s="9"/>
      <c r="L51" s="9"/>
      <c r="M51" s="9"/>
      <c r="N51" s="9"/>
      <c r="O51" s="9"/>
      <c r="P51" s="120"/>
      <c r="Q51" s="120"/>
      <c r="R51" s="120"/>
      <c r="S51" s="9"/>
      <c r="T51" s="9"/>
    </row>
    <row r="52" spans="5:20" ht="12.75">
      <c r="E52" s="9"/>
      <c r="F52" s="9"/>
      <c r="G52" s="9"/>
      <c r="H52" s="120"/>
      <c r="I52" s="9"/>
      <c r="J52" s="9"/>
      <c r="K52" s="9"/>
      <c r="L52" s="9"/>
      <c r="M52" s="9"/>
      <c r="N52" s="9"/>
      <c r="O52" s="9"/>
      <c r="P52" s="120"/>
      <c r="Q52" s="120"/>
      <c r="R52" s="120"/>
      <c r="S52" s="9"/>
      <c r="T52" s="9"/>
    </row>
    <row r="53" spans="5:20" ht="12.75">
      <c r="E53" s="9"/>
      <c r="F53" s="9"/>
      <c r="G53" s="9"/>
      <c r="H53" s="120"/>
      <c r="I53" s="9"/>
      <c r="J53" s="9"/>
      <c r="K53" s="9"/>
      <c r="L53" s="9"/>
      <c r="M53" s="9"/>
      <c r="N53" s="9"/>
      <c r="O53" s="9"/>
      <c r="P53" s="120"/>
      <c r="Q53" s="120"/>
      <c r="R53" s="120"/>
      <c r="S53" s="9"/>
      <c r="T53" s="9"/>
    </row>
    <row r="54" spans="5:20" ht="12.75">
      <c r="E54" s="9"/>
      <c r="F54" s="9"/>
      <c r="G54" s="9"/>
      <c r="H54" s="138"/>
      <c r="I54" s="9"/>
      <c r="J54" s="9"/>
      <c r="K54" s="9"/>
      <c r="L54" s="9"/>
      <c r="M54" s="9"/>
      <c r="N54" s="9"/>
      <c r="O54" s="9"/>
      <c r="P54" s="138"/>
      <c r="Q54" s="138"/>
      <c r="R54" s="138"/>
      <c r="S54" s="9"/>
      <c r="T54" s="9"/>
    </row>
    <row r="55" spans="5:20" ht="12.75">
      <c r="E55" s="9"/>
      <c r="F55" s="9"/>
      <c r="G55" s="9"/>
      <c r="H55" s="137"/>
      <c r="I55" s="9"/>
      <c r="J55" s="9"/>
      <c r="K55" s="9"/>
      <c r="L55" s="9"/>
      <c r="M55" s="9"/>
      <c r="N55" s="9"/>
      <c r="O55" s="9"/>
      <c r="P55" s="120"/>
      <c r="Q55" s="120"/>
      <c r="R55" s="137"/>
      <c r="S55" s="9"/>
      <c r="T55" s="9"/>
    </row>
    <row r="56" spans="5:20" ht="12.75"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5:20" ht="12.75"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5:20" ht="12.75"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5:20" ht="12.75"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5:20" ht="12.75"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5:20" ht="12.75"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5:20" ht="12.75"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5:20" ht="12.75"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5:20" ht="12.75"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5:20" ht="12.75"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5:20" ht="12.75"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5:20" ht="12.75"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5:20" ht="12.75"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5:20" ht="12.75"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5:20" ht="12.75"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5:20" ht="12.75"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</row>
    <row r="72" spans="5:20" ht="12.75"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</row>
    <row r="73" spans="5:20" ht="12.75"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</row>
    <row r="74" spans="5:20" ht="12.75"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</row>
    <row r="75" spans="5:20" ht="12.75"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</row>
    <row r="76" spans="5:20" ht="12.75"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</row>
    <row r="77" spans="5:20" ht="12.75"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</row>
    <row r="78" spans="5:20" ht="12.75"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</row>
    <row r="79" spans="5:20" ht="12.75"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</row>
    <row r="80" spans="5:20" ht="12.75"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</row>
    <row r="81" spans="5:20" ht="12.75"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</row>
    <row r="82" spans="5:20" ht="12.75"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</row>
    <row r="83" spans="5:20" ht="12.75"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5:20" ht="12.75"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</row>
    <row r="85" spans="5:20" ht="12.75"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</row>
    <row r="86" spans="5:20" ht="12.75"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</row>
    <row r="87" spans="5:20" ht="12.75"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</row>
    <row r="88" spans="5:20" ht="12.75"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</row>
    <row r="89" spans="5:20" ht="12.75"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</row>
    <row r="90" spans="5:20" ht="12.75"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</row>
    <row r="91" spans="5:20" ht="12.75"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</row>
    <row r="92" spans="5:20" ht="12.75"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</row>
    <row r="93" spans="5:20" ht="12.75"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</row>
    <row r="94" spans="5:20" ht="12.75"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</row>
    <row r="95" spans="5:20" ht="12.75"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</row>
    <row r="96" spans="5:20" ht="12.75"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</row>
    <row r="97" spans="5:20" ht="12.75"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</row>
    <row r="98" spans="5:20" ht="12.75"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</row>
    <row r="99" spans="5:20" ht="12.75"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</row>
    <row r="100" spans="5:20" ht="12.75"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</row>
    <row r="101" spans="5:20" ht="12.75"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</row>
    <row r="102" spans="5:20" ht="12.75"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</row>
    <row r="103" spans="5:20" ht="12.75"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</row>
    <row r="104" spans="5:20" ht="12.75"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</row>
    <row r="105" spans="5:20" ht="12.75"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</row>
    <row r="106" spans="5:20" ht="12.75"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</row>
    <row r="107" spans="5:20" ht="12.75"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</row>
    <row r="108" spans="5:20" ht="12.75"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</row>
    <row r="109" spans="5:20" ht="12.75"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</row>
    <row r="110" spans="5:20" ht="12.75"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</row>
    <row r="111" spans="5:20" ht="12.75"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</row>
    <row r="112" spans="5:20" ht="12.75"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</row>
    <row r="113" spans="5:20" ht="12.75"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</row>
    <row r="114" spans="5:20" ht="12.75"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</row>
    <row r="115" spans="5:20" ht="12.75"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</row>
    <row r="116" spans="5:20" ht="12.75"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</row>
    <row r="117" spans="5:20" ht="12.75"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</row>
    <row r="118" spans="5:20" ht="12.75"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</row>
    <row r="119" spans="5:20" ht="12.75"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</row>
    <row r="120" spans="5:20" ht="12.75"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</row>
    <row r="121" spans="5:20" ht="12.75"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</row>
    <row r="122" spans="5:20" ht="12.75"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</row>
    <row r="123" spans="5:20" ht="12.75"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</row>
    <row r="124" spans="5:20" ht="12.75"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</row>
    <row r="125" spans="5:20" ht="12.75"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</row>
    <row r="126" spans="5:20" ht="12.75"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</row>
    <row r="127" spans="5:20" ht="12.75"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</row>
    <row r="128" spans="5:20" ht="12.75"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</row>
    <row r="129" spans="5:20" ht="12.75"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</row>
    <row r="130" spans="5:20" ht="12.75"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</row>
    <row r="131" spans="5:20" ht="12.75"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</row>
    <row r="132" spans="5:20" ht="12.75"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</row>
    <row r="133" spans="5:20" ht="12.75"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</row>
    <row r="134" spans="5:20" ht="12.75"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</row>
    <row r="135" spans="5:20" ht="12.75"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</row>
    <row r="136" spans="5:20" ht="12.75"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</row>
    <row r="137" spans="5:20" ht="12.75"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</row>
    <row r="138" spans="5:20" ht="12.75"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</row>
    <row r="139" spans="5:20" ht="12.75"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</row>
    <row r="140" spans="5:20" ht="12.75"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</row>
    <row r="141" spans="5:20" ht="12.75"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</row>
    <row r="142" spans="5:20" ht="12.75"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</row>
    <row r="143" spans="5:20" ht="12.75"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</row>
    <row r="144" spans="5:20" ht="12.75"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</row>
    <row r="145" spans="5:20" ht="12.75"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</row>
    <row r="146" spans="5:20" ht="12.75"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</row>
    <row r="147" spans="5:20" ht="12.75"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</row>
  </sheetData>
  <mergeCells count="4">
    <mergeCell ref="C9:I9"/>
    <mergeCell ref="C10:I10"/>
    <mergeCell ref="C11:I11"/>
    <mergeCell ref="C12:I12"/>
  </mergeCells>
  <printOptions/>
  <pageMargins left="1.25" right="0.75" top="1" bottom="1" header="0.5" footer="0.5"/>
  <pageSetup fitToHeight="1" fitToWidth="1" horizontalDpi="600" verticalDpi="600" orientation="portrait" scale="9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8"/>
  <sheetViews>
    <sheetView workbookViewId="0" topLeftCell="A1">
      <selection activeCell="J4" sqref="J4"/>
    </sheetView>
  </sheetViews>
  <sheetFormatPr defaultColWidth="9.140625" defaultRowHeight="12.75"/>
  <cols>
    <col min="1" max="1" width="5.7109375" style="0" customWidth="1"/>
    <col min="2" max="2" width="2.7109375" style="0" customWidth="1"/>
    <col min="3" max="3" width="14.7109375" style="0" customWidth="1"/>
    <col min="7" max="7" width="2.7109375" style="0" customWidth="1"/>
    <col min="8" max="8" width="14.57421875" style="0" bestFit="1" customWidth="1"/>
    <col min="9" max="9" width="2.7109375" style="0" customWidth="1"/>
    <col min="11" max="11" width="1.7109375" style="0" customWidth="1"/>
  </cols>
  <sheetData>
    <row r="3" spans="1:10" ht="12.75">
      <c r="A3" t="s">
        <v>223</v>
      </c>
      <c r="J3" s="43" t="s">
        <v>663</v>
      </c>
    </row>
    <row r="4" ht="12.75">
      <c r="J4" s="43" t="s">
        <v>794</v>
      </c>
    </row>
    <row r="5" ht="12.75">
      <c r="J5" s="43" t="s">
        <v>758</v>
      </c>
    </row>
    <row r="6" ht="12.75">
      <c r="J6" s="43"/>
    </row>
    <row r="7" ht="12.75">
      <c r="J7" s="43" t="s">
        <v>727</v>
      </c>
    </row>
    <row r="9" spans="3:9" ht="15.75">
      <c r="C9" s="149" t="s">
        <v>79</v>
      </c>
      <c r="D9" s="149"/>
      <c r="E9" s="149"/>
      <c r="F9" s="149"/>
      <c r="G9" s="149"/>
      <c r="H9" s="149"/>
      <c r="I9" s="149"/>
    </row>
    <row r="10" spans="3:9" ht="12.75">
      <c r="C10" s="150" t="s">
        <v>158</v>
      </c>
      <c r="D10" s="150"/>
      <c r="E10" s="150"/>
      <c r="F10" s="150"/>
      <c r="G10" s="150"/>
      <c r="H10" s="150"/>
      <c r="I10" s="150"/>
    </row>
    <row r="11" spans="3:9" ht="12.75">
      <c r="C11" s="150" t="s">
        <v>734</v>
      </c>
      <c r="D11" s="150"/>
      <c r="E11" s="150"/>
      <c r="F11" s="150"/>
      <c r="G11" s="150"/>
      <c r="H11" s="150"/>
      <c r="I11" s="150"/>
    </row>
    <row r="12" spans="3:9" ht="12.75">
      <c r="C12" s="150"/>
      <c r="D12" s="150"/>
      <c r="E12" s="150"/>
      <c r="F12" s="150"/>
      <c r="G12" s="150"/>
      <c r="H12" s="150"/>
      <c r="I12" s="150"/>
    </row>
    <row r="15" spans="1:7" ht="12.75">
      <c r="A15" s="4" t="s">
        <v>3</v>
      </c>
      <c r="G15" s="9"/>
    </row>
    <row r="16" spans="1:10" ht="12.75">
      <c r="A16" s="5" t="s">
        <v>4</v>
      </c>
      <c r="C16" s="8" t="s">
        <v>5</v>
      </c>
      <c r="D16" s="8"/>
      <c r="E16" s="8"/>
      <c r="F16" s="8"/>
      <c r="G16" s="9"/>
      <c r="H16" s="5" t="s">
        <v>0</v>
      </c>
      <c r="J16" s="5" t="s">
        <v>105</v>
      </c>
    </row>
    <row r="17" ht="12.75">
      <c r="G17" s="9"/>
    </row>
    <row r="18" spans="1:10" ht="12.75">
      <c r="A18" s="4"/>
      <c r="E18" s="85"/>
      <c r="F18" s="85"/>
      <c r="G18" s="85"/>
      <c r="H18" s="88"/>
      <c r="I18" s="127"/>
      <c r="J18" s="88"/>
    </row>
    <row r="19" spans="1:10" ht="12.75">
      <c r="A19" s="4">
        <v>1</v>
      </c>
      <c r="C19" t="s">
        <v>728</v>
      </c>
      <c r="G19" s="9"/>
      <c r="I19" s="127"/>
      <c r="J19" s="127"/>
    </row>
    <row r="20" spans="1:3" ht="12.75">
      <c r="A20" s="4">
        <v>2</v>
      </c>
      <c r="C20" t="s">
        <v>729</v>
      </c>
    </row>
    <row r="21" spans="1:3" ht="12.75">
      <c r="A21" s="4">
        <v>3</v>
      </c>
      <c r="C21" t="s">
        <v>730</v>
      </c>
    </row>
    <row r="22" spans="1:10" ht="12.75">
      <c r="A22" s="4">
        <v>4</v>
      </c>
      <c r="C22" t="s">
        <v>731</v>
      </c>
      <c r="H22" s="1">
        <v>-2776000</v>
      </c>
      <c r="J22" t="s">
        <v>608</v>
      </c>
    </row>
    <row r="23" spans="1:8" ht="12.75">
      <c r="A23" s="4"/>
      <c r="H23" s="85"/>
    </row>
    <row r="24" spans="1:8" ht="12.75">
      <c r="A24" s="4">
        <v>5</v>
      </c>
      <c r="C24" t="s">
        <v>165</v>
      </c>
      <c r="H24" s="130">
        <v>0.35</v>
      </c>
    </row>
    <row r="25" ht="12.75">
      <c r="A25" s="4"/>
    </row>
    <row r="26" spans="1:10" ht="12.75">
      <c r="A26" s="4">
        <v>6</v>
      </c>
      <c r="C26" t="s">
        <v>611</v>
      </c>
      <c r="H26" s="131">
        <f>+H22*-H24</f>
        <v>971599.9999999999</v>
      </c>
      <c r="J26" t="s">
        <v>732</v>
      </c>
    </row>
    <row r="28" spans="1:10" ht="13.5" thickBot="1">
      <c r="A28" s="4">
        <v>7</v>
      </c>
      <c r="C28" t="s">
        <v>182</v>
      </c>
      <c r="H28" s="122">
        <f>+H22+H26</f>
        <v>-1804400</v>
      </c>
      <c r="J28" t="s">
        <v>733</v>
      </c>
    </row>
    <row r="29" ht="13.5" thickTop="1"/>
  </sheetData>
  <mergeCells count="4">
    <mergeCell ref="C9:I9"/>
    <mergeCell ref="C10:I10"/>
    <mergeCell ref="C11:I11"/>
    <mergeCell ref="C12:I12"/>
  </mergeCells>
  <printOptions/>
  <pageMargins left="1.25" right="0.75" top="1" bottom="1" header="0.5" footer="0.5"/>
  <pageSetup fitToHeight="1" fitToWidth="1"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0"/>
  <sheetViews>
    <sheetView workbookViewId="0" topLeftCell="A3">
      <selection activeCell="J4" sqref="J4"/>
    </sheetView>
  </sheetViews>
  <sheetFormatPr defaultColWidth="9.140625" defaultRowHeight="12.75"/>
  <cols>
    <col min="1" max="1" width="5.7109375" style="0" customWidth="1"/>
    <col min="2" max="2" width="2.7109375" style="0" customWidth="1"/>
    <col min="3" max="3" width="14.7109375" style="0" customWidth="1"/>
    <col min="7" max="7" width="2.7109375" style="0" customWidth="1"/>
    <col min="8" max="8" width="14.57421875" style="0" bestFit="1" customWidth="1"/>
    <col min="9" max="9" width="2.7109375" style="0" customWidth="1"/>
    <col min="11" max="11" width="1.7109375" style="0" customWidth="1"/>
  </cols>
  <sheetData>
    <row r="3" spans="1:10" ht="12.75">
      <c r="A3" t="s">
        <v>223</v>
      </c>
      <c r="J3" s="43" t="s">
        <v>663</v>
      </c>
    </row>
    <row r="4" ht="12.75">
      <c r="J4" s="43" t="s">
        <v>794</v>
      </c>
    </row>
    <row r="5" ht="12.75">
      <c r="J5" s="43" t="s">
        <v>757</v>
      </c>
    </row>
    <row r="6" ht="12.75">
      <c r="J6" s="43"/>
    </row>
    <row r="7" ht="12.75">
      <c r="J7" s="43" t="s">
        <v>746</v>
      </c>
    </row>
    <row r="9" spans="3:9" ht="15.75">
      <c r="C9" s="149" t="s">
        <v>79</v>
      </c>
      <c r="D9" s="149"/>
      <c r="E9" s="149"/>
      <c r="F9" s="149"/>
      <c r="G9" s="149"/>
      <c r="H9" s="149"/>
      <c r="I9" s="149"/>
    </row>
    <row r="10" spans="3:9" ht="12.75">
      <c r="C10" s="150" t="s">
        <v>158</v>
      </c>
      <c r="D10" s="150"/>
      <c r="E10" s="150"/>
      <c r="F10" s="150"/>
      <c r="G10" s="150"/>
      <c r="H10" s="150"/>
      <c r="I10" s="150"/>
    </row>
    <row r="11" spans="3:9" ht="12.75">
      <c r="C11" s="150" t="s">
        <v>739</v>
      </c>
      <c r="D11" s="150"/>
      <c r="E11" s="150"/>
      <c r="F11" s="150"/>
      <c r="G11" s="150"/>
      <c r="H11" s="150"/>
      <c r="I11" s="150"/>
    </row>
    <row r="12" spans="3:9" ht="12.75">
      <c r="C12" s="150"/>
      <c r="D12" s="150"/>
      <c r="E12" s="150"/>
      <c r="F12" s="150"/>
      <c r="G12" s="150"/>
      <c r="H12" s="150"/>
      <c r="I12" s="150"/>
    </row>
    <row r="15" spans="1:7" ht="12.75">
      <c r="A15" s="4" t="s">
        <v>3</v>
      </c>
      <c r="G15" s="9"/>
    </row>
    <row r="16" spans="1:10" ht="12.75">
      <c r="A16" s="5" t="s">
        <v>4</v>
      </c>
      <c r="C16" s="8" t="s">
        <v>5</v>
      </c>
      <c r="D16" s="8"/>
      <c r="E16" s="8"/>
      <c r="F16" s="8"/>
      <c r="G16" s="9"/>
      <c r="H16" s="5" t="s">
        <v>0</v>
      </c>
      <c r="J16" s="5" t="s">
        <v>105</v>
      </c>
    </row>
    <row r="17" ht="12.75">
      <c r="G17" s="9"/>
    </row>
    <row r="18" spans="1:10" ht="12.75">
      <c r="A18" s="4"/>
      <c r="E18" s="85"/>
      <c r="F18" s="85"/>
      <c r="G18" s="85"/>
      <c r="H18" s="88"/>
      <c r="I18" s="127"/>
      <c r="J18" s="88"/>
    </row>
    <row r="19" spans="1:10" ht="12.75">
      <c r="A19" s="4">
        <v>1</v>
      </c>
      <c r="C19" t="s">
        <v>729</v>
      </c>
      <c r="G19" s="9"/>
      <c r="I19" s="127"/>
      <c r="J19" s="127"/>
    </row>
    <row r="20" spans="1:3" ht="12.75">
      <c r="A20" s="4">
        <v>2</v>
      </c>
      <c r="C20" t="s">
        <v>740</v>
      </c>
    </row>
    <row r="21" spans="1:8" ht="12.75">
      <c r="A21" s="4">
        <v>3</v>
      </c>
      <c r="C21" t="s">
        <v>741</v>
      </c>
      <c r="H21" s="1">
        <v>-716000</v>
      </c>
    </row>
    <row r="22" spans="1:10" ht="12.75">
      <c r="A22" s="4">
        <v>4</v>
      </c>
      <c r="C22" t="s">
        <v>401</v>
      </c>
      <c r="H22" s="134">
        <v>33000</v>
      </c>
      <c r="J22" t="s">
        <v>608</v>
      </c>
    </row>
    <row r="23" spans="1:8" ht="12.75">
      <c r="A23" s="4"/>
      <c r="H23" s="85"/>
    </row>
    <row r="24" spans="1:10" ht="12.75">
      <c r="A24" s="4">
        <v>5</v>
      </c>
      <c r="C24" t="s">
        <v>742</v>
      </c>
      <c r="H24" s="89">
        <f>+H21+H22</f>
        <v>-683000</v>
      </c>
      <c r="J24" t="s">
        <v>744</v>
      </c>
    </row>
    <row r="25" spans="1:8" ht="12.75">
      <c r="A25" s="4"/>
      <c r="H25" s="9"/>
    </row>
    <row r="26" spans="1:8" ht="12.75">
      <c r="A26" s="4">
        <v>6</v>
      </c>
      <c r="C26" t="s">
        <v>165</v>
      </c>
      <c r="H26" s="130">
        <v>0.35</v>
      </c>
    </row>
    <row r="27" ht="12.75">
      <c r="H27" s="9"/>
    </row>
    <row r="28" spans="1:10" ht="12.75">
      <c r="A28" s="4">
        <v>7</v>
      </c>
      <c r="C28" t="s">
        <v>743</v>
      </c>
      <c r="H28" s="131">
        <f>-H24*H26</f>
        <v>239049.99999999997</v>
      </c>
      <c r="J28" t="s">
        <v>745</v>
      </c>
    </row>
    <row r="29" ht="12.75">
      <c r="H29" s="9"/>
    </row>
    <row r="30" spans="1:10" ht="13.5" thickBot="1">
      <c r="A30" s="4">
        <v>8</v>
      </c>
      <c r="C30" t="s">
        <v>182</v>
      </c>
      <c r="H30" s="141">
        <f>-H24-H28</f>
        <v>443950</v>
      </c>
      <c r="J30" t="s">
        <v>680</v>
      </c>
    </row>
    <row r="31" ht="13.5" thickTop="1"/>
  </sheetData>
  <mergeCells count="4">
    <mergeCell ref="C9:I9"/>
    <mergeCell ref="C10:I10"/>
    <mergeCell ref="C11:I11"/>
    <mergeCell ref="C12:I12"/>
  </mergeCells>
  <printOptions/>
  <pageMargins left="1.25" right="0.7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"/>
  <sheetViews>
    <sheetView workbookViewId="0" topLeftCell="B4">
      <selection activeCell="L22" sqref="L22"/>
    </sheetView>
  </sheetViews>
  <sheetFormatPr defaultColWidth="9.140625" defaultRowHeight="12.75"/>
  <cols>
    <col min="1" max="1" width="5.7109375" style="0" customWidth="1"/>
    <col min="2" max="3" width="2.7109375" style="0" customWidth="1"/>
    <col min="4" max="4" width="27.57421875" style="0" customWidth="1"/>
    <col min="5" max="5" width="2.7109375" style="0" customWidth="1"/>
    <col min="6" max="6" width="15.57421875" style="0" customWidth="1"/>
    <col min="7" max="7" width="1.7109375" style="0" customWidth="1"/>
    <col min="8" max="8" width="15.57421875" style="0" customWidth="1"/>
    <col min="9" max="9" width="2.7109375" style="0" customWidth="1"/>
    <col min="10" max="10" width="15.57421875" style="0" customWidth="1"/>
    <col min="11" max="11" width="1.7109375" style="0" customWidth="1"/>
    <col min="12" max="12" width="14.00390625" style="0" bestFit="1" customWidth="1"/>
    <col min="13" max="13" width="1.7109375" style="0" customWidth="1"/>
    <col min="14" max="14" width="14.00390625" style="0" customWidth="1"/>
    <col min="15" max="15" width="1.7109375" style="0" customWidth="1"/>
    <col min="16" max="16" width="12.7109375" style="0" customWidth="1"/>
    <col min="17" max="17" width="1.7109375" style="0" customWidth="1"/>
    <col min="18" max="18" width="12.7109375" style="0" customWidth="1"/>
    <col min="19" max="19" width="2.7109375" style="0" customWidth="1"/>
    <col min="20" max="20" width="16.57421875" style="0" bestFit="1" customWidth="1"/>
  </cols>
  <sheetData>
    <row r="1" ht="12.75">
      <c r="T1" s="43" t="s">
        <v>663</v>
      </c>
    </row>
    <row r="2" ht="12.75">
      <c r="T2" s="43" t="s">
        <v>794</v>
      </c>
    </row>
    <row r="3" ht="12.75">
      <c r="T3" s="43" t="s">
        <v>783</v>
      </c>
    </row>
    <row r="4" ht="12.75">
      <c r="A4" t="s">
        <v>222</v>
      </c>
    </row>
    <row r="5" ht="12.75">
      <c r="T5" s="43" t="s">
        <v>247</v>
      </c>
    </row>
    <row r="6" ht="12.75">
      <c r="T6" s="43" t="s">
        <v>665</v>
      </c>
    </row>
    <row r="7" spans="6:12" ht="18">
      <c r="F7" s="146" t="s">
        <v>79</v>
      </c>
      <c r="G7" s="146"/>
      <c r="H7" s="146"/>
      <c r="I7" s="146"/>
      <c r="J7" s="146"/>
      <c r="K7" s="146"/>
      <c r="L7" s="146"/>
    </row>
    <row r="8" spans="6:12" ht="15">
      <c r="F8" s="148" t="s">
        <v>83</v>
      </c>
      <c r="G8" s="148"/>
      <c r="H8" s="148"/>
      <c r="I8" s="148"/>
      <c r="J8" s="148"/>
      <c r="K8" s="148"/>
      <c r="L8" s="148"/>
    </row>
    <row r="9" spans="6:12" ht="15">
      <c r="F9" s="148" t="s">
        <v>81</v>
      </c>
      <c r="G9" s="148"/>
      <c r="H9" s="148"/>
      <c r="I9" s="148"/>
      <c r="J9" s="148"/>
      <c r="K9" s="148"/>
      <c r="L9" s="148"/>
    </row>
    <row r="10" spans="6:12" ht="15">
      <c r="F10" s="145"/>
      <c r="G10" s="145"/>
      <c r="H10" s="145"/>
      <c r="I10" s="145" t="s">
        <v>797</v>
      </c>
      <c r="J10" s="145"/>
      <c r="K10" s="145"/>
      <c r="L10" s="145"/>
    </row>
    <row r="12" spans="6:20" ht="12.75">
      <c r="F12" s="4"/>
      <c r="G12" s="4"/>
      <c r="H12" s="4" t="s">
        <v>174</v>
      </c>
      <c r="I12" s="4"/>
      <c r="J12" s="4"/>
      <c r="K12" s="4"/>
      <c r="L12" s="4" t="s">
        <v>747</v>
      </c>
      <c r="T12" s="4" t="s">
        <v>18</v>
      </c>
    </row>
    <row r="13" spans="1:20" ht="12.75">
      <c r="A13" s="4"/>
      <c r="F13" s="4"/>
      <c r="G13" s="4"/>
      <c r="H13" s="4" t="s">
        <v>6</v>
      </c>
      <c r="I13" s="4"/>
      <c r="J13" s="4" t="s">
        <v>85</v>
      </c>
      <c r="K13" s="4"/>
      <c r="L13" s="4" t="s">
        <v>135</v>
      </c>
      <c r="N13" s="4"/>
      <c r="P13" s="4"/>
      <c r="Q13" s="4"/>
      <c r="T13" s="4" t="s">
        <v>244</v>
      </c>
    </row>
    <row r="14" spans="1:20" ht="12.75">
      <c r="A14" s="4" t="s">
        <v>3</v>
      </c>
      <c r="F14" s="4" t="s">
        <v>616</v>
      </c>
      <c r="H14" s="4" t="s">
        <v>642</v>
      </c>
      <c r="J14" s="4" t="s">
        <v>604</v>
      </c>
      <c r="L14" s="15" t="s">
        <v>748</v>
      </c>
      <c r="M14" s="4"/>
      <c r="N14" s="4" t="s">
        <v>209</v>
      </c>
      <c r="O14" s="4"/>
      <c r="P14" s="4" t="s">
        <v>209</v>
      </c>
      <c r="Q14" s="4"/>
      <c r="R14" s="4" t="s">
        <v>209</v>
      </c>
      <c r="S14" s="4"/>
      <c r="T14" s="4" t="s">
        <v>19</v>
      </c>
    </row>
    <row r="15" spans="1:20" ht="12.75">
      <c r="A15" s="5" t="s">
        <v>4</v>
      </c>
      <c r="C15" s="8"/>
      <c r="D15" s="5" t="s">
        <v>5</v>
      </c>
      <c r="F15" s="5" t="s">
        <v>617</v>
      </c>
      <c r="G15" s="15"/>
      <c r="H15" s="5" t="s">
        <v>597</v>
      </c>
      <c r="I15" s="15"/>
      <c r="J15" s="5" t="s">
        <v>598</v>
      </c>
      <c r="K15" s="15"/>
      <c r="L15" s="5" t="s">
        <v>599</v>
      </c>
      <c r="M15" s="4"/>
      <c r="N15" s="5" t="s">
        <v>600</v>
      </c>
      <c r="O15" s="4"/>
      <c r="P15" s="5" t="s">
        <v>601</v>
      </c>
      <c r="Q15" s="5"/>
      <c r="R15" s="5" t="s">
        <v>211</v>
      </c>
      <c r="S15" s="4"/>
      <c r="T15" s="5" t="s">
        <v>55</v>
      </c>
    </row>
    <row r="16" spans="1:20" ht="12.75">
      <c r="A16" s="15"/>
      <c r="D16" s="15" t="s">
        <v>56</v>
      </c>
      <c r="F16" s="15" t="s">
        <v>57</v>
      </c>
      <c r="G16" s="15"/>
      <c r="H16" s="15" t="s">
        <v>58</v>
      </c>
      <c r="I16" s="15"/>
      <c r="J16" s="15" t="s">
        <v>59</v>
      </c>
      <c r="K16" s="15"/>
      <c r="L16" s="15" t="s">
        <v>60</v>
      </c>
      <c r="M16" s="4"/>
      <c r="N16" s="15" t="s">
        <v>61</v>
      </c>
      <c r="O16" s="4"/>
      <c r="P16" s="15" t="s">
        <v>62</v>
      </c>
      <c r="Q16" s="4"/>
      <c r="R16" s="15" t="s">
        <v>71</v>
      </c>
      <c r="S16" s="4"/>
      <c r="T16" s="15" t="s">
        <v>212</v>
      </c>
    </row>
    <row r="17" spans="1:20" ht="12.75">
      <c r="A17" s="15"/>
      <c r="C17" s="15"/>
      <c r="D17" s="15"/>
      <c r="F17" s="15"/>
      <c r="G17" s="15"/>
      <c r="H17" s="15"/>
      <c r="I17" s="15"/>
      <c r="J17" s="15"/>
      <c r="K17" s="15"/>
      <c r="L17" s="15"/>
      <c r="M17" s="4"/>
      <c r="N17" s="15"/>
      <c r="O17" s="4"/>
      <c r="P17" s="4"/>
      <c r="Q17" s="4"/>
      <c r="R17" s="4"/>
      <c r="S17" s="4"/>
      <c r="T17" s="15"/>
    </row>
    <row r="18" spans="1:20" ht="12.75">
      <c r="A18" s="15"/>
      <c r="C18" s="15"/>
      <c r="D18" s="15"/>
      <c r="F18" s="15"/>
      <c r="G18" s="15"/>
      <c r="H18" s="15"/>
      <c r="I18" s="15"/>
      <c r="J18" s="15"/>
      <c r="K18" s="15"/>
      <c r="L18" s="15"/>
      <c r="M18" s="4"/>
      <c r="N18" s="15"/>
      <c r="O18" s="4"/>
      <c r="P18" s="4"/>
      <c r="Q18" s="4"/>
      <c r="R18" s="4"/>
      <c r="S18" s="4"/>
      <c r="T18" s="15"/>
    </row>
    <row r="19" spans="1:3" ht="12.75">
      <c r="A19" s="4">
        <v>1</v>
      </c>
      <c r="C19" t="s">
        <v>245</v>
      </c>
    </row>
    <row r="20" spans="1:26" ht="12.75">
      <c r="A20" s="4">
        <f aca="true" t="shared" si="0" ref="A20:A31">+A19+1</f>
        <v>2</v>
      </c>
      <c r="C20" t="s">
        <v>15</v>
      </c>
      <c r="F20" s="88"/>
      <c r="G20" s="88"/>
      <c r="H20" s="85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>
        <f>SUM(F20:N20)</f>
        <v>0</v>
      </c>
      <c r="U20" s="88"/>
      <c r="V20" s="88"/>
      <c r="W20" s="88"/>
      <c r="X20" s="88"/>
      <c r="Y20" s="88"/>
      <c r="Z20" s="88"/>
    </row>
    <row r="21" spans="1:26" ht="12.75">
      <c r="A21" s="4">
        <f t="shared" si="0"/>
        <v>3</v>
      </c>
      <c r="D21" t="s">
        <v>84</v>
      </c>
      <c r="F21" s="121">
        <f>+' Rate Base P1'!T21</f>
        <v>21374</v>
      </c>
      <c r="G21" s="88"/>
      <c r="H21" s="85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121">
        <f>SUM(F21:S21)</f>
        <v>21374</v>
      </c>
      <c r="U21" s="88"/>
      <c r="V21" s="88"/>
      <c r="W21" s="88"/>
      <c r="X21" s="88"/>
      <c r="Y21" s="88"/>
      <c r="Z21" s="88"/>
    </row>
    <row r="22" spans="1:26" ht="12.75">
      <c r="A22" s="4">
        <f t="shared" si="0"/>
        <v>4</v>
      </c>
      <c r="D22" t="s">
        <v>85</v>
      </c>
      <c r="F22" s="88">
        <f>+' Rate Base P1'!T22</f>
        <v>646345</v>
      </c>
      <c r="G22" s="88"/>
      <c r="H22" s="85"/>
      <c r="I22" s="88"/>
      <c r="J22" s="88">
        <f>+'Production Factor'!H40/1000</f>
        <v>-14953</v>
      </c>
      <c r="K22" s="88"/>
      <c r="L22" s="88">
        <f>+'New Colstrip RB'!J17/1000</f>
        <v>635</v>
      </c>
      <c r="M22" s="88"/>
      <c r="N22" s="88"/>
      <c r="O22" s="88"/>
      <c r="P22" s="88"/>
      <c r="Q22" s="88"/>
      <c r="R22" s="88"/>
      <c r="S22" s="88"/>
      <c r="T22" s="88">
        <f>SUM(F22:S22)</f>
        <v>632027</v>
      </c>
      <c r="U22" s="88"/>
      <c r="V22" s="88"/>
      <c r="W22" s="88"/>
      <c r="X22" s="88"/>
      <c r="Y22" s="88"/>
      <c r="Z22" s="88"/>
    </row>
    <row r="23" spans="1:26" ht="12.75">
      <c r="A23" s="4">
        <f t="shared" si="0"/>
        <v>5</v>
      </c>
      <c r="D23" t="s">
        <v>6</v>
      </c>
      <c r="F23" s="88">
        <f>+' Rate Base P1'!T23</f>
        <v>232082</v>
      </c>
      <c r="G23" s="88"/>
      <c r="H23" s="85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>
        <f>SUM(F23:S23)</f>
        <v>232082</v>
      </c>
      <c r="U23" s="88"/>
      <c r="V23" s="88"/>
      <c r="W23" s="88"/>
      <c r="X23" s="88"/>
      <c r="Y23" s="88"/>
      <c r="Z23" s="88"/>
    </row>
    <row r="24" spans="1:26" ht="12.75">
      <c r="A24" s="4">
        <f t="shared" si="0"/>
        <v>6</v>
      </c>
      <c r="D24" t="s">
        <v>7</v>
      </c>
      <c r="F24" s="88">
        <f>+' Rate Base P1'!T24</f>
        <v>459516</v>
      </c>
      <c r="G24" s="88"/>
      <c r="H24" s="85"/>
      <c r="I24" s="88"/>
      <c r="J24" s="85"/>
      <c r="K24" s="88"/>
      <c r="L24" s="88"/>
      <c r="M24" s="88"/>
      <c r="N24" s="88"/>
      <c r="O24" s="88"/>
      <c r="P24" s="88"/>
      <c r="Q24" s="88"/>
      <c r="R24" s="88"/>
      <c r="S24" s="88"/>
      <c r="T24" s="88">
        <f>SUM(F24:S24)</f>
        <v>459516</v>
      </c>
      <c r="U24" s="88"/>
      <c r="V24" s="88"/>
      <c r="W24" s="88"/>
      <c r="X24" s="88"/>
      <c r="Y24" s="88"/>
      <c r="Z24" s="88"/>
    </row>
    <row r="25" spans="1:26" ht="12.75">
      <c r="A25" s="4">
        <f t="shared" si="0"/>
        <v>7</v>
      </c>
      <c r="D25" t="s">
        <v>86</v>
      </c>
      <c r="F25" s="86">
        <f>+' Rate Base P1'!T25</f>
        <v>63155</v>
      </c>
      <c r="G25" s="88"/>
      <c r="H25" s="86"/>
      <c r="I25" s="88"/>
      <c r="J25" s="86"/>
      <c r="K25" s="88"/>
      <c r="L25" s="86"/>
      <c r="M25" s="88"/>
      <c r="N25" s="86"/>
      <c r="O25" s="88"/>
      <c r="P25" s="86"/>
      <c r="Q25" s="88"/>
      <c r="R25" s="86"/>
      <c r="S25" s="88"/>
      <c r="T25" s="86">
        <f>SUM(F25:S25)</f>
        <v>63155</v>
      </c>
      <c r="U25" s="88"/>
      <c r="V25" s="88"/>
      <c r="W25" s="88"/>
      <c r="X25" s="88"/>
      <c r="Y25" s="88"/>
      <c r="Z25" s="88"/>
    </row>
    <row r="26" spans="1:26" ht="12.75">
      <c r="A26" s="4">
        <f t="shared" si="0"/>
        <v>8</v>
      </c>
      <c r="F26" s="88"/>
      <c r="G26" s="88"/>
      <c r="H26" s="85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</row>
    <row r="27" spans="1:26" ht="12.75">
      <c r="A27" s="4">
        <f t="shared" si="0"/>
        <v>9</v>
      </c>
      <c r="D27" t="s">
        <v>87</v>
      </c>
      <c r="F27" s="121">
        <f>SUM(F21:F26)</f>
        <v>1422472</v>
      </c>
      <c r="G27" s="88"/>
      <c r="H27" s="121">
        <f>SUM(H21:H26)</f>
        <v>0</v>
      </c>
      <c r="I27" s="88"/>
      <c r="J27" s="121">
        <f>SUM(J21:J26)</f>
        <v>-14953</v>
      </c>
      <c r="K27" s="88"/>
      <c r="L27" s="121">
        <f>SUM(L21:L26)</f>
        <v>635</v>
      </c>
      <c r="M27" s="88"/>
      <c r="N27" s="121">
        <f>SUM(N21:N26)</f>
        <v>0</v>
      </c>
      <c r="O27" s="88"/>
      <c r="P27" s="121">
        <f>SUM(P21:P26)</f>
        <v>0</v>
      </c>
      <c r="Q27" s="88"/>
      <c r="R27" s="121">
        <f>SUM(R21:R26)</f>
        <v>0</v>
      </c>
      <c r="S27" s="88"/>
      <c r="T27" s="121">
        <f>SUM(F27:S27)</f>
        <v>1408154</v>
      </c>
      <c r="U27" s="88"/>
      <c r="V27" s="88"/>
      <c r="W27" s="88"/>
      <c r="X27" s="88"/>
      <c r="Y27" s="88"/>
      <c r="Z27" s="88"/>
    </row>
    <row r="28" spans="1:26" ht="12.75">
      <c r="A28" s="4">
        <f t="shared" si="0"/>
        <v>10</v>
      </c>
      <c r="F28" s="88"/>
      <c r="G28" s="88"/>
      <c r="H28" s="85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1:26" ht="12.75">
      <c r="A29" s="4">
        <f t="shared" si="0"/>
        <v>11</v>
      </c>
      <c r="C29" t="s">
        <v>88</v>
      </c>
      <c r="F29" s="88">
        <f>+' Rate Base P1'!T29</f>
        <v>430271</v>
      </c>
      <c r="G29" s="88"/>
      <c r="H29" s="85">
        <f>(+'Pro Transmission Project'!H33-'Pro Transmission Project'!F58)/1000</f>
        <v>203</v>
      </c>
      <c r="I29" s="88"/>
      <c r="J29" s="88"/>
      <c r="K29" s="88"/>
      <c r="L29" s="88">
        <f>+'New Colstrip RB'!J19/1000</f>
        <v>16</v>
      </c>
      <c r="M29" s="88"/>
      <c r="N29" s="88"/>
      <c r="O29" s="88"/>
      <c r="P29" s="88"/>
      <c r="Q29" s="88"/>
      <c r="R29" s="88"/>
      <c r="S29" s="88"/>
      <c r="T29" s="88">
        <f>SUM(F29:S29)</f>
        <v>430490</v>
      </c>
      <c r="U29" s="88"/>
      <c r="V29" s="88"/>
      <c r="W29" s="88"/>
      <c r="X29" s="88"/>
      <c r="Y29" s="88"/>
      <c r="Z29" s="88"/>
    </row>
    <row r="30" spans="1:26" ht="12.75">
      <c r="A30" s="4">
        <f t="shared" si="0"/>
        <v>12</v>
      </c>
      <c r="C30" t="s">
        <v>89</v>
      </c>
      <c r="F30" s="86">
        <f>+' Rate Base P1'!T30</f>
        <v>47788</v>
      </c>
      <c r="G30" s="85"/>
      <c r="H30" s="86"/>
      <c r="I30" s="85"/>
      <c r="J30" s="86"/>
      <c r="K30" s="85"/>
      <c r="L30" s="86"/>
      <c r="M30" s="88"/>
      <c r="N30" s="86"/>
      <c r="O30" s="88"/>
      <c r="P30" s="86"/>
      <c r="Q30" s="88"/>
      <c r="R30" s="86"/>
      <c r="S30" s="88"/>
      <c r="T30" s="86">
        <f>SUM(F30:S30)</f>
        <v>47788</v>
      </c>
      <c r="U30" s="88"/>
      <c r="V30" s="88"/>
      <c r="W30" s="88"/>
      <c r="X30" s="88"/>
      <c r="Y30" s="88"/>
      <c r="Z30" s="88"/>
    </row>
    <row r="31" spans="1:26" ht="12.75">
      <c r="A31" s="4">
        <f t="shared" si="0"/>
        <v>13</v>
      </c>
      <c r="D31" t="s">
        <v>90</v>
      </c>
      <c r="F31" s="88">
        <f>+F29+F30</f>
        <v>478059</v>
      </c>
      <c r="G31" s="88"/>
      <c r="H31" s="88">
        <f>+H29+H30</f>
        <v>203</v>
      </c>
      <c r="I31" s="88"/>
      <c r="J31" s="88">
        <f>+J29+J30</f>
        <v>0</v>
      </c>
      <c r="K31" s="88"/>
      <c r="L31" s="88">
        <f>+L29+L30</f>
        <v>16</v>
      </c>
      <c r="M31" s="88"/>
      <c r="N31" s="88">
        <f>+N29+N30</f>
        <v>0</v>
      </c>
      <c r="O31" s="88"/>
      <c r="P31" s="88">
        <f>+P29+P30</f>
        <v>0</v>
      </c>
      <c r="Q31" s="88"/>
      <c r="R31" s="88">
        <f>+R29+R30</f>
        <v>0</v>
      </c>
      <c r="S31" s="88"/>
      <c r="T31" s="88">
        <f>+T29+T30</f>
        <v>478278</v>
      </c>
      <c r="U31" s="88"/>
      <c r="V31" s="88"/>
      <c r="W31" s="88"/>
      <c r="X31" s="88"/>
      <c r="Y31" s="88"/>
      <c r="Z31" s="88"/>
    </row>
    <row r="32" spans="1:26" ht="12.75">
      <c r="A32" s="4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</row>
    <row r="33" spans="1:26" ht="12.75">
      <c r="A33" s="4">
        <v>14</v>
      </c>
      <c r="C33" t="s">
        <v>91</v>
      </c>
      <c r="F33" s="121">
        <f>+F27-F29-F30</f>
        <v>944413</v>
      </c>
      <c r="G33" s="88"/>
      <c r="H33" s="121">
        <f>+H27-H29-H30</f>
        <v>-203</v>
      </c>
      <c r="I33" s="121"/>
      <c r="J33" s="121">
        <f>+J27-J29-J30</f>
        <v>-14953</v>
      </c>
      <c r="K33" s="121"/>
      <c r="L33" s="121">
        <f>+L27-L29-L30</f>
        <v>619</v>
      </c>
      <c r="M33" s="121"/>
      <c r="N33" s="121">
        <f>+N27-N29-N30</f>
        <v>0</v>
      </c>
      <c r="O33" s="121"/>
      <c r="P33" s="121">
        <f>+P27-P29-P30</f>
        <v>0</v>
      </c>
      <c r="Q33" s="121"/>
      <c r="R33" s="121">
        <f>+R27-R29-R30</f>
        <v>0</v>
      </c>
      <c r="S33" s="121"/>
      <c r="T33" s="121">
        <f>+T27-T29-T30</f>
        <v>929876</v>
      </c>
      <c r="U33" s="88"/>
      <c r="V33" s="88"/>
      <c r="W33" s="88"/>
      <c r="X33" s="88"/>
      <c r="Y33" s="88"/>
      <c r="Z33" s="88"/>
    </row>
    <row r="34" spans="1:26" ht="12.75">
      <c r="A34" s="4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</row>
    <row r="35" spans="1:26" ht="12.75">
      <c r="A35" s="4">
        <v>15</v>
      </c>
      <c r="C35" t="s">
        <v>16</v>
      </c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</row>
    <row r="36" spans="1:26" ht="12.75">
      <c r="A36" s="4">
        <v>16</v>
      </c>
      <c r="D36" t="s">
        <v>92</v>
      </c>
      <c r="F36" s="88">
        <f>+' Rate Base P1'!T36</f>
        <v>-715</v>
      </c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>
        <f>SUM(F36:N36)</f>
        <v>-715</v>
      </c>
      <c r="U36" s="88"/>
      <c r="V36" s="88"/>
      <c r="W36" s="88"/>
      <c r="X36" s="88"/>
      <c r="Y36" s="88"/>
      <c r="Z36" s="88"/>
    </row>
    <row r="37" spans="1:26" ht="12.75">
      <c r="A37" s="4">
        <v>17</v>
      </c>
      <c r="D37" t="s">
        <v>93</v>
      </c>
      <c r="F37" s="88">
        <f>+' Rate Base P1'!T37</f>
        <v>-154995</v>
      </c>
      <c r="G37" s="88"/>
      <c r="H37" s="88">
        <f>(+'Pro Transmission Project'!H53-'Pro Transmission Project'!F59)/1000</f>
        <v>-12</v>
      </c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>
        <f>SUM(F37:N37)</f>
        <v>-155007</v>
      </c>
      <c r="U37" s="88"/>
      <c r="V37" s="88"/>
      <c r="W37" s="88"/>
      <c r="X37" s="88"/>
      <c r="Y37" s="88"/>
      <c r="Z37" s="88"/>
    </row>
    <row r="38" spans="1:26" ht="12.75">
      <c r="A38" s="4">
        <f>+A37+1</f>
        <v>18</v>
      </c>
      <c r="D38" t="s">
        <v>94</v>
      </c>
      <c r="F38" s="88">
        <f>+' Rate Base P1'!T38</f>
        <v>-2329.0218880373745</v>
      </c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>
        <f>SUM(F38:S38)</f>
        <v>-2329.0218880373745</v>
      </c>
      <c r="U38" s="88"/>
      <c r="V38" s="88"/>
      <c r="W38" s="88"/>
      <c r="X38" s="88"/>
      <c r="Y38" s="88"/>
      <c r="Z38" s="88"/>
    </row>
    <row r="39" spans="1:26" ht="12.75">
      <c r="A39" s="4">
        <f>+A38+1</f>
        <v>19</v>
      </c>
      <c r="D39" t="s">
        <v>95</v>
      </c>
      <c r="F39" s="88">
        <f>+' Rate Base P1'!T39</f>
        <v>0</v>
      </c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>
        <f>SUM(F39:S39)</f>
        <v>0</v>
      </c>
      <c r="U39" s="88"/>
      <c r="V39" s="88"/>
      <c r="W39" s="88"/>
      <c r="X39" s="88"/>
      <c r="Y39" s="88"/>
      <c r="Z39" s="88"/>
    </row>
    <row r="40" spans="1:26" ht="12.75">
      <c r="A40" s="4">
        <f>+A39+1</f>
        <v>20</v>
      </c>
      <c r="D40" t="s">
        <v>95</v>
      </c>
      <c r="F40" s="88">
        <f>+' Rate Base P1'!T40</f>
        <v>0</v>
      </c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>
        <f>SUM(F40:S40)</f>
        <v>0</v>
      </c>
      <c r="U40" s="88"/>
      <c r="V40" s="88"/>
      <c r="W40" s="88"/>
      <c r="X40" s="88"/>
      <c r="Y40" s="88"/>
      <c r="Z40" s="88"/>
    </row>
    <row r="41" spans="1:26" ht="12.75">
      <c r="A41" s="4">
        <f>+A40+1</f>
        <v>21</v>
      </c>
      <c r="F41" s="88">
        <f>+' Rate Base P1'!T41</f>
        <v>0</v>
      </c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>
        <f>SUM(F41:S41)</f>
        <v>0</v>
      </c>
      <c r="U41" s="88"/>
      <c r="V41" s="88"/>
      <c r="W41" s="88"/>
      <c r="X41" s="88"/>
      <c r="Y41" s="88"/>
      <c r="Z41" s="88"/>
    </row>
    <row r="42" spans="1:26" ht="12.75">
      <c r="A42" s="4">
        <f>+A41+1</f>
        <v>22</v>
      </c>
      <c r="F42" s="86">
        <f>+' Rate Base P1'!T42</f>
        <v>0</v>
      </c>
      <c r="G42" s="85"/>
      <c r="H42" s="86"/>
      <c r="I42" s="85"/>
      <c r="J42" s="86"/>
      <c r="K42" s="85"/>
      <c r="L42" s="86"/>
      <c r="M42" s="88"/>
      <c r="N42" s="86"/>
      <c r="O42" s="88"/>
      <c r="P42" s="86"/>
      <c r="Q42" s="88"/>
      <c r="R42" s="86"/>
      <c r="S42" s="88"/>
      <c r="T42" s="86">
        <f>SUM(F42:S42)</f>
        <v>0</v>
      </c>
      <c r="U42" s="88"/>
      <c r="V42" s="88"/>
      <c r="W42" s="88"/>
      <c r="X42" s="88"/>
      <c r="Y42" s="88"/>
      <c r="Z42" s="88"/>
    </row>
    <row r="43" spans="1:26" ht="12.75">
      <c r="A43" s="4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</row>
    <row r="44" spans="1:26" ht="13.5" thickBot="1">
      <c r="A44" s="4">
        <v>23</v>
      </c>
      <c r="C44" t="s">
        <v>246</v>
      </c>
      <c r="F44" s="122">
        <f>SUM(F33:F42)</f>
        <v>786373.9781119627</v>
      </c>
      <c r="G44" s="85"/>
      <c r="H44" s="122">
        <f>SUM(H33:H42)</f>
        <v>-215</v>
      </c>
      <c r="I44" s="85"/>
      <c r="J44" s="122">
        <f>SUM(J33:J42)</f>
        <v>-14953</v>
      </c>
      <c r="K44" s="85"/>
      <c r="L44" s="122">
        <f>SUM(L33:L42)</f>
        <v>619</v>
      </c>
      <c r="M44" s="88"/>
      <c r="N44" s="122">
        <f>SUM(N33:N42)</f>
        <v>0</v>
      </c>
      <c r="O44" s="88"/>
      <c r="P44" s="122">
        <f>SUM(P33:P42)</f>
        <v>0</v>
      </c>
      <c r="Q44" s="88"/>
      <c r="R44" s="122">
        <f>SUM(R33:R42)</f>
        <v>0</v>
      </c>
      <c r="S44" s="88"/>
      <c r="T44" s="122">
        <f>SUM(T33:T42)</f>
        <v>771824.9781119627</v>
      </c>
      <c r="U44" s="88"/>
      <c r="V44" s="88"/>
      <c r="W44" s="88"/>
      <c r="X44" s="88"/>
      <c r="Y44" s="88"/>
      <c r="Z44" s="88"/>
    </row>
    <row r="45" spans="1:26" ht="13.5" thickTop="1">
      <c r="A45" s="4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</row>
    <row r="46" spans="1:26" ht="12.75">
      <c r="A46" s="4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</row>
    <row r="47" spans="1:26" ht="12.75">
      <c r="A47" s="4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</row>
    <row r="48" spans="1:26" ht="12.75">
      <c r="A48" s="4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</row>
    <row r="49" spans="1:26" ht="12.75">
      <c r="A49" s="4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</row>
    <row r="50" spans="1:26" ht="12.75">
      <c r="A50" s="4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</row>
    <row r="51" spans="1:26" ht="12.75">
      <c r="A51" s="4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</row>
    <row r="52" spans="1:26" ht="12.75">
      <c r="A52" s="4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</row>
    <row r="53" spans="6:26" ht="12.75"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</row>
    <row r="54" spans="6:26" ht="12.75"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</row>
    <row r="55" spans="6:26" ht="12.75"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</row>
    <row r="56" spans="6:26" ht="12.75"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</row>
    <row r="57" spans="6:26" ht="12.75"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</row>
    <row r="58" spans="6:26" ht="12.75"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</row>
    <row r="59" spans="6:26" ht="12.75"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</row>
    <row r="60" spans="6:26" ht="12.75"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</row>
    <row r="61" spans="6:26" ht="12.75"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</row>
    <row r="62" spans="6:26" ht="12.75"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</row>
    <row r="63" spans="6:26" ht="12.75"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</row>
  </sheetData>
  <mergeCells count="3">
    <mergeCell ref="F7:L7"/>
    <mergeCell ref="F8:L8"/>
    <mergeCell ref="F9:L9"/>
  </mergeCells>
  <printOptions/>
  <pageMargins left="0.75" right="0.75" top="1.5" bottom="1" header="0.5" footer="0.5"/>
  <pageSetup fitToHeight="1" fitToWidth="1" horizontalDpi="600" verticalDpi="600" orientation="landscape" scale="71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2"/>
  <sheetViews>
    <sheetView workbookViewId="0" topLeftCell="A1">
      <selection activeCell="F4" sqref="F4"/>
    </sheetView>
  </sheetViews>
  <sheetFormatPr defaultColWidth="9.140625" defaultRowHeight="12.75"/>
  <cols>
    <col min="1" max="1" width="4.7109375" style="0" customWidth="1"/>
    <col min="2" max="2" width="5.7109375" style="0" customWidth="1"/>
    <col min="3" max="3" width="2.7109375" style="0" customWidth="1"/>
    <col min="4" max="4" width="16.140625" style="0" bestFit="1" customWidth="1"/>
    <col min="5" max="5" width="2.7109375" style="0" customWidth="1"/>
    <col min="6" max="6" width="13.7109375" style="0" customWidth="1"/>
    <col min="7" max="7" width="1.7109375" style="0" customWidth="1"/>
    <col min="8" max="8" width="9.7109375" style="0" customWidth="1"/>
    <col min="9" max="9" width="1.7109375" style="0" customWidth="1"/>
    <col min="10" max="10" width="11.421875" style="0" bestFit="1" customWidth="1"/>
    <col min="11" max="11" width="1.7109375" style="0" customWidth="1"/>
    <col min="12" max="12" width="11.421875" style="0" bestFit="1" customWidth="1"/>
    <col min="14" max="14" width="15.00390625" style="0" bestFit="1" customWidth="1"/>
    <col min="17" max="17" width="10.28125" style="0" bestFit="1" customWidth="1"/>
    <col min="19" max="20" width="9.421875" style="0" bestFit="1" customWidth="1"/>
  </cols>
  <sheetData>
    <row r="1" spans="2:12" ht="12.75">
      <c r="B1" t="s">
        <v>202</v>
      </c>
      <c r="L1" s="43" t="s">
        <v>663</v>
      </c>
    </row>
    <row r="2" ht="12.75">
      <c r="L2" s="43" t="s">
        <v>794</v>
      </c>
    </row>
    <row r="3" ht="12.75">
      <c r="L3" s="43" t="s">
        <v>756</v>
      </c>
    </row>
    <row r="4" ht="12.75">
      <c r="L4" s="43"/>
    </row>
    <row r="5" spans="4:12" ht="12.75">
      <c r="D5" s="18"/>
      <c r="E5" s="18"/>
      <c r="F5" s="18"/>
      <c r="G5" s="18"/>
      <c r="H5" s="18"/>
      <c r="I5" s="18"/>
      <c r="L5" s="43" t="s">
        <v>257</v>
      </c>
    </row>
    <row r="6" spans="2:9" ht="18">
      <c r="B6" s="4"/>
      <c r="D6" s="34"/>
      <c r="E6" s="35"/>
      <c r="F6" s="33" t="s">
        <v>79</v>
      </c>
      <c r="G6" s="35"/>
      <c r="H6" s="35"/>
      <c r="I6" s="35"/>
    </row>
    <row r="7" spans="2:9" ht="18">
      <c r="B7" s="4"/>
      <c r="D7" s="34"/>
      <c r="E7" s="35"/>
      <c r="F7" s="33" t="s">
        <v>27</v>
      </c>
      <c r="G7" s="35"/>
      <c r="H7" s="35"/>
      <c r="I7" s="35"/>
    </row>
    <row r="8" spans="2:9" ht="12.75">
      <c r="B8" s="4"/>
      <c r="D8" s="18"/>
      <c r="E8" s="18"/>
      <c r="F8" s="19"/>
      <c r="G8" s="18"/>
      <c r="H8" s="18"/>
      <c r="I8" s="18"/>
    </row>
    <row r="9" spans="2:9" ht="15.75">
      <c r="B9" s="4"/>
      <c r="D9" s="154" t="s">
        <v>198</v>
      </c>
      <c r="E9" s="154"/>
      <c r="F9" s="154"/>
      <c r="G9" s="154"/>
      <c r="H9" s="154"/>
      <c r="I9" s="154"/>
    </row>
    <row r="10" spans="2:9" ht="12.75">
      <c r="B10" s="4"/>
      <c r="D10" s="18"/>
      <c r="E10" s="18"/>
      <c r="F10" s="18"/>
      <c r="G10" s="18"/>
      <c r="H10" s="18"/>
      <c r="I10" s="18"/>
    </row>
    <row r="11" spans="2:9" ht="12.75">
      <c r="B11" s="4"/>
      <c r="D11" s="20"/>
      <c r="E11" s="20"/>
      <c r="F11" s="20"/>
      <c r="G11" s="28"/>
      <c r="H11" s="28"/>
      <c r="I11" s="18"/>
    </row>
    <row r="12" spans="2:15" ht="12.75">
      <c r="B12" s="4" t="s">
        <v>3</v>
      </c>
      <c r="D12" s="20"/>
      <c r="E12" s="20"/>
      <c r="F12" s="21" t="s">
        <v>199</v>
      </c>
      <c r="G12" s="20"/>
      <c r="H12" s="21"/>
      <c r="I12" s="21"/>
      <c r="J12" s="22"/>
      <c r="K12" s="22"/>
      <c r="L12" s="23" t="s">
        <v>28</v>
      </c>
      <c r="M12" s="9"/>
      <c r="N12" s="78"/>
      <c r="O12" s="9"/>
    </row>
    <row r="13" spans="2:15" ht="12.75">
      <c r="B13" s="5" t="s">
        <v>4</v>
      </c>
      <c r="D13" s="24" t="s">
        <v>29</v>
      </c>
      <c r="E13" s="24"/>
      <c r="F13" s="73" t="s">
        <v>200</v>
      </c>
      <c r="G13" s="24"/>
      <c r="H13" s="25" t="s">
        <v>30</v>
      </c>
      <c r="I13" s="25"/>
      <c r="J13" s="26" t="s">
        <v>31</v>
      </c>
      <c r="K13" s="26"/>
      <c r="L13" s="27" t="s">
        <v>31</v>
      </c>
      <c r="M13" s="9"/>
      <c r="N13" s="9"/>
      <c r="O13" s="9"/>
    </row>
    <row r="14" spans="2:15" ht="12.75">
      <c r="B14" s="4"/>
      <c r="D14" s="20"/>
      <c r="E14" s="20"/>
      <c r="F14" s="20"/>
      <c r="G14" s="20"/>
      <c r="H14" s="20"/>
      <c r="I14" s="20"/>
      <c r="J14" s="28"/>
      <c r="K14" s="28"/>
      <c r="L14" s="18"/>
      <c r="M14" s="9"/>
      <c r="N14" s="78"/>
      <c r="O14" s="9"/>
    </row>
    <row r="15" spans="2:15" ht="12.75">
      <c r="B15" s="4">
        <v>1</v>
      </c>
      <c r="D15" s="20" t="s">
        <v>32</v>
      </c>
      <c r="E15" s="20"/>
      <c r="F15" s="74">
        <v>848797691</v>
      </c>
      <c r="G15" s="20"/>
      <c r="H15" s="29">
        <f>+F15/$F$23</f>
        <v>0.43996930463483297</v>
      </c>
      <c r="I15" s="29"/>
      <c r="J15" s="30">
        <v>0.115</v>
      </c>
      <c r="K15" s="30"/>
      <c r="L15" s="30">
        <f>ROUND(H15*J15,4)</f>
        <v>0.0506</v>
      </c>
      <c r="M15" s="9"/>
      <c r="N15" s="9"/>
      <c r="O15" s="9"/>
    </row>
    <row r="16" spans="2:15" ht="12.75">
      <c r="B16" s="4"/>
      <c r="D16" s="20"/>
      <c r="E16" s="20"/>
      <c r="F16" s="74"/>
      <c r="G16" s="20"/>
      <c r="H16" s="29"/>
      <c r="I16" s="29"/>
      <c r="J16" s="31"/>
      <c r="K16" s="31"/>
      <c r="L16" s="30"/>
      <c r="M16" s="9"/>
      <c r="N16" s="79"/>
      <c r="O16" s="9"/>
    </row>
    <row r="17" spans="2:15" ht="12.75">
      <c r="B17" s="4">
        <v>2</v>
      </c>
      <c r="D17" s="20" t="s">
        <v>201</v>
      </c>
      <c r="E17" s="20"/>
      <c r="F17" s="74">
        <v>100000000</v>
      </c>
      <c r="G17" s="20"/>
      <c r="H17" s="29">
        <f>+F17/$F$23</f>
        <v>0.05183441346506125</v>
      </c>
      <c r="I17" s="29"/>
      <c r="J17" s="30">
        <v>0.066</v>
      </c>
      <c r="K17" s="30"/>
      <c r="L17" s="30">
        <f>ROUND(H17*J17,4)</f>
        <v>0.0034</v>
      </c>
      <c r="M17" s="9"/>
      <c r="N17" s="9"/>
      <c r="O17" s="9"/>
    </row>
    <row r="18" spans="2:15" ht="12.75">
      <c r="B18" s="4"/>
      <c r="D18" s="20"/>
      <c r="E18" s="20"/>
      <c r="F18" s="74"/>
      <c r="G18" s="20"/>
      <c r="H18" s="29"/>
      <c r="I18" s="29"/>
      <c r="J18" s="30"/>
      <c r="K18" s="30"/>
      <c r="L18" s="30"/>
      <c r="M18" s="9"/>
      <c r="N18" s="79"/>
      <c r="O18" s="9"/>
    </row>
    <row r="19" spans="2:15" ht="12.75">
      <c r="B19" s="4">
        <v>3</v>
      </c>
      <c r="D19" s="20" t="s">
        <v>33</v>
      </c>
      <c r="E19" s="20"/>
      <c r="F19" s="74">
        <v>27300000</v>
      </c>
      <c r="G19" s="20"/>
      <c r="H19" s="29">
        <f>+F19/$F$23</f>
        <v>0.014150794875961721</v>
      </c>
      <c r="I19" s="29"/>
      <c r="J19" s="30">
        <v>0.0739</v>
      </c>
      <c r="K19" s="30"/>
      <c r="L19" s="30">
        <f>ROUND(H19*J19,4)</f>
        <v>0.001</v>
      </c>
      <c r="M19" s="9"/>
      <c r="N19" s="9"/>
      <c r="O19" s="9"/>
    </row>
    <row r="20" spans="2:15" ht="12.75">
      <c r="B20" s="4"/>
      <c r="D20" s="20"/>
      <c r="E20" s="20"/>
      <c r="F20" s="74"/>
      <c r="G20" s="20"/>
      <c r="H20" s="29"/>
      <c r="I20" s="29"/>
      <c r="J20" s="30"/>
      <c r="K20" s="30"/>
      <c r="L20" s="30"/>
      <c r="M20" s="9"/>
      <c r="N20" s="80"/>
      <c r="O20" s="9"/>
    </row>
    <row r="21" spans="2:15" ht="12.75">
      <c r="B21" s="4">
        <v>4</v>
      </c>
      <c r="D21" s="20" t="s">
        <v>34</v>
      </c>
      <c r="E21" s="20"/>
      <c r="F21" s="75">
        <v>953122557</v>
      </c>
      <c r="G21" s="20"/>
      <c r="H21" s="76">
        <f>+F21/$F$23</f>
        <v>0.4940454870241441</v>
      </c>
      <c r="I21" s="29"/>
      <c r="J21" s="29">
        <v>0.0844</v>
      </c>
      <c r="K21" s="32"/>
      <c r="L21" s="76">
        <f>ROUND(H21*J21,4)</f>
        <v>0.0417</v>
      </c>
      <c r="M21" s="9"/>
      <c r="N21" s="9"/>
      <c r="O21" s="9"/>
    </row>
    <row r="22" spans="2:15" ht="12.75">
      <c r="B22" s="4"/>
      <c r="D22" s="20"/>
      <c r="E22" s="20"/>
      <c r="F22" s="20"/>
      <c r="G22" s="20"/>
      <c r="H22" s="29"/>
      <c r="I22" s="29"/>
      <c r="J22" s="31"/>
      <c r="K22" s="31"/>
      <c r="L22" s="30"/>
      <c r="M22" s="9"/>
      <c r="N22" s="9"/>
      <c r="O22" s="9"/>
    </row>
    <row r="23" spans="2:12" ht="13.5" thickBot="1">
      <c r="B23" s="4">
        <v>5</v>
      </c>
      <c r="D23" s="20" t="s">
        <v>35</v>
      </c>
      <c r="E23" s="20"/>
      <c r="F23" s="81">
        <f>SUM(F15:F21)</f>
        <v>1929220248</v>
      </c>
      <c r="G23" s="20"/>
      <c r="H23" s="44">
        <f>SUM(H15:H21)</f>
        <v>1</v>
      </c>
      <c r="I23" s="29"/>
      <c r="J23" s="31"/>
      <c r="K23" s="31"/>
      <c r="L23" s="44">
        <f>L15+L17+L19+L21</f>
        <v>0.09670000000000001</v>
      </c>
    </row>
    <row r="24" spans="2:12" ht="13.5" thickTop="1">
      <c r="B24" s="4"/>
      <c r="D24" s="20"/>
      <c r="E24" s="20"/>
      <c r="F24" s="77"/>
      <c r="G24" s="20"/>
      <c r="H24" s="29"/>
      <c r="I24" s="29"/>
      <c r="J24" s="31"/>
      <c r="K24" s="31"/>
      <c r="L24" s="80"/>
    </row>
    <row r="25" spans="2:12" ht="12.75">
      <c r="B25" s="4"/>
      <c r="D25" s="20"/>
      <c r="E25" s="20"/>
      <c r="F25" s="77"/>
      <c r="G25" s="20"/>
      <c r="H25" s="29"/>
      <c r="I25" s="29"/>
      <c r="J25" s="31"/>
      <c r="K25" s="31"/>
      <c r="L25" s="80"/>
    </row>
    <row r="26" spans="2:18" ht="12.75">
      <c r="B26" s="15"/>
      <c r="C26" s="9"/>
      <c r="D26" s="20"/>
      <c r="E26" s="20"/>
      <c r="F26" s="77"/>
      <c r="G26" s="20"/>
      <c r="H26" s="29"/>
      <c r="I26" s="29"/>
      <c r="J26" s="82"/>
      <c r="K26" s="82"/>
      <c r="L26" s="80"/>
      <c r="M26" s="9"/>
      <c r="N26" s="9"/>
      <c r="O26" s="9"/>
      <c r="P26" s="9"/>
      <c r="Q26" s="9"/>
      <c r="R26" s="9"/>
    </row>
    <row r="27" spans="2:18" ht="12.75">
      <c r="B27" s="15"/>
      <c r="C27" s="9"/>
      <c r="D27" s="20"/>
      <c r="E27" s="20"/>
      <c r="F27" s="77"/>
      <c r="G27" s="20"/>
      <c r="H27" s="29"/>
      <c r="I27" s="29"/>
      <c r="J27" s="82"/>
      <c r="K27" s="82"/>
      <c r="L27" s="80"/>
      <c r="M27" s="9"/>
      <c r="N27" s="9"/>
      <c r="O27" s="9"/>
      <c r="P27" s="9"/>
      <c r="Q27" s="9"/>
      <c r="R27" s="9"/>
    </row>
    <row r="28" spans="2:18" ht="15.75">
      <c r="B28" s="4"/>
      <c r="D28" s="154" t="s">
        <v>258</v>
      </c>
      <c r="E28" s="154"/>
      <c r="F28" s="154"/>
      <c r="G28" s="154"/>
      <c r="H28" s="154"/>
      <c r="I28" s="154"/>
      <c r="M28" s="9"/>
      <c r="N28" s="9"/>
      <c r="O28" s="9"/>
      <c r="P28" s="9"/>
      <c r="Q28" s="9"/>
      <c r="R28" s="9"/>
    </row>
    <row r="29" spans="2:22" ht="12.75">
      <c r="B29" s="4"/>
      <c r="D29" s="18"/>
      <c r="E29" s="18"/>
      <c r="F29" s="18"/>
      <c r="G29" s="18"/>
      <c r="H29" s="18"/>
      <c r="I29" s="18"/>
      <c r="M29" s="9"/>
      <c r="N29" s="9"/>
      <c r="O29" s="16"/>
      <c r="P29" s="16"/>
      <c r="Q29" s="16"/>
      <c r="R29" s="16"/>
      <c r="S29" s="90"/>
      <c r="T29" s="90"/>
      <c r="U29" s="90"/>
      <c r="V29" s="90"/>
    </row>
    <row r="30" spans="2:22" ht="12.75">
      <c r="B30" s="4"/>
      <c r="D30" s="20"/>
      <c r="E30" s="20"/>
      <c r="F30" s="20"/>
      <c r="G30" s="28"/>
      <c r="H30" s="28"/>
      <c r="I30" s="18"/>
      <c r="M30" s="9"/>
      <c r="N30" s="9"/>
      <c r="O30" s="16"/>
      <c r="P30" s="16"/>
      <c r="Q30" s="16"/>
      <c r="R30" s="16"/>
      <c r="S30" s="90"/>
      <c r="T30" s="90"/>
      <c r="U30" s="90"/>
      <c r="V30" s="90"/>
    </row>
    <row r="31" spans="2:22" ht="12.75">
      <c r="B31" s="4" t="s">
        <v>3</v>
      </c>
      <c r="D31" s="20"/>
      <c r="E31" s="20"/>
      <c r="F31" s="21" t="s">
        <v>199</v>
      </c>
      <c r="G31" s="20"/>
      <c r="H31" s="21"/>
      <c r="I31" s="21"/>
      <c r="J31" s="22"/>
      <c r="K31" s="22"/>
      <c r="L31" s="23" t="s">
        <v>28</v>
      </c>
      <c r="M31" s="9"/>
      <c r="N31" s="9"/>
      <c r="O31" s="16"/>
      <c r="P31" s="16"/>
      <c r="Q31" s="16"/>
      <c r="R31" s="16"/>
      <c r="S31" s="90"/>
      <c r="T31" s="90"/>
      <c r="U31" s="90"/>
      <c r="V31" s="90"/>
    </row>
    <row r="32" spans="2:22" ht="12.75">
      <c r="B32" s="5" t="s">
        <v>4</v>
      </c>
      <c r="D32" s="24" t="s">
        <v>29</v>
      </c>
      <c r="E32" s="24"/>
      <c r="F32" s="73" t="s">
        <v>200</v>
      </c>
      <c r="G32" s="24"/>
      <c r="H32" s="25" t="s">
        <v>30</v>
      </c>
      <c r="I32" s="25"/>
      <c r="J32" s="26" t="s">
        <v>31</v>
      </c>
      <c r="K32" s="26"/>
      <c r="L32" s="27" t="s">
        <v>31</v>
      </c>
      <c r="M32" s="9"/>
      <c r="N32" s="78"/>
      <c r="O32" s="16"/>
      <c r="P32" s="16"/>
      <c r="Q32" s="16"/>
      <c r="R32" s="16"/>
      <c r="S32" s="90"/>
      <c r="T32" s="90"/>
      <c r="U32" s="90"/>
      <c r="V32" s="90"/>
    </row>
    <row r="33" spans="2:22" ht="12.75">
      <c r="B33" s="4"/>
      <c r="D33" s="20"/>
      <c r="E33" s="20"/>
      <c r="F33" s="20"/>
      <c r="G33" s="20"/>
      <c r="H33" s="20"/>
      <c r="I33" s="20"/>
      <c r="J33" s="28"/>
      <c r="K33" s="28"/>
      <c r="L33" s="18"/>
      <c r="M33" s="9"/>
      <c r="N33" s="9"/>
      <c r="O33" s="16"/>
      <c r="P33" s="16"/>
      <c r="Q33" s="16"/>
      <c r="R33" s="16"/>
      <c r="S33" s="90"/>
      <c r="T33" s="90"/>
      <c r="U33" s="90"/>
      <c r="V33" s="90"/>
    </row>
    <row r="34" spans="2:22" ht="12.75">
      <c r="B34" s="4">
        <v>6</v>
      </c>
      <c r="D34" s="20" t="s">
        <v>32</v>
      </c>
      <c r="E34" s="20"/>
      <c r="F34" s="74"/>
      <c r="G34" s="20"/>
      <c r="H34" s="29">
        <v>0.4</v>
      </c>
      <c r="I34" s="29"/>
      <c r="J34" s="30">
        <v>0.0925</v>
      </c>
      <c r="K34" s="30"/>
      <c r="L34" s="30">
        <f>+H34*J34</f>
        <v>0.037</v>
      </c>
      <c r="M34" s="9"/>
      <c r="N34" s="78"/>
      <c r="O34" s="16"/>
      <c r="P34" s="16"/>
      <c r="Q34" s="16"/>
      <c r="R34" s="16"/>
      <c r="S34" s="90"/>
      <c r="T34" s="90"/>
      <c r="U34" s="90"/>
      <c r="V34" s="90"/>
    </row>
    <row r="35" spans="2:22" ht="12.75">
      <c r="B35" s="4"/>
      <c r="D35" s="20"/>
      <c r="E35" s="20"/>
      <c r="F35" s="74"/>
      <c r="G35" s="20"/>
      <c r="H35" s="29"/>
      <c r="I35" s="29"/>
      <c r="J35" s="31"/>
      <c r="K35" s="31"/>
      <c r="L35" s="30"/>
      <c r="M35" s="9"/>
      <c r="N35" s="9"/>
      <c r="O35" s="16"/>
      <c r="P35" s="16"/>
      <c r="Q35" s="16"/>
      <c r="R35" s="16"/>
      <c r="S35" s="90"/>
      <c r="T35" s="90"/>
      <c r="U35" s="90"/>
      <c r="V35" s="90"/>
    </row>
    <row r="36" spans="2:22" ht="12.75">
      <c r="B36" s="4">
        <v>7</v>
      </c>
      <c r="D36" s="20" t="s">
        <v>201</v>
      </c>
      <c r="E36" s="20"/>
      <c r="F36" s="74"/>
      <c r="G36" s="20"/>
      <c r="H36" s="29">
        <v>0.0584</v>
      </c>
      <c r="I36" s="29"/>
      <c r="J36" s="30">
        <v>0.066</v>
      </c>
      <c r="K36" s="30"/>
      <c r="L36" s="30">
        <f>+H36*J36</f>
        <v>0.0038544</v>
      </c>
      <c r="M36" s="9"/>
      <c r="N36" s="79"/>
      <c r="O36" s="16"/>
      <c r="P36" s="16"/>
      <c r="Q36" s="16"/>
      <c r="R36" s="16"/>
      <c r="S36" s="90"/>
      <c r="T36" s="90"/>
      <c r="U36" s="90"/>
      <c r="V36" s="90"/>
    </row>
    <row r="37" spans="2:22" ht="12.75">
      <c r="B37" s="4"/>
      <c r="D37" s="20"/>
      <c r="E37" s="20"/>
      <c r="F37" s="74"/>
      <c r="G37" s="20"/>
      <c r="H37" s="29"/>
      <c r="I37" s="29"/>
      <c r="J37" s="30"/>
      <c r="K37" s="30"/>
      <c r="L37" s="30"/>
      <c r="M37" s="9"/>
      <c r="N37" s="9"/>
      <c r="O37" s="16"/>
      <c r="P37" s="16"/>
      <c r="Q37" s="16"/>
      <c r="R37" s="16"/>
      <c r="S37" s="90"/>
      <c r="T37" s="90"/>
      <c r="U37" s="90"/>
      <c r="V37" s="90"/>
    </row>
    <row r="38" spans="2:22" ht="12.75">
      <c r="B38" s="4">
        <v>8</v>
      </c>
      <c r="D38" s="20" t="s">
        <v>33</v>
      </c>
      <c r="E38" s="20"/>
      <c r="F38" s="74"/>
      <c r="G38" s="20"/>
      <c r="H38" s="29">
        <v>0.0157</v>
      </c>
      <c r="I38" s="29"/>
      <c r="J38" s="30">
        <v>0.0739</v>
      </c>
      <c r="K38" s="30"/>
      <c r="L38" s="30">
        <f>+H38*J38</f>
        <v>0.0011602299999999997</v>
      </c>
      <c r="M38" s="9"/>
      <c r="N38" s="79"/>
      <c r="O38" s="16"/>
      <c r="P38" s="16"/>
      <c r="Q38" s="16"/>
      <c r="R38" s="16"/>
      <c r="S38" s="90"/>
      <c r="T38" s="90"/>
      <c r="U38" s="90"/>
      <c r="V38" s="90"/>
    </row>
    <row r="39" spans="2:22" ht="12.75">
      <c r="B39" s="4"/>
      <c r="D39" s="20"/>
      <c r="E39" s="20"/>
      <c r="F39" s="74"/>
      <c r="G39" s="20"/>
      <c r="H39" s="29"/>
      <c r="I39" s="29"/>
      <c r="J39" s="30"/>
      <c r="K39" s="30"/>
      <c r="L39" s="30"/>
      <c r="M39" s="9"/>
      <c r="N39" s="9"/>
      <c r="O39" s="16"/>
      <c r="P39" s="16"/>
      <c r="Q39" s="16"/>
      <c r="R39" s="16"/>
      <c r="S39" s="90"/>
      <c r="T39" s="90"/>
      <c r="U39" s="90"/>
      <c r="V39" s="90"/>
    </row>
    <row r="40" spans="2:22" ht="12.75">
      <c r="B40" s="4">
        <v>9</v>
      </c>
      <c r="D40" s="20" t="s">
        <v>34</v>
      </c>
      <c r="E40" s="20"/>
      <c r="F40" s="75"/>
      <c r="G40" s="20"/>
      <c r="H40" s="76">
        <v>0.5259</v>
      </c>
      <c r="I40" s="29"/>
      <c r="J40" s="29">
        <v>0.0844</v>
      </c>
      <c r="K40" s="32"/>
      <c r="L40" s="76">
        <f>+H40*J40</f>
        <v>0.04438596</v>
      </c>
      <c r="M40" s="9"/>
      <c r="N40" s="80"/>
      <c r="O40" s="16"/>
      <c r="P40" s="16"/>
      <c r="Q40" s="16"/>
      <c r="R40" s="16"/>
      <c r="S40" s="90"/>
      <c r="T40" s="90"/>
      <c r="U40" s="90"/>
      <c r="V40" s="90"/>
    </row>
    <row r="41" spans="2:22" ht="12.75">
      <c r="B41" s="4"/>
      <c r="D41" s="20"/>
      <c r="E41" s="20"/>
      <c r="F41" s="20"/>
      <c r="G41" s="20"/>
      <c r="H41" s="29"/>
      <c r="I41" s="29"/>
      <c r="J41" s="31"/>
      <c r="K41" s="31"/>
      <c r="L41" s="30"/>
      <c r="M41" s="9"/>
      <c r="N41" s="9"/>
      <c r="O41" s="16"/>
      <c r="P41" s="16"/>
      <c r="Q41" s="16"/>
      <c r="R41" s="16"/>
      <c r="S41" s="90"/>
      <c r="T41" s="90"/>
      <c r="U41" s="90"/>
      <c r="V41" s="90"/>
    </row>
    <row r="42" spans="2:22" ht="13.5" thickBot="1">
      <c r="B42" s="4">
        <v>10</v>
      </c>
      <c r="D42" s="20" t="s">
        <v>35</v>
      </c>
      <c r="E42" s="20"/>
      <c r="F42" s="81"/>
      <c r="G42" s="20"/>
      <c r="H42" s="44">
        <f>SUM(H34:H40)</f>
        <v>1</v>
      </c>
      <c r="I42" s="29"/>
      <c r="J42" s="31"/>
      <c r="K42" s="31"/>
      <c r="L42" s="44">
        <f>L34+L36+L38+L40</f>
        <v>0.08640059</v>
      </c>
      <c r="M42" s="9"/>
      <c r="N42" s="79"/>
      <c r="O42" s="16"/>
      <c r="P42" s="16"/>
      <c r="Q42" s="16"/>
      <c r="R42" s="16"/>
      <c r="S42" s="90"/>
      <c r="T42" s="90"/>
      <c r="U42" s="90"/>
      <c r="V42" s="90"/>
    </row>
    <row r="43" spans="2:22" ht="13.5" thickTop="1">
      <c r="B43" s="4"/>
      <c r="D43" s="20"/>
      <c r="E43" s="20"/>
      <c r="F43" s="77"/>
      <c r="G43" s="20"/>
      <c r="H43" s="29"/>
      <c r="I43" s="29"/>
      <c r="J43" s="31"/>
      <c r="K43" s="31"/>
      <c r="L43" s="29"/>
      <c r="M43" s="9"/>
      <c r="N43" s="9"/>
      <c r="O43" s="16"/>
      <c r="P43" s="16"/>
      <c r="Q43" s="16"/>
      <c r="R43" s="16"/>
      <c r="S43" s="90"/>
      <c r="T43" s="90"/>
      <c r="U43" s="90"/>
      <c r="V43" s="90"/>
    </row>
    <row r="44" spans="2:22" ht="12.75">
      <c r="B44" s="4"/>
      <c r="D44" s="20"/>
      <c r="E44" s="20"/>
      <c r="F44" s="77"/>
      <c r="G44" s="20"/>
      <c r="H44" s="29"/>
      <c r="I44" s="29"/>
      <c r="J44" s="31"/>
      <c r="K44" s="31"/>
      <c r="L44" s="80"/>
      <c r="M44" s="9"/>
      <c r="N44" s="11"/>
      <c r="O44" s="16"/>
      <c r="P44" s="16"/>
      <c r="Q44" s="16"/>
      <c r="R44" s="16"/>
      <c r="S44" s="90"/>
      <c r="T44" s="90"/>
      <c r="U44" s="90"/>
      <c r="V44" s="90"/>
    </row>
    <row r="45" spans="2:22" ht="12.75">
      <c r="B45" s="15"/>
      <c r="C45" s="9"/>
      <c r="D45" s="20"/>
      <c r="E45" s="20"/>
      <c r="F45" s="77"/>
      <c r="G45" s="20"/>
      <c r="H45" s="29"/>
      <c r="I45" s="29"/>
      <c r="J45" s="82"/>
      <c r="K45" s="82"/>
      <c r="L45" s="80"/>
      <c r="M45" s="9"/>
      <c r="N45" s="11"/>
      <c r="O45" s="16"/>
      <c r="P45" s="16"/>
      <c r="Q45" s="16"/>
      <c r="R45" s="16"/>
      <c r="S45" s="90"/>
      <c r="T45" s="90"/>
      <c r="U45" s="90"/>
      <c r="V45" s="90"/>
    </row>
    <row r="46" spans="2:22" ht="12.7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11"/>
      <c r="O46" s="16"/>
      <c r="P46" s="16"/>
      <c r="Q46" s="16"/>
      <c r="R46" s="16"/>
      <c r="S46" s="90"/>
      <c r="T46" s="90"/>
      <c r="U46" s="90"/>
      <c r="V46" s="90"/>
    </row>
    <row r="47" spans="2:18" ht="12.7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2:18" ht="12.7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2:18" ht="12.7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2:18" ht="12.7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2:18" ht="12.7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2:18" ht="12.7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</sheetData>
  <mergeCells count="2">
    <mergeCell ref="D9:I9"/>
    <mergeCell ref="D28:I28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workbookViewId="0" topLeftCell="A1">
      <selection activeCell="N2" sqref="N2"/>
    </sheetView>
  </sheetViews>
  <sheetFormatPr defaultColWidth="9.140625" defaultRowHeight="12.75"/>
  <cols>
    <col min="1" max="1" width="5.7109375" style="0" customWidth="1"/>
    <col min="2" max="2" width="2.7109375" style="0" customWidth="1"/>
    <col min="3" max="3" width="3.7109375" style="0" customWidth="1"/>
    <col min="4" max="4" width="9.7109375" style="0" bestFit="1" customWidth="1"/>
    <col min="6" max="6" width="8.7109375" style="0" customWidth="1"/>
    <col min="7" max="7" width="2.7109375" style="0" customWidth="1"/>
    <col min="8" max="8" width="11.8515625" style="0" customWidth="1"/>
    <col min="9" max="9" width="1.7109375" style="0" customWidth="1"/>
    <col min="10" max="10" width="13.57421875" style="0" customWidth="1"/>
    <col min="11" max="11" width="1.7109375" style="0" customWidth="1"/>
    <col min="12" max="12" width="11.8515625" style="0" customWidth="1"/>
    <col min="13" max="13" width="1.7109375" style="0" customWidth="1"/>
    <col min="14" max="14" width="10.421875" style="0" bestFit="1" customWidth="1"/>
  </cols>
  <sheetData>
    <row r="1" spans="1:14" ht="12.75">
      <c r="A1" t="s">
        <v>222</v>
      </c>
      <c r="N1" s="43" t="s">
        <v>663</v>
      </c>
    </row>
    <row r="2" ht="12.75">
      <c r="N2" s="43" t="s">
        <v>794</v>
      </c>
    </row>
    <row r="3" ht="12.75">
      <c r="N3" s="43" t="s">
        <v>782</v>
      </c>
    </row>
    <row r="4" ht="12.75">
      <c r="L4" s="43"/>
    </row>
    <row r="5" spans="12:14" ht="12.75">
      <c r="L5" s="43"/>
      <c r="N5" s="43" t="s">
        <v>248</v>
      </c>
    </row>
    <row r="8" spans="3:11" ht="15.75">
      <c r="C8" s="149" t="s">
        <v>79</v>
      </c>
      <c r="D8" s="149"/>
      <c r="E8" s="149"/>
      <c r="F8" s="149"/>
      <c r="G8" s="149"/>
      <c r="H8" s="149"/>
      <c r="I8" s="149"/>
      <c r="J8" s="149"/>
      <c r="K8" s="50"/>
    </row>
    <row r="9" spans="3:11" ht="12.75">
      <c r="C9" s="150" t="s">
        <v>81</v>
      </c>
      <c r="D9" s="150"/>
      <c r="E9" s="150"/>
      <c r="F9" s="150"/>
      <c r="G9" s="150"/>
      <c r="H9" s="150"/>
      <c r="I9" s="150"/>
      <c r="J9" s="150"/>
      <c r="K9" s="51"/>
    </row>
    <row r="10" spans="3:11" ht="12.75">
      <c r="C10" s="150" t="s">
        <v>72</v>
      </c>
      <c r="D10" s="150"/>
      <c r="E10" s="150"/>
      <c r="F10" s="150"/>
      <c r="G10" s="150"/>
      <c r="H10" s="150"/>
      <c r="I10" s="150"/>
      <c r="J10" s="150"/>
      <c r="K10" s="51"/>
    </row>
    <row r="12" ht="12.75">
      <c r="A12" s="4" t="s">
        <v>3</v>
      </c>
    </row>
    <row r="13" spans="1:14" ht="12.75">
      <c r="A13" s="5" t="s">
        <v>4</v>
      </c>
      <c r="C13" s="8" t="s">
        <v>5</v>
      </c>
      <c r="D13" s="8"/>
      <c r="E13" s="8"/>
      <c r="F13" s="8"/>
      <c r="G13" s="9"/>
      <c r="H13" s="5" t="s">
        <v>102</v>
      </c>
      <c r="I13" s="9"/>
      <c r="J13" s="5" t="s">
        <v>103</v>
      </c>
      <c r="K13" s="15"/>
      <c r="L13" s="5" t="s">
        <v>104</v>
      </c>
      <c r="N13" s="5" t="s">
        <v>105</v>
      </c>
    </row>
    <row r="14" spans="8:9" ht="12.75">
      <c r="H14" s="9"/>
      <c r="I14" s="9"/>
    </row>
    <row r="15" spans="1:3" ht="12.75">
      <c r="A15" s="4">
        <v>1</v>
      </c>
      <c r="C15" t="s">
        <v>96</v>
      </c>
    </row>
    <row r="16" spans="1:3" ht="12.75">
      <c r="A16" s="4">
        <v>2</v>
      </c>
      <c r="C16" t="s">
        <v>97</v>
      </c>
    </row>
    <row r="17" spans="1:14" ht="12.75">
      <c r="A17" s="4">
        <v>3</v>
      </c>
      <c r="C17" t="s">
        <v>98</v>
      </c>
      <c r="J17" s="1">
        <v>3379122</v>
      </c>
      <c r="K17" s="2"/>
      <c r="N17" t="s">
        <v>99</v>
      </c>
    </row>
    <row r="18" ht="12.75">
      <c r="A18" s="4"/>
    </row>
    <row r="19" spans="1:14" ht="12.75">
      <c r="A19" s="4">
        <v>4</v>
      </c>
      <c r="C19" t="s">
        <v>106</v>
      </c>
      <c r="H19" s="1">
        <v>323681</v>
      </c>
      <c r="I19" s="1"/>
      <c r="J19" s="1"/>
      <c r="K19" s="1"/>
      <c r="L19" s="1">
        <v>145940</v>
      </c>
      <c r="N19" t="s">
        <v>107</v>
      </c>
    </row>
    <row r="20" ht="12.75">
      <c r="A20" s="4"/>
    </row>
    <row r="21" spans="1:12" ht="12.75">
      <c r="A21" s="4">
        <v>5</v>
      </c>
      <c r="C21" t="s">
        <v>100</v>
      </c>
      <c r="H21" s="13">
        <f>+H19/(+$H$19+$L$19)</f>
        <v>0.6892387691351111</v>
      </c>
      <c r="I21" s="53"/>
      <c r="L21" s="13">
        <f>+L19/(+$H$19+$L$19)</f>
        <v>0.31076123086488894</v>
      </c>
    </row>
    <row r="22" ht="12.75">
      <c r="A22" s="4"/>
    </row>
    <row r="23" spans="1:3" ht="12.75">
      <c r="A23" s="4">
        <v>6</v>
      </c>
      <c r="C23" t="s">
        <v>101</v>
      </c>
    </row>
    <row r="24" spans="1:14" ht="13.5" thickBot="1">
      <c r="A24" s="4">
        <v>7</v>
      </c>
      <c r="C24" t="s">
        <v>647</v>
      </c>
      <c r="H24" s="7">
        <f>-J17*H21</f>
        <v>-2329021.8880373747</v>
      </c>
      <c r="I24" s="1"/>
      <c r="J24" s="1"/>
      <c r="K24" s="1"/>
      <c r="L24" s="7">
        <f>-J17*L21</f>
        <v>-1050100.1119626253</v>
      </c>
      <c r="N24" t="s">
        <v>108</v>
      </c>
    </row>
    <row r="25" spans="1:15" ht="13.5" thickTop="1">
      <c r="A25" s="1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12.75">
      <c r="A26" s="15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12.75">
      <c r="A27" s="15"/>
      <c r="B27" s="9"/>
      <c r="C27" s="9"/>
      <c r="D27" s="9"/>
      <c r="E27" s="9"/>
      <c r="F27" s="9"/>
      <c r="G27" s="9"/>
      <c r="H27" s="53"/>
      <c r="I27" s="53"/>
      <c r="J27" s="9"/>
      <c r="K27" s="9"/>
      <c r="L27" s="53"/>
      <c r="M27" s="9"/>
      <c r="N27" s="9"/>
      <c r="O27" s="9"/>
    </row>
    <row r="28" spans="1:15" ht="12.75">
      <c r="A28" s="15"/>
      <c r="B28" s="9"/>
      <c r="C28" s="9"/>
      <c r="D28" s="9"/>
      <c r="E28" s="9"/>
      <c r="F28" s="9"/>
      <c r="G28" s="9"/>
      <c r="H28" s="53"/>
      <c r="I28" s="53"/>
      <c r="J28" s="9"/>
      <c r="K28" s="9"/>
      <c r="L28" s="53"/>
      <c r="M28" s="9"/>
      <c r="N28" s="9"/>
      <c r="O28" s="9"/>
    </row>
    <row r="29" spans="1:15" ht="12.75">
      <c r="A29" s="15"/>
      <c r="B29" s="9"/>
      <c r="C29" s="9"/>
      <c r="D29" s="9"/>
      <c r="E29" s="9"/>
      <c r="F29" s="9"/>
      <c r="G29" s="9"/>
      <c r="H29" s="11"/>
      <c r="I29" s="11"/>
      <c r="J29" s="9"/>
      <c r="K29" s="9"/>
      <c r="L29" s="11"/>
      <c r="M29" s="9"/>
      <c r="N29" s="9"/>
      <c r="O29" s="9"/>
    </row>
    <row r="30" spans="1:15" ht="12.75">
      <c r="A30" s="9"/>
      <c r="B30" s="9"/>
      <c r="C30" s="9"/>
      <c r="D30" s="9"/>
      <c r="E30" s="9"/>
      <c r="F30" s="9"/>
      <c r="G30" s="9"/>
      <c r="H30" s="53"/>
      <c r="I30" s="53"/>
      <c r="J30" s="9"/>
      <c r="K30" s="9"/>
      <c r="L30" s="53"/>
      <c r="M30" s="9"/>
      <c r="N30" s="9"/>
      <c r="O30" s="9"/>
    </row>
    <row r="31" spans="1:15" ht="12.75">
      <c r="A31" s="15"/>
      <c r="B31" s="9"/>
      <c r="C31" s="9"/>
      <c r="D31" s="9"/>
      <c r="E31" s="9"/>
      <c r="F31" s="9"/>
      <c r="G31" s="9"/>
      <c r="H31" s="9"/>
      <c r="I31" s="9"/>
      <c r="J31" s="11"/>
      <c r="K31" s="11"/>
      <c r="L31" s="9"/>
      <c r="M31" s="9"/>
      <c r="N31" s="9"/>
      <c r="O31" s="9"/>
    </row>
    <row r="32" spans="1:15" ht="12.75">
      <c r="A32" s="15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12.75">
      <c r="A33" s="15"/>
      <c r="B33" s="9"/>
      <c r="C33" s="9"/>
      <c r="D33" s="9"/>
      <c r="E33" s="9"/>
      <c r="F33" s="11"/>
      <c r="G33" s="11"/>
      <c r="H33" s="9"/>
      <c r="I33" s="9"/>
      <c r="J33" s="11"/>
      <c r="K33" s="11"/>
      <c r="L33" s="9"/>
      <c r="M33" s="9"/>
      <c r="N33" s="9"/>
      <c r="O33" s="9"/>
    </row>
    <row r="34" spans="1:15" ht="12.75">
      <c r="A34" s="9"/>
      <c r="B34" s="9"/>
      <c r="C34" s="9"/>
      <c r="D34" s="9"/>
      <c r="E34" s="9"/>
      <c r="F34" s="11"/>
      <c r="G34" s="11"/>
      <c r="H34" s="9"/>
      <c r="I34" s="9"/>
      <c r="J34" s="11"/>
      <c r="K34" s="11"/>
      <c r="L34" s="9"/>
      <c r="M34" s="9"/>
      <c r="N34" s="9"/>
      <c r="O34" s="9"/>
    </row>
    <row r="35" spans="1:15" ht="12.75">
      <c r="A35" s="15"/>
      <c r="B35" s="9"/>
      <c r="C35" s="9"/>
      <c r="D35" s="9"/>
      <c r="E35" s="9"/>
      <c r="F35" s="11"/>
      <c r="G35" s="11"/>
      <c r="H35" s="11"/>
      <c r="I35" s="11"/>
      <c r="J35" s="11"/>
      <c r="K35" s="11"/>
      <c r="L35" s="11"/>
      <c r="M35" s="9"/>
      <c r="N35" s="9"/>
      <c r="O35" s="9"/>
    </row>
    <row r="36" spans="1:15" ht="12.75">
      <c r="A36" s="15"/>
      <c r="B36" s="9"/>
      <c r="C36" s="9"/>
      <c r="D36" s="9"/>
      <c r="E36" s="9"/>
      <c r="F36" s="11"/>
      <c r="G36" s="11"/>
      <c r="H36" s="9"/>
      <c r="I36" s="9"/>
      <c r="J36" s="11"/>
      <c r="K36" s="11"/>
      <c r="L36" s="9"/>
      <c r="M36" s="9"/>
      <c r="N36" s="9"/>
      <c r="O36" s="9"/>
    </row>
    <row r="37" spans="1:15" ht="12.75">
      <c r="A37" s="15"/>
      <c r="B37" s="9"/>
      <c r="C37" s="9"/>
      <c r="D37" s="9"/>
      <c r="E37" s="9"/>
      <c r="F37" s="9"/>
      <c r="G37" s="9"/>
      <c r="H37" s="38"/>
      <c r="I37" s="38"/>
      <c r="J37" s="9"/>
      <c r="K37" s="9"/>
      <c r="L37" s="38"/>
      <c r="M37" s="9"/>
      <c r="N37" s="9"/>
      <c r="O37" s="9"/>
    </row>
    <row r="38" spans="1:15" ht="12.75">
      <c r="A38" s="15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12.75">
      <c r="A39" s="15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12.75">
      <c r="A40" s="15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2.75">
      <c r="A41" s="15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2.75">
      <c r="A42" s="15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2.75">
      <c r="A43" s="15"/>
      <c r="B43" s="9"/>
      <c r="C43" s="9"/>
      <c r="D43" s="9"/>
      <c r="E43" s="9"/>
      <c r="F43" s="9"/>
      <c r="G43" s="9"/>
      <c r="H43" s="11"/>
      <c r="I43" s="11"/>
      <c r="J43" s="9"/>
      <c r="K43" s="9"/>
      <c r="L43" s="11"/>
      <c r="M43" s="9"/>
      <c r="N43" s="9"/>
      <c r="O43" s="9"/>
    </row>
    <row r="44" spans="1:15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7" spans="8:9" ht="12.75">
      <c r="H47" s="9"/>
      <c r="I47" s="9"/>
    </row>
    <row r="48" spans="8:9" ht="12.75">
      <c r="H48" s="9"/>
      <c r="I48" s="9"/>
    </row>
    <row r="49" spans="8:9" ht="12.75">
      <c r="H49" s="9"/>
      <c r="I49" s="9"/>
    </row>
    <row r="50" spans="8:9" ht="12.75">
      <c r="H50" s="9"/>
      <c r="I50" s="9"/>
    </row>
    <row r="51" spans="8:9" ht="12.75">
      <c r="H51" s="9"/>
      <c r="I51" s="9"/>
    </row>
    <row r="52" spans="8:9" ht="12.75">
      <c r="H52" s="9"/>
      <c r="I52" s="9"/>
    </row>
  </sheetData>
  <mergeCells count="3">
    <mergeCell ref="C8:J8"/>
    <mergeCell ref="C9:J9"/>
    <mergeCell ref="C10:J10"/>
  </mergeCells>
  <printOptions/>
  <pageMargins left="1.5" right="0.75" top="1" bottom="1" header="0.5" footer="0.5"/>
  <pageSetup fitToHeight="1" fitToWidth="1"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83"/>
  <sheetViews>
    <sheetView workbookViewId="0" topLeftCell="F1">
      <selection activeCell="O2" sqref="O2"/>
    </sheetView>
  </sheetViews>
  <sheetFormatPr defaultColWidth="9.140625" defaultRowHeight="12.75"/>
  <cols>
    <col min="1" max="1" width="4.7109375" style="0" customWidth="1"/>
    <col min="2" max="2" width="2.7109375" style="0" customWidth="1"/>
    <col min="3" max="3" width="1.7109375" style="0" customWidth="1"/>
    <col min="5" max="5" width="12.28125" style="0" bestFit="1" customWidth="1"/>
    <col min="6" max="6" width="2.7109375" style="0" customWidth="1"/>
    <col min="7" max="7" width="15.7109375" style="0" customWidth="1"/>
    <col min="8" max="8" width="1.7109375" style="0" customWidth="1"/>
    <col min="9" max="9" width="15.57421875" style="0" bestFit="1" customWidth="1"/>
    <col min="10" max="10" width="1.7109375" style="0" customWidth="1"/>
    <col min="11" max="11" width="10.7109375" style="0" customWidth="1"/>
    <col min="12" max="12" width="1.7109375" style="0" customWidth="1"/>
    <col min="13" max="13" width="11.7109375" style="0" customWidth="1"/>
    <col min="14" max="14" width="1.7109375" style="0" customWidth="1"/>
    <col min="15" max="15" width="18.28125" style="0" customWidth="1"/>
    <col min="16" max="16" width="2.7109375" style="0" customWidth="1"/>
    <col min="18" max="18" width="2.7109375" style="0" customWidth="1"/>
    <col min="19" max="19" width="14.7109375" style="0" customWidth="1"/>
    <col min="20" max="20" width="2.7109375" style="0" customWidth="1"/>
    <col min="21" max="21" width="12.8515625" style="0" bestFit="1" customWidth="1"/>
    <col min="22" max="22" width="12.8515625" style="0" customWidth="1"/>
    <col min="23" max="23" width="5.7109375" style="0" customWidth="1"/>
    <col min="24" max="25" width="2.7109375" style="0" customWidth="1"/>
    <col min="26" max="26" width="19.421875" style="0" customWidth="1"/>
    <col min="27" max="27" width="6.7109375" style="0" customWidth="1"/>
    <col min="28" max="28" width="17.00390625" style="0" bestFit="1" customWidth="1"/>
    <col min="29" max="29" width="5.7109375" style="0" customWidth="1"/>
    <col min="30" max="30" width="6.7109375" style="0" customWidth="1"/>
    <col min="31" max="31" width="5.7109375" style="0" customWidth="1"/>
    <col min="32" max="32" width="15.00390625" style="0" bestFit="1" customWidth="1"/>
    <col min="33" max="33" width="2.7109375" style="0" customWidth="1"/>
    <col min="35" max="35" width="2.7109375" style="0" customWidth="1"/>
    <col min="36" max="36" width="14.57421875" style="0" customWidth="1"/>
    <col min="43" max="43" width="12.57421875" style="0" bestFit="1" customWidth="1"/>
    <col min="44" max="44" width="10.7109375" style="0" bestFit="1" customWidth="1"/>
    <col min="45" max="45" width="11.7109375" style="0" bestFit="1" customWidth="1"/>
  </cols>
  <sheetData>
    <row r="1" spans="1:15" ht="12.75">
      <c r="A1" t="s">
        <v>223</v>
      </c>
      <c r="O1" s="43" t="s">
        <v>663</v>
      </c>
    </row>
    <row r="2" spans="15:36" ht="12.75">
      <c r="O2" s="43" t="s">
        <v>794</v>
      </c>
      <c r="P2" s="59"/>
      <c r="Q2" s="59"/>
      <c r="R2" s="59"/>
      <c r="S2" s="59"/>
      <c r="T2" s="59"/>
      <c r="U2" s="59"/>
      <c r="V2" s="5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</row>
    <row r="3" spans="15:36" ht="12.75">
      <c r="O3" s="43" t="s">
        <v>781</v>
      </c>
      <c r="P3" s="59"/>
      <c r="Q3" s="59"/>
      <c r="R3" s="59"/>
      <c r="S3" s="59"/>
      <c r="T3" s="59"/>
      <c r="U3" s="59"/>
      <c r="V3" s="5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2:36" ht="12.75">
      <c r="L4" s="43"/>
      <c r="M4" s="59"/>
      <c r="N4" s="59"/>
      <c r="O4" s="59"/>
      <c r="P4" s="59"/>
      <c r="Q4" s="59"/>
      <c r="R4" s="59"/>
      <c r="S4" s="59"/>
      <c r="T4" s="59"/>
      <c r="U4" s="59"/>
      <c r="V4" s="59"/>
      <c r="W4" s="9"/>
      <c r="X4" s="9"/>
      <c r="Y4" s="9"/>
      <c r="Z4" s="9"/>
      <c r="AA4" s="9"/>
      <c r="AB4" s="9"/>
      <c r="AC4" s="9"/>
      <c r="AD4" s="9"/>
      <c r="AE4" s="9"/>
      <c r="AF4" s="54"/>
      <c r="AG4" s="9"/>
      <c r="AH4" s="9"/>
      <c r="AI4" s="9"/>
      <c r="AJ4" s="9"/>
    </row>
    <row r="5" spans="13:42" ht="15.75">
      <c r="M5" s="59"/>
      <c r="N5" s="59"/>
      <c r="O5" s="43" t="s">
        <v>249</v>
      </c>
      <c r="P5" s="59"/>
      <c r="Q5" s="59"/>
      <c r="R5" s="59"/>
      <c r="S5" s="59"/>
      <c r="T5" s="59"/>
      <c r="U5" s="59"/>
      <c r="V5" s="5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P5" s="50" t="s">
        <v>259</v>
      </c>
    </row>
    <row r="6" spans="3:36" ht="18">
      <c r="C6" s="149" t="s">
        <v>79</v>
      </c>
      <c r="D6" s="149"/>
      <c r="E6" s="149"/>
      <c r="F6" s="149"/>
      <c r="G6" s="149"/>
      <c r="H6" s="149"/>
      <c r="I6" s="149"/>
      <c r="J6" s="149"/>
      <c r="K6" s="50"/>
      <c r="M6" s="59"/>
      <c r="N6" s="59"/>
      <c r="O6" s="59"/>
      <c r="P6" s="59"/>
      <c r="Q6" s="59"/>
      <c r="R6" s="59"/>
      <c r="S6" s="59"/>
      <c r="T6" s="59"/>
      <c r="U6" s="59"/>
      <c r="V6" s="59"/>
      <c r="W6" s="9"/>
      <c r="X6" s="9"/>
      <c r="Y6" s="151"/>
      <c r="Z6" s="151"/>
      <c r="AA6" s="151"/>
      <c r="AB6" s="151"/>
      <c r="AC6" s="151"/>
      <c r="AD6" s="151"/>
      <c r="AE6" s="151"/>
      <c r="AF6" s="151"/>
      <c r="AG6" s="9"/>
      <c r="AH6" s="9"/>
      <c r="AI6" s="9"/>
      <c r="AJ6" s="9"/>
    </row>
    <row r="7" spans="3:36" ht="12.75">
      <c r="C7" s="150" t="s">
        <v>81</v>
      </c>
      <c r="D7" s="150"/>
      <c r="E7" s="150"/>
      <c r="F7" s="150"/>
      <c r="G7" s="150"/>
      <c r="H7" s="150"/>
      <c r="I7" s="150"/>
      <c r="J7" s="150"/>
      <c r="K7" s="51"/>
      <c r="Q7" s="59"/>
      <c r="R7" s="59"/>
      <c r="S7" s="59"/>
      <c r="T7" s="59"/>
      <c r="U7" s="59"/>
      <c r="V7" s="59"/>
      <c r="W7" s="9"/>
      <c r="X7" s="9"/>
      <c r="Y7" s="152"/>
      <c r="Z7" s="152"/>
      <c r="AA7" s="152"/>
      <c r="AB7" s="152"/>
      <c r="AC7" s="152"/>
      <c r="AD7" s="152"/>
      <c r="AE7" s="152"/>
      <c r="AF7" s="152"/>
      <c r="AG7" s="9"/>
      <c r="AH7" s="9"/>
      <c r="AI7" s="9"/>
      <c r="AJ7" s="9"/>
    </row>
    <row r="8" spans="1:45" ht="12.75">
      <c r="A8" t="s">
        <v>3</v>
      </c>
      <c r="C8" s="150" t="s">
        <v>344</v>
      </c>
      <c r="D8" s="150"/>
      <c r="E8" s="150"/>
      <c r="F8" s="150"/>
      <c r="G8" s="150"/>
      <c r="H8" s="150"/>
      <c r="I8" s="150"/>
      <c r="J8" s="150"/>
      <c r="K8" s="51"/>
      <c r="Q8" s="15"/>
      <c r="R8" s="15"/>
      <c r="S8" s="15"/>
      <c r="T8" s="59"/>
      <c r="U8" s="15"/>
      <c r="V8" s="15"/>
      <c r="W8" s="15"/>
      <c r="X8" s="15"/>
      <c r="Y8" s="152"/>
      <c r="Z8" s="152"/>
      <c r="AA8" s="152"/>
      <c r="AB8" s="152"/>
      <c r="AC8" s="152"/>
      <c r="AD8" s="152"/>
      <c r="AE8" s="152"/>
      <c r="AF8" s="152"/>
      <c r="AG8" s="9"/>
      <c r="AH8" s="9"/>
      <c r="AI8" s="9"/>
      <c r="AJ8" s="9"/>
      <c r="AQ8" t="s">
        <v>260</v>
      </c>
      <c r="AR8" t="s">
        <v>109</v>
      </c>
      <c r="AS8" t="s">
        <v>76</v>
      </c>
    </row>
    <row r="9" spans="1:36" ht="12.75">
      <c r="A9" s="5" t="s">
        <v>4</v>
      </c>
      <c r="C9" s="8" t="s">
        <v>5</v>
      </c>
      <c r="D9" s="8"/>
      <c r="E9" s="8"/>
      <c r="F9" s="8"/>
      <c r="G9" s="8"/>
      <c r="H9" s="9"/>
      <c r="I9" s="5" t="s">
        <v>1</v>
      </c>
      <c r="K9" s="5" t="s">
        <v>109</v>
      </c>
      <c r="L9" s="4"/>
      <c r="M9" s="5" t="s">
        <v>76</v>
      </c>
      <c r="O9" s="8" t="s">
        <v>105</v>
      </c>
      <c r="Q9" s="15"/>
      <c r="R9" s="15"/>
      <c r="S9" s="15"/>
      <c r="T9" s="59"/>
      <c r="U9" s="15"/>
      <c r="V9" s="15"/>
      <c r="W9" s="15"/>
      <c r="X9" s="15"/>
      <c r="Y9" s="15"/>
      <c r="Z9" s="15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17:47" ht="12.75">
      <c r="Q10" s="59"/>
      <c r="R10" s="59"/>
      <c r="S10" s="59"/>
      <c r="T10" s="59"/>
      <c r="U10" s="59"/>
      <c r="V10" s="59"/>
      <c r="W10" s="9"/>
      <c r="X10" s="9"/>
      <c r="Y10" s="9"/>
      <c r="Z10" s="9"/>
      <c r="AA10" s="9"/>
      <c r="AB10" s="15"/>
      <c r="AC10" s="9"/>
      <c r="AD10" s="9"/>
      <c r="AE10" s="9"/>
      <c r="AF10" s="9"/>
      <c r="AG10" s="9"/>
      <c r="AH10" s="9"/>
      <c r="AI10" s="9"/>
      <c r="AJ10" s="9"/>
      <c r="AM10" t="s">
        <v>261</v>
      </c>
      <c r="AU10" t="s">
        <v>110</v>
      </c>
    </row>
    <row r="11" spans="1:45" ht="12.75">
      <c r="A11" s="4"/>
      <c r="C11" t="s">
        <v>118</v>
      </c>
      <c r="Q11" s="59"/>
      <c r="R11" s="59"/>
      <c r="S11" s="59"/>
      <c r="T11" s="59"/>
      <c r="U11" s="59"/>
      <c r="V11" s="59"/>
      <c r="W11" s="15"/>
      <c r="X11" s="9"/>
      <c r="Y11" s="9"/>
      <c r="Z11" s="9"/>
      <c r="AA11" s="9"/>
      <c r="AB11" s="15"/>
      <c r="AC11" s="9"/>
      <c r="AD11" s="15"/>
      <c r="AE11" s="9"/>
      <c r="AF11" s="15"/>
      <c r="AG11" s="9"/>
      <c r="AH11" s="9"/>
      <c r="AI11" s="9"/>
      <c r="AJ11" s="9"/>
      <c r="AN11" t="s">
        <v>262</v>
      </c>
      <c r="AQ11" s="63">
        <v>-22333736</v>
      </c>
      <c r="AR11" s="64">
        <v>-7781074</v>
      </c>
      <c r="AS11" s="63">
        <v>-14552662</v>
      </c>
    </row>
    <row r="12" spans="1:45" ht="12.75">
      <c r="A12" s="4">
        <v>1</v>
      </c>
      <c r="D12" t="s">
        <v>648</v>
      </c>
      <c r="I12" s="63">
        <v>-22333736</v>
      </c>
      <c r="J12" s="63"/>
      <c r="K12" s="64">
        <f>-ROUND(7781074,-3)</f>
        <v>-7781000</v>
      </c>
      <c r="L12" s="64"/>
      <c r="M12" s="63">
        <f>-ROUND(14552662,-3)</f>
        <v>-14553000</v>
      </c>
      <c r="O12" t="s">
        <v>110</v>
      </c>
      <c r="Q12" s="68"/>
      <c r="R12" s="59"/>
      <c r="S12" s="59"/>
      <c r="T12" s="59"/>
      <c r="U12" s="59"/>
      <c r="V12" s="59"/>
      <c r="W12" s="15"/>
      <c r="X12" s="9"/>
      <c r="Y12" s="9"/>
      <c r="Z12" s="9"/>
      <c r="AA12" s="9"/>
      <c r="AB12" s="15"/>
      <c r="AC12" s="9"/>
      <c r="AD12" s="15"/>
      <c r="AE12" s="9"/>
      <c r="AF12" s="15"/>
      <c r="AG12" s="9"/>
      <c r="AH12" s="9"/>
      <c r="AI12" s="9"/>
      <c r="AJ12" s="9"/>
      <c r="AM12" t="s">
        <v>263</v>
      </c>
      <c r="AQ12" s="64"/>
      <c r="AR12" s="63"/>
      <c r="AS12" s="64"/>
    </row>
    <row r="13" spans="1:45" ht="12.75">
      <c r="A13" s="4"/>
      <c r="I13" s="64"/>
      <c r="J13" s="64"/>
      <c r="K13" s="63"/>
      <c r="L13" s="63"/>
      <c r="M13" s="64"/>
      <c r="Q13" s="62"/>
      <c r="R13" s="59"/>
      <c r="S13" s="61"/>
      <c r="T13" s="59"/>
      <c r="U13" s="60"/>
      <c r="V13" s="60"/>
      <c r="W13" s="11"/>
      <c r="X13" s="11"/>
      <c r="Y13" s="9"/>
      <c r="Z13" s="9"/>
      <c r="AA13" s="9"/>
      <c r="AB13" s="11"/>
      <c r="AC13" s="9"/>
      <c r="AD13" s="55"/>
      <c r="AE13" s="9"/>
      <c r="AF13" s="38"/>
      <c r="AG13" s="9"/>
      <c r="AH13" s="56"/>
      <c r="AI13" s="9"/>
      <c r="AJ13" s="38"/>
      <c r="AM13" t="s">
        <v>264</v>
      </c>
      <c r="AQ13" s="63">
        <f>+AQ11</f>
        <v>-22333736</v>
      </c>
      <c r="AR13" s="63">
        <v>-456056</v>
      </c>
      <c r="AS13" s="63">
        <v>-21877680</v>
      </c>
    </row>
    <row r="14" spans="1:45" ht="12.75">
      <c r="A14" s="4">
        <v>2</v>
      </c>
      <c r="D14" t="s">
        <v>119</v>
      </c>
      <c r="I14" s="63">
        <f>+I12</f>
        <v>-22333736</v>
      </c>
      <c r="J14" s="63"/>
      <c r="K14" s="63">
        <f>-ROUND(456056,-3)</f>
        <v>-456000</v>
      </c>
      <c r="L14" s="63"/>
      <c r="M14" s="63">
        <f>-ROUND(21877680,-3)</f>
        <v>-21878000</v>
      </c>
      <c r="O14" t="s">
        <v>110</v>
      </c>
      <c r="Q14" s="62"/>
      <c r="R14" s="59"/>
      <c r="S14" s="61"/>
      <c r="T14" s="59"/>
      <c r="U14" s="60"/>
      <c r="V14" s="60"/>
      <c r="W14" s="11"/>
      <c r="X14" s="11"/>
      <c r="Y14" s="9"/>
      <c r="Z14" s="9"/>
      <c r="AA14" s="9"/>
      <c r="AB14" s="11"/>
      <c r="AC14" s="9"/>
      <c r="AD14" s="55"/>
      <c r="AE14" s="9"/>
      <c r="AF14" s="38"/>
      <c r="AG14" s="9"/>
      <c r="AH14" s="56"/>
      <c r="AI14" s="9"/>
      <c r="AJ14" s="38"/>
      <c r="AQ14" s="65"/>
      <c r="AR14" s="66"/>
      <c r="AS14" s="65"/>
    </row>
    <row r="15" spans="1:45" ht="12.75">
      <c r="A15" s="4"/>
      <c r="I15" s="65"/>
      <c r="J15" s="65"/>
      <c r="K15" s="66"/>
      <c r="L15" s="66"/>
      <c r="M15" s="65"/>
      <c r="Q15" s="62"/>
      <c r="R15" s="59"/>
      <c r="S15" s="61"/>
      <c r="T15" s="59"/>
      <c r="U15" s="60"/>
      <c r="V15" s="60"/>
      <c r="W15" s="11"/>
      <c r="X15" s="11"/>
      <c r="Y15" s="9"/>
      <c r="Z15" s="9"/>
      <c r="AA15" s="9"/>
      <c r="AB15" s="11"/>
      <c r="AC15" s="9"/>
      <c r="AD15" s="55"/>
      <c r="AE15" s="9"/>
      <c r="AF15" s="38"/>
      <c r="AG15" s="9"/>
      <c r="AH15" s="56"/>
      <c r="AI15" s="9"/>
      <c r="AJ15" s="38"/>
      <c r="AM15" t="s">
        <v>265</v>
      </c>
      <c r="AQ15" s="66">
        <f>+AQ13-AQ11</f>
        <v>0</v>
      </c>
      <c r="AR15" s="66">
        <f>+AR13-AR11</f>
        <v>7325018</v>
      </c>
      <c r="AS15" s="66">
        <f>+AS13-AS11</f>
        <v>-7325018</v>
      </c>
    </row>
    <row r="16" spans="1:45" ht="12.75">
      <c r="A16" s="4">
        <v>3</v>
      </c>
      <c r="D16" t="s">
        <v>120</v>
      </c>
      <c r="I16" s="66">
        <f>+I14-I12</f>
        <v>0</v>
      </c>
      <c r="J16" s="66"/>
      <c r="K16" s="66">
        <f>+K14-K12</f>
        <v>7325000</v>
      </c>
      <c r="L16" s="66"/>
      <c r="M16" s="66">
        <f>+M14-M12</f>
        <v>-7325000</v>
      </c>
      <c r="O16" t="s">
        <v>110</v>
      </c>
      <c r="Q16" s="62"/>
      <c r="R16" s="59"/>
      <c r="S16" s="61"/>
      <c r="T16" s="59"/>
      <c r="U16" s="60"/>
      <c r="V16" s="60"/>
      <c r="W16" s="11"/>
      <c r="X16" s="11"/>
      <c r="Y16" s="9"/>
      <c r="Z16" s="9"/>
      <c r="AA16" s="9"/>
      <c r="AB16" s="11"/>
      <c r="AC16" s="9"/>
      <c r="AD16" s="55"/>
      <c r="AE16" s="9"/>
      <c r="AF16" s="38"/>
      <c r="AG16" s="9"/>
      <c r="AH16" s="56"/>
      <c r="AI16" s="9"/>
      <c r="AJ16" s="38"/>
      <c r="AQ16" s="63"/>
      <c r="AR16" s="63"/>
      <c r="AS16" s="63"/>
    </row>
    <row r="17" spans="1:45" ht="12.75">
      <c r="A17" s="4"/>
      <c r="I17" s="63"/>
      <c r="J17" s="63"/>
      <c r="K17" s="63"/>
      <c r="L17" s="63"/>
      <c r="M17" s="63"/>
      <c r="Q17" s="62"/>
      <c r="R17" s="59"/>
      <c r="S17" s="61"/>
      <c r="T17" s="59"/>
      <c r="U17" s="60"/>
      <c r="V17" s="60"/>
      <c r="W17" s="11"/>
      <c r="X17" s="11"/>
      <c r="Y17" s="9"/>
      <c r="Z17" s="9"/>
      <c r="AA17" s="9"/>
      <c r="AB17" s="11"/>
      <c r="AC17" s="9"/>
      <c r="AD17" s="55"/>
      <c r="AE17" s="9"/>
      <c r="AF17" s="38"/>
      <c r="AG17" s="9"/>
      <c r="AH17" s="56"/>
      <c r="AI17" s="9"/>
      <c r="AJ17" s="38"/>
      <c r="AM17" t="s">
        <v>266</v>
      </c>
      <c r="AQ17" s="64"/>
      <c r="AR17" s="63"/>
      <c r="AS17" s="64"/>
    </row>
    <row r="18" spans="1:45" ht="12.75">
      <c r="A18" s="4"/>
      <c r="C18" t="s">
        <v>121</v>
      </c>
      <c r="I18" s="64"/>
      <c r="J18" s="64"/>
      <c r="K18" s="63"/>
      <c r="L18" s="63"/>
      <c r="M18" s="64"/>
      <c r="Q18" s="62"/>
      <c r="R18" s="59"/>
      <c r="S18" s="61"/>
      <c r="T18" s="59"/>
      <c r="U18" s="61"/>
      <c r="V18" s="61"/>
      <c r="W18" s="38"/>
      <c r="X18" s="38"/>
      <c r="Y18" s="9"/>
      <c r="Z18" s="9"/>
      <c r="AA18" s="9"/>
      <c r="AB18" s="11"/>
      <c r="AC18" s="9"/>
      <c r="AD18" s="55"/>
      <c r="AE18" s="9"/>
      <c r="AF18" s="38"/>
      <c r="AG18" s="9"/>
      <c r="AH18" s="56"/>
      <c r="AI18" s="9"/>
      <c r="AJ18" s="38"/>
      <c r="AM18" t="s">
        <v>267</v>
      </c>
      <c r="AQ18" s="63"/>
      <c r="AR18" s="63"/>
      <c r="AS18" s="63"/>
    </row>
    <row r="19" spans="1:47" ht="12.75">
      <c r="A19" s="4"/>
      <c r="C19" t="s">
        <v>122</v>
      </c>
      <c r="I19" s="63"/>
      <c r="J19" s="63"/>
      <c r="K19" s="63"/>
      <c r="L19" s="63"/>
      <c r="M19" s="63"/>
      <c r="Q19" s="62"/>
      <c r="R19" s="59"/>
      <c r="S19" s="61"/>
      <c r="T19" s="59"/>
      <c r="U19" s="60"/>
      <c r="V19" s="60"/>
      <c r="W19" s="11"/>
      <c r="X19" s="11"/>
      <c r="Y19" s="9"/>
      <c r="Z19" s="9"/>
      <c r="AA19" s="9"/>
      <c r="AB19" s="11"/>
      <c r="AC19" s="9"/>
      <c r="AD19" s="55"/>
      <c r="AE19" s="9"/>
      <c r="AF19" s="38"/>
      <c r="AG19" s="9"/>
      <c r="AH19" s="56"/>
      <c r="AI19" s="9"/>
      <c r="AJ19" s="38"/>
      <c r="AM19" t="s">
        <v>268</v>
      </c>
      <c r="AP19">
        <v>0.03143</v>
      </c>
      <c r="AQ19" s="63"/>
      <c r="AR19" s="63"/>
      <c r="AS19" s="63"/>
      <c r="AU19" t="s">
        <v>110</v>
      </c>
    </row>
    <row r="20" spans="1:45" ht="12.75">
      <c r="A20" s="4">
        <v>4</v>
      </c>
      <c r="D20" t="s">
        <v>123</v>
      </c>
      <c r="G20" s="6">
        <v>0.03143</v>
      </c>
      <c r="I20" s="63"/>
      <c r="J20" s="63"/>
      <c r="K20" s="63"/>
      <c r="L20" s="63"/>
      <c r="M20" s="63"/>
      <c r="O20" t="s">
        <v>110</v>
      </c>
      <c r="Q20" s="62"/>
      <c r="R20" s="59"/>
      <c r="S20" s="61"/>
      <c r="T20" s="59"/>
      <c r="U20" s="60"/>
      <c r="V20" s="60"/>
      <c r="W20" s="11"/>
      <c r="X20" s="11"/>
      <c r="Y20" s="9"/>
      <c r="Z20" s="9"/>
      <c r="AA20" s="9"/>
      <c r="AB20" s="11"/>
      <c r="AC20" s="9"/>
      <c r="AD20" s="55"/>
      <c r="AE20" s="9"/>
      <c r="AF20" s="38"/>
      <c r="AG20" s="9"/>
      <c r="AH20" s="56"/>
      <c r="AI20" s="9"/>
      <c r="AJ20" s="38"/>
      <c r="AM20" t="s">
        <v>111</v>
      </c>
      <c r="AP20">
        <v>6</v>
      </c>
      <c r="AQ20" s="63"/>
      <c r="AR20" s="63"/>
      <c r="AS20" s="63"/>
    </row>
    <row r="21" spans="1:45" ht="12.75">
      <c r="A21" s="4">
        <v>5</v>
      </c>
      <c r="C21" t="s">
        <v>111</v>
      </c>
      <c r="D21" t="s">
        <v>124</v>
      </c>
      <c r="G21" s="8">
        <v>6</v>
      </c>
      <c r="I21" s="63"/>
      <c r="J21" s="63"/>
      <c r="K21" s="63"/>
      <c r="L21" s="63"/>
      <c r="M21" s="63"/>
      <c r="O21" t="s">
        <v>110</v>
      </c>
      <c r="Q21" s="62"/>
      <c r="R21" s="59"/>
      <c r="S21" s="61"/>
      <c r="T21" s="59"/>
      <c r="U21" s="60"/>
      <c r="V21" s="60"/>
      <c r="W21" s="11"/>
      <c r="X21" s="11"/>
      <c r="Y21" s="9"/>
      <c r="Z21" s="9"/>
      <c r="AA21" s="9"/>
      <c r="AB21" s="11"/>
      <c r="AC21" s="9"/>
      <c r="AD21" s="55"/>
      <c r="AE21" s="9"/>
      <c r="AF21" s="38"/>
      <c r="AG21" s="9"/>
      <c r="AH21" s="56"/>
      <c r="AI21" s="9"/>
      <c r="AJ21" s="38"/>
      <c r="AM21" t="s">
        <v>649</v>
      </c>
      <c r="AP21">
        <f>+AP20*AP19</f>
        <v>0.18858</v>
      </c>
      <c r="AQ21" s="63">
        <f>+AP21*AQ11</f>
        <v>-4211695.93488</v>
      </c>
      <c r="AR21" s="63"/>
      <c r="AS21" s="63"/>
    </row>
    <row r="22" spans="1:45" ht="12.75">
      <c r="A22" s="4">
        <v>6</v>
      </c>
      <c r="D22" t="s">
        <v>128</v>
      </c>
      <c r="G22" s="6">
        <f>+G21*G20</f>
        <v>0.18858</v>
      </c>
      <c r="J22" s="63"/>
      <c r="K22" s="63"/>
      <c r="L22" s="63"/>
      <c r="M22" s="63"/>
      <c r="O22" t="s">
        <v>301</v>
      </c>
      <c r="Q22" s="62"/>
      <c r="R22" s="59"/>
      <c r="S22" s="61"/>
      <c r="T22" s="59"/>
      <c r="U22" s="60"/>
      <c r="V22" s="60"/>
      <c r="W22" s="11"/>
      <c r="X22" s="11"/>
      <c r="Y22" s="9"/>
      <c r="Z22" s="9"/>
      <c r="AA22" s="9"/>
      <c r="AB22" s="11"/>
      <c r="AC22" s="9"/>
      <c r="AD22" s="55"/>
      <c r="AE22" s="9"/>
      <c r="AF22" s="38"/>
      <c r="AG22" s="9"/>
      <c r="AH22" s="56"/>
      <c r="AI22" s="9"/>
      <c r="AJ22" s="38"/>
      <c r="AM22" t="s">
        <v>112</v>
      </c>
      <c r="AP22">
        <v>14</v>
      </c>
      <c r="AQ22" s="63"/>
      <c r="AR22" s="63"/>
      <c r="AS22" s="63"/>
    </row>
    <row r="23" spans="1:47" ht="12.75">
      <c r="A23" s="4"/>
      <c r="G23" s="6"/>
      <c r="I23" s="63"/>
      <c r="J23" s="63"/>
      <c r="K23" s="63"/>
      <c r="L23" s="63"/>
      <c r="M23" s="63"/>
      <c r="Q23" s="62"/>
      <c r="R23" s="59"/>
      <c r="S23" s="61"/>
      <c r="T23" s="59"/>
      <c r="U23" s="60"/>
      <c r="V23" s="60"/>
      <c r="W23" s="11"/>
      <c r="X23" s="11"/>
      <c r="Y23" s="9"/>
      <c r="Z23" s="9"/>
      <c r="AA23" s="9"/>
      <c r="AB23" s="11"/>
      <c r="AC23" s="9"/>
      <c r="AD23" s="55"/>
      <c r="AE23" s="9"/>
      <c r="AF23" s="38"/>
      <c r="AG23" s="9"/>
      <c r="AH23" s="56"/>
      <c r="AI23" s="9"/>
      <c r="AJ23" s="38"/>
      <c r="AM23" t="s">
        <v>269</v>
      </c>
      <c r="AP23">
        <v>0.03013</v>
      </c>
      <c r="AQ23" s="63"/>
      <c r="AR23" s="63"/>
      <c r="AS23" s="63"/>
      <c r="AU23" t="s">
        <v>110</v>
      </c>
    </row>
    <row r="24" spans="1:45" ht="12.75">
      <c r="A24" s="4">
        <v>7</v>
      </c>
      <c r="D24" t="s">
        <v>651</v>
      </c>
      <c r="G24" s="6"/>
      <c r="I24" s="63">
        <f>+G22*I12</f>
        <v>-4211695.93488</v>
      </c>
      <c r="J24" s="63"/>
      <c r="K24" s="63"/>
      <c r="L24" s="63"/>
      <c r="M24" s="63"/>
      <c r="O24" t="s">
        <v>302</v>
      </c>
      <c r="Q24" s="62"/>
      <c r="R24" s="59"/>
      <c r="S24" s="61"/>
      <c r="T24" s="59"/>
      <c r="U24" s="60"/>
      <c r="V24" s="60"/>
      <c r="W24" s="11"/>
      <c r="X24" s="11"/>
      <c r="Y24" s="9"/>
      <c r="Z24" s="9"/>
      <c r="AA24" s="9"/>
      <c r="AB24" s="11"/>
      <c r="AC24" s="9"/>
      <c r="AD24" s="55"/>
      <c r="AE24" s="9"/>
      <c r="AF24" s="38"/>
      <c r="AG24" s="9"/>
      <c r="AH24" s="56"/>
      <c r="AI24" s="9"/>
      <c r="AJ24" s="38"/>
      <c r="AM24" t="s">
        <v>270</v>
      </c>
      <c r="AP24">
        <f>+AP23*AP22</f>
        <v>0.42182000000000003</v>
      </c>
      <c r="AQ24" s="63">
        <f>+AQ13*AP24</f>
        <v>-9420816.519520001</v>
      </c>
      <c r="AR24" s="63"/>
      <c r="AS24" s="63"/>
    </row>
    <row r="25" spans="1:45" ht="12.75">
      <c r="A25" s="4"/>
      <c r="G25" s="6"/>
      <c r="I25" s="63"/>
      <c r="J25" s="63"/>
      <c r="K25" s="63"/>
      <c r="L25" s="63"/>
      <c r="M25" s="63"/>
      <c r="Q25" s="62"/>
      <c r="R25" s="59"/>
      <c r="S25" s="61"/>
      <c r="T25" s="59"/>
      <c r="U25" s="60"/>
      <c r="V25" s="60"/>
      <c r="W25" s="11"/>
      <c r="X25" s="11"/>
      <c r="Y25" s="9"/>
      <c r="Z25" s="9"/>
      <c r="AA25" s="9"/>
      <c r="AB25" s="11"/>
      <c r="AC25" s="9"/>
      <c r="AD25" s="55"/>
      <c r="AE25" s="9"/>
      <c r="AF25" s="38"/>
      <c r="AG25" s="9"/>
      <c r="AH25" s="56"/>
      <c r="AI25" s="9"/>
      <c r="AJ25" s="38"/>
      <c r="AM25" t="s">
        <v>271</v>
      </c>
      <c r="AQ25" s="63">
        <f>+AP23*AQ13</f>
        <v>-672915.46568</v>
      </c>
      <c r="AR25" s="63"/>
      <c r="AS25" s="63"/>
    </row>
    <row r="26" spans="1:45" ht="12.75">
      <c r="A26" s="4"/>
      <c r="C26" t="s">
        <v>125</v>
      </c>
      <c r="G26" s="6"/>
      <c r="I26" s="63"/>
      <c r="J26" s="63"/>
      <c r="K26" s="63"/>
      <c r="L26" s="63"/>
      <c r="M26" s="63"/>
      <c r="Q26" s="62"/>
      <c r="R26" s="59"/>
      <c r="S26" s="61"/>
      <c r="T26" s="59"/>
      <c r="U26" s="60"/>
      <c r="V26" s="60"/>
      <c r="W26" s="11"/>
      <c r="X26" s="11"/>
      <c r="Y26" s="9"/>
      <c r="Z26" s="9"/>
      <c r="AA26" s="9"/>
      <c r="AB26" s="11"/>
      <c r="AC26" s="9"/>
      <c r="AD26" s="55"/>
      <c r="AE26" s="9"/>
      <c r="AF26" s="38"/>
      <c r="AG26" s="9"/>
      <c r="AH26" s="56"/>
      <c r="AI26" s="9"/>
      <c r="AJ26" s="38"/>
      <c r="AQ26" s="63"/>
      <c r="AR26" s="63"/>
      <c r="AS26" s="63"/>
    </row>
    <row r="27" spans="1:45" ht="12.75">
      <c r="A27" s="4">
        <v>8</v>
      </c>
      <c r="C27" t="s">
        <v>112</v>
      </c>
      <c r="G27">
        <v>14</v>
      </c>
      <c r="I27" s="63"/>
      <c r="J27" s="63"/>
      <c r="K27" s="63"/>
      <c r="L27" s="63"/>
      <c r="M27" s="63"/>
      <c r="O27" t="s">
        <v>110</v>
      </c>
      <c r="Q27" s="62"/>
      <c r="R27" s="59"/>
      <c r="S27" s="59"/>
      <c r="T27" s="59"/>
      <c r="U27" s="59"/>
      <c r="V27" s="59"/>
      <c r="W27" s="9"/>
      <c r="X27" s="9"/>
      <c r="Y27" s="9"/>
      <c r="Z27" s="9"/>
      <c r="AA27" s="9"/>
      <c r="AB27" s="11"/>
      <c r="AC27" s="9"/>
      <c r="AD27" s="55"/>
      <c r="AE27" s="9"/>
      <c r="AF27" s="9"/>
      <c r="AG27" s="9"/>
      <c r="AH27" s="9"/>
      <c r="AI27" s="9"/>
      <c r="AJ27" s="38"/>
      <c r="AM27" t="s">
        <v>113</v>
      </c>
      <c r="AQ27" s="63">
        <f>+AQ21+AQ24</f>
        <v>-13632512.454400001</v>
      </c>
      <c r="AR27" s="63"/>
      <c r="AS27" s="63"/>
    </row>
    <row r="28" spans="1:45" ht="12.75">
      <c r="A28" s="4">
        <v>9</v>
      </c>
      <c r="C28" t="s">
        <v>126</v>
      </c>
      <c r="G28" s="36">
        <v>0.03013</v>
      </c>
      <c r="I28" s="63"/>
      <c r="J28" s="63"/>
      <c r="K28" s="63"/>
      <c r="L28" s="63"/>
      <c r="M28" s="63"/>
      <c r="O28" t="s">
        <v>110</v>
      </c>
      <c r="Q28" s="62"/>
      <c r="R28" s="59"/>
      <c r="S28" s="61"/>
      <c r="T28" s="59"/>
      <c r="U28" s="59"/>
      <c r="V28" s="59"/>
      <c r="W28" s="57"/>
      <c r="X28" s="9"/>
      <c r="Y28" s="9"/>
      <c r="Z28" s="9"/>
      <c r="AA28" s="9"/>
      <c r="AB28" s="38"/>
      <c r="AC28" s="9"/>
      <c r="AD28" s="55"/>
      <c r="AE28" s="9"/>
      <c r="AF28" s="38"/>
      <c r="AG28" s="9"/>
      <c r="AH28" s="56"/>
      <c r="AI28" s="9"/>
      <c r="AJ28" s="38"/>
      <c r="AM28" t="s">
        <v>114</v>
      </c>
      <c r="AQ28" s="63">
        <f>+AQ27+AQ25</f>
        <v>-14305427.92008</v>
      </c>
      <c r="AR28" s="63"/>
      <c r="AS28" s="63"/>
    </row>
    <row r="29" spans="1:45" ht="12.75">
      <c r="A29" s="4">
        <v>10</v>
      </c>
      <c r="C29" t="s">
        <v>127</v>
      </c>
      <c r="G29">
        <f>+G28*G27</f>
        <v>0.42182000000000003</v>
      </c>
      <c r="J29" s="63"/>
      <c r="K29" s="63"/>
      <c r="L29" s="63"/>
      <c r="M29" s="63"/>
      <c r="Q29" s="62"/>
      <c r="R29" s="59"/>
      <c r="S29" s="59"/>
      <c r="T29" s="59"/>
      <c r="U29" s="59"/>
      <c r="V29" s="59"/>
      <c r="W29" s="9"/>
      <c r="X29" s="9"/>
      <c r="Y29" s="9"/>
      <c r="Z29" s="9"/>
      <c r="AA29" s="9"/>
      <c r="AB29" s="11"/>
      <c r="AC29" s="9"/>
      <c r="AD29" s="55"/>
      <c r="AE29" s="9"/>
      <c r="AF29" s="9"/>
      <c r="AG29" s="9"/>
      <c r="AH29" s="9"/>
      <c r="AI29" s="9"/>
      <c r="AJ29" s="38"/>
      <c r="AR29" s="63"/>
      <c r="AS29" s="63"/>
    </row>
    <row r="30" spans="1:45" ht="12.75">
      <c r="A30" s="4"/>
      <c r="I30" s="63"/>
      <c r="J30" s="63"/>
      <c r="K30" s="63"/>
      <c r="L30" s="63"/>
      <c r="M30" s="63"/>
      <c r="Q30" s="62"/>
      <c r="R30" s="59"/>
      <c r="S30" s="59"/>
      <c r="T30" s="59"/>
      <c r="U30" s="59"/>
      <c r="V30" s="59"/>
      <c r="W30" s="9"/>
      <c r="X30" s="9"/>
      <c r="Y30" s="9"/>
      <c r="Z30" s="9"/>
      <c r="AA30" s="9"/>
      <c r="AB30" s="11"/>
      <c r="AC30" s="9"/>
      <c r="AD30" s="55"/>
      <c r="AE30" s="9"/>
      <c r="AF30" s="9"/>
      <c r="AG30" s="9"/>
      <c r="AH30" s="9"/>
      <c r="AI30" s="9"/>
      <c r="AJ30" s="38"/>
      <c r="AM30" t="s">
        <v>272</v>
      </c>
      <c r="AQ30">
        <f>+(AQ27+AQ28)/2</f>
        <v>-13968970.18724</v>
      </c>
      <c r="AR30" s="63"/>
      <c r="AS30" s="63"/>
    </row>
    <row r="31" spans="1:45" ht="12.75">
      <c r="A31" s="4">
        <v>11</v>
      </c>
      <c r="D31" t="s">
        <v>129</v>
      </c>
      <c r="I31" s="63">
        <f>+I14*G29</f>
        <v>-9420816.519520001</v>
      </c>
      <c r="J31" s="63"/>
      <c r="K31" s="63"/>
      <c r="L31" s="63"/>
      <c r="M31" s="63"/>
      <c r="O31" t="s">
        <v>303</v>
      </c>
      <c r="Q31" s="62"/>
      <c r="R31" s="59"/>
      <c r="S31" s="59"/>
      <c r="T31" s="59"/>
      <c r="U31" s="59"/>
      <c r="V31" s="59"/>
      <c r="W31" s="9"/>
      <c r="X31" s="9"/>
      <c r="Y31" s="9"/>
      <c r="Z31" s="9"/>
      <c r="AA31" s="9"/>
      <c r="AB31" s="11"/>
      <c r="AC31" s="9"/>
      <c r="AD31" s="55"/>
      <c r="AE31" s="9"/>
      <c r="AF31" s="9"/>
      <c r="AG31" s="9"/>
      <c r="AH31" s="9"/>
      <c r="AI31" s="9"/>
      <c r="AJ31" s="38"/>
      <c r="AM31" t="s">
        <v>115</v>
      </c>
      <c r="AR31" s="63">
        <f>+AQ30*0.3484</f>
        <v>-4866789.213234416</v>
      </c>
      <c r="AS31" s="63">
        <f>0.6516*AQ30</f>
        <v>-9102180.974005584</v>
      </c>
    </row>
    <row r="32" spans="1:45" ht="12.75">
      <c r="A32" s="4"/>
      <c r="I32" s="63"/>
      <c r="J32" s="63"/>
      <c r="K32" s="63"/>
      <c r="L32" s="63"/>
      <c r="M32" s="63"/>
      <c r="Q32" s="62"/>
      <c r="R32" s="59"/>
      <c r="S32" s="59"/>
      <c r="T32" s="59"/>
      <c r="U32" s="59"/>
      <c r="V32" s="59"/>
      <c r="W32" s="9"/>
      <c r="X32" s="9"/>
      <c r="Y32" s="9"/>
      <c r="Z32" s="9"/>
      <c r="AA32" s="9"/>
      <c r="AB32" s="11"/>
      <c r="AC32" s="9"/>
      <c r="AD32" s="55"/>
      <c r="AE32" s="9"/>
      <c r="AF32" s="9"/>
      <c r="AG32" s="9"/>
      <c r="AH32" s="9"/>
      <c r="AI32" s="9"/>
      <c r="AJ32" s="38"/>
      <c r="AM32" t="s">
        <v>116</v>
      </c>
      <c r="AR32" s="63">
        <f>+AR13/AQ13*AQ30</f>
        <v>-285247.06604</v>
      </c>
      <c r="AS32" s="63">
        <f>+AS13/AQ13*AQ30</f>
        <v>-13683723.1212</v>
      </c>
    </row>
    <row r="33" spans="1:45" ht="12.75">
      <c r="A33" s="4">
        <v>12</v>
      </c>
      <c r="C33" t="s">
        <v>130</v>
      </c>
      <c r="I33" s="63">
        <f>+G28*I14</f>
        <v>-672915.46568</v>
      </c>
      <c r="J33" s="63"/>
      <c r="K33" s="63"/>
      <c r="L33" s="63"/>
      <c r="M33" s="63"/>
      <c r="O33" t="s">
        <v>618</v>
      </c>
      <c r="Q33" s="62"/>
      <c r="R33" s="59"/>
      <c r="S33" s="61"/>
      <c r="T33" s="59"/>
      <c r="U33" s="61"/>
      <c r="V33" s="61"/>
      <c r="W33" s="38"/>
      <c r="X33" s="38"/>
      <c r="Y33" s="9"/>
      <c r="Z33" s="9"/>
      <c r="AA33" s="9"/>
      <c r="AB33" s="11"/>
      <c r="AC33" s="9"/>
      <c r="AD33" s="55"/>
      <c r="AE33" s="9"/>
      <c r="AF33" s="38"/>
      <c r="AG33" s="9"/>
      <c r="AH33" s="56"/>
      <c r="AI33" s="9"/>
      <c r="AJ33" s="38"/>
      <c r="AR33" s="63"/>
      <c r="AS33" s="63"/>
    </row>
    <row r="34" spans="1:45" ht="12.75">
      <c r="A34" s="4"/>
      <c r="I34" s="63"/>
      <c r="J34" s="63"/>
      <c r="K34" s="63"/>
      <c r="L34" s="63"/>
      <c r="M34" s="63"/>
      <c r="Q34" s="62"/>
      <c r="R34" s="59"/>
      <c r="S34" s="59"/>
      <c r="T34" s="59"/>
      <c r="U34" s="59"/>
      <c r="V34" s="59"/>
      <c r="W34" s="9"/>
      <c r="X34" s="9"/>
      <c r="Y34" s="9"/>
      <c r="Z34" s="9"/>
      <c r="AA34" s="9"/>
      <c r="AB34" s="11"/>
      <c r="AC34" s="9"/>
      <c r="AD34" s="55"/>
      <c r="AE34" s="9"/>
      <c r="AF34" s="9"/>
      <c r="AG34" s="9"/>
      <c r="AH34" s="9"/>
      <c r="AI34" s="9"/>
      <c r="AJ34" s="38"/>
      <c r="AM34" t="s">
        <v>273</v>
      </c>
      <c r="AR34" s="63">
        <f>+AR32-AR31</f>
        <v>4581542.147194416</v>
      </c>
      <c r="AS34" s="63">
        <f>+AS32-AS31</f>
        <v>-4581542.147194417</v>
      </c>
    </row>
    <row r="35" spans="1:36" ht="12.75">
      <c r="A35" s="4">
        <v>13</v>
      </c>
      <c r="C35" t="s">
        <v>113</v>
      </c>
      <c r="I35" s="63">
        <f>+I24+I31</f>
        <v>-13632512.454400001</v>
      </c>
      <c r="J35" s="63"/>
      <c r="K35" s="63"/>
      <c r="L35" s="63"/>
      <c r="M35" s="63"/>
      <c r="O35" t="s">
        <v>304</v>
      </c>
      <c r="Q35" s="62"/>
      <c r="R35" s="59"/>
      <c r="S35" s="59"/>
      <c r="T35" s="59"/>
      <c r="U35" s="59"/>
      <c r="V35" s="59"/>
      <c r="W35" s="9"/>
      <c r="X35" s="9"/>
      <c r="Y35" s="9"/>
      <c r="Z35" s="9"/>
      <c r="AA35" s="9"/>
      <c r="AB35" s="11"/>
      <c r="AC35" s="9"/>
      <c r="AD35" s="55"/>
      <c r="AE35" s="9"/>
      <c r="AF35" s="9"/>
      <c r="AG35" s="9"/>
      <c r="AH35" s="9"/>
      <c r="AI35" s="9"/>
      <c r="AJ35" s="38"/>
    </row>
    <row r="36" spans="1:49" ht="12.75">
      <c r="A36" s="4">
        <v>14</v>
      </c>
      <c r="C36" t="s">
        <v>114</v>
      </c>
      <c r="I36" s="67">
        <f>+I35+I33</f>
        <v>-14305427.92008</v>
      </c>
      <c r="J36" s="63"/>
      <c r="K36" s="63"/>
      <c r="L36" s="63"/>
      <c r="M36" s="63"/>
      <c r="O36" t="s">
        <v>305</v>
      </c>
      <c r="Q36" s="62"/>
      <c r="R36" s="59"/>
      <c r="S36" s="61"/>
      <c r="T36" s="59"/>
      <c r="U36" s="59"/>
      <c r="V36" s="59"/>
      <c r="W36" s="9"/>
      <c r="X36" s="9"/>
      <c r="Y36" s="9"/>
      <c r="Z36" s="9"/>
      <c r="AA36" s="9"/>
      <c r="AB36" s="11"/>
      <c r="AC36" s="9"/>
      <c r="AD36" s="55"/>
      <c r="AE36" s="9"/>
      <c r="AF36" s="38"/>
      <c r="AG36" s="9"/>
      <c r="AH36" s="56"/>
      <c r="AI36" s="9"/>
      <c r="AJ36" s="38"/>
      <c r="AM36" t="s">
        <v>274</v>
      </c>
      <c r="AS36" s="63">
        <f>+AS15-AS34</f>
        <v>-2743475.852805583</v>
      </c>
      <c r="AW36" s="63"/>
    </row>
    <row r="37" spans="1:36" ht="12.75">
      <c r="A37" s="4"/>
      <c r="K37" s="63"/>
      <c r="L37" s="63"/>
      <c r="M37" s="63"/>
      <c r="Q37" s="62"/>
      <c r="R37" s="59"/>
      <c r="S37" s="61"/>
      <c r="T37" s="59"/>
      <c r="U37" s="59"/>
      <c r="V37" s="59"/>
      <c r="W37" s="9"/>
      <c r="X37" s="9"/>
      <c r="Y37" s="9"/>
      <c r="Z37" s="9"/>
      <c r="AA37" s="9"/>
      <c r="AB37" s="11"/>
      <c r="AC37" s="9"/>
      <c r="AD37" s="55"/>
      <c r="AE37" s="9"/>
      <c r="AF37" s="38"/>
      <c r="AG37" s="9"/>
      <c r="AH37" s="56"/>
      <c r="AI37" s="9"/>
      <c r="AJ37" s="38"/>
    </row>
    <row r="38" spans="1:45" ht="12.75">
      <c r="A38" s="4">
        <v>15</v>
      </c>
      <c r="C38" t="s">
        <v>131</v>
      </c>
      <c r="I38" s="1">
        <f>+(I35+I36)/2</f>
        <v>-13968970.18724</v>
      </c>
      <c r="K38" s="63"/>
      <c r="L38" s="63"/>
      <c r="M38" s="63"/>
      <c r="O38" t="s">
        <v>306</v>
      </c>
      <c r="Q38" s="62"/>
      <c r="R38" s="59"/>
      <c r="S38" s="59"/>
      <c r="T38" s="59"/>
      <c r="U38" s="59"/>
      <c r="V38" s="59"/>
      <c r="W38" s="9"/>
      <c r="X38" s="9"/>
      <c r="Y38" s="9"/>
      <c r="Z38" s="9"/>
      <c r="AA38" s="9"/>
      <c r="AB38" s="11"/>
      <c r="AC38" s="9"/>
      <c r="AD38" s="55"/>
      <c r="AE38" s="9"/>
      <c r="AF38" s="9"/>
      <c r="AG38" s="9"/>
      <c r="AH38" s="9"/>
      <c r="AI38" s="9"/>
      <c r="AJ38" s="38"/>
      <c r="AM38" t="s">
        <v>117</v>
      </c>
      <c r="AS38" s="3">
        <v>-2302000</v>
      </c>
    </row>
    <row r="39" spans="1:36" ht="12.75">
      <c r="A39" s="4"/>
      <c r="I39" s="1"/>
      <c r="K39" s="63"/>
      <c r="L39" s="63"/>
      <c r="M39" s="63"/>
      <c r="Q39" s="62"/>
      <c r="R39" s="59"/>
      <c r="S39" s="59"/>
      <c r="T39" s="59"/>
      <c r="U39" s="59"/>
      <c r="V39" s="59"/>
      <c r="W39" s="9"/>
      <c r="X39" s="9"/>
      <c r="Y39" s="9"/>
      <c r="Z39" s="9"/>
      <c r="AA39" s="9"/>
      <c r="AB39" s="11"/>
      <c r="AC39" s="9"/>
      <c r="AD39" s="55"/>
      <c r="AE39" s="9"/>
      <c r="AF39" s="9"/>
      <c r="AG39" s="9"/>
      <c r="AH39" s="9"/>
      <c r="AI39" s="9"/>
      <c r="AJ39" s="38"/>
    </row>
    <row r="40" spans="1:45" ht="12.75">
      <c r="A40" s="4">
        <v>16</v>
      </c>
      <c r="C40" t="s">
        <v>115</v>
      </c>
      <c r="K40" s="63">
        <f>ROUND(+I38*K12/I12,-3)</f>
        <v>-4867000</v>
      </c>
      <c r="L40" s="63"/>
      <c r="M40" s="63">
        <f>ROUND(+I38*M12/I12,-3)</f>
        <v>-9102000</v>
      </c>
      <c r="O40" t="s">
        <v>619</v>
      </c>
      <c r="Q40" s="62"/>
      <c r="R40" s="59"/>
      <c r="S40" s="59"/>
      <c r="T40" s="59"/>
      <c r="U40" s="59"/>
      <c r="V40" s="59"/>
      <c r="W40" s="9"/>
      <c r="X40" s="9"/>
      <c r="Y40" s="9"/>
      <c r="Z40" s="9"/>
      <c r="AA40" s="9"/>
      <c r="AB40" s="11"/>
      <c r="AC40" s="9"/>
      <c r="AD40" s="55"/>
      <c r="AE40" s="9"/>
      <c r="AF40" s="9"/>
      <c r="AG40" s="9"/>
      <c r="AH40" s="9"/>
      <c r="AI40" s="9"/>
      <c r="AJ40" s="38"/>
      <c r="AM40" t="s">
        <v>275</v>
      </c>
      <c r="AS40" s="63">
        <f>ROUND(AS36-AS38,-3)</f>
        <v>-441000</v>
      </c>
    </row>
    <row r="41" spans="1:36" ht="12.75">
      <c r="A41" s="4">
        <v>17</v>
      </c>
      <c r="C41" t="s">
        <v>116</v>
      </c>
      <c r="K41" s="67">
        <f>ROUND(+K14/I14*I38,-3)</f>
        <v>-285000</v>
      </c>
      <c r="L41" s="63"/>
      <c r="M41" s="67">
        <f>+ROUND(M14/I14*I38,-3)</f>
        <v>-13684000</v>
      </c>
      <c r="O41" t="s">
        <v>307</v>
      </c>
      <c r="Q41" s="62"/>
      <c r="R41" s="59"/>
      <c r="S41" s="61"/>
      <c r="T41" s="59"/>
      <c r="U41" s="59"/>
      <c r="V41" s="59"/>
      <c r="W41" s="9"/>
      <c r="X41" s="9"/>
      <c r="Y41" s="9"/>
      <c r="Z41" s="9"/>
      <c r="AA41" s="9"/>
      <c r="AB41" s="57"/>
      <c r="AC41" s="9"/>
      <c r="AD41" s="55"/>
      <c r="AE41" s="9"/>
      <c r="AF41" s="38"/>
      <c r="AG41" s="9"/>
      <c r="AH41" s="56"/>
      <c r="AI41" s="9"/>
      <c r="AJ41" s="38"/>
    </row>
    <row r="42" spans="1:45" ht="12.75">
      <c r="A42" s="4"/>
      <c r="K42" s="63"/>
      <c r="L42" s="63"/>
      <c r="M42" s="63"/>
      <c r="Q42" s="62"/>
      <c r="R42" s="59"/>
      <c r="S42" s="61"/>
      <c r="T42" s="59"/>
      <c r="U42" s="59"/>
      <c r="V42" s="59"/>
      <c r="W42" s="9"/>
      <c r="X42" s="9"/>
      <c r="Y42" s="9"/>
      <c r="Z42" s="9"/>
      <c r="AA42" s="9"/>
      <c r="AB42" s="11"/>
      <c r="AC42" s="9"/>
      <c r="AD42" s="55"/>
      <c r="AE42" s="9"/>
      <c r="AF42" s="38"/>
      <c r="AG42" s="9"/>
      <c r="AH42" s="56"/>
      <c r="AI42" s="9"/>
      <c r="AJ42" s="38"/>
      <c r="AM42" t="s">
        <v>276</v>
      </c>
      <c r="AS42" s="91">
        <v>0</v>
      </c>
    </row>
    <row r="43" spans="1:45" ht="12.75">
      <c r="A43" s="4">
        <v>18</v>
      </c>
      <c r="C43" t="s">
        <v>132</v>
      </c>
      <c r="K43" s="63">
        <f>+K41-K40</f>
        <v>4582000</v>
      </c>
      <c r="L43" s="63"/>
      <c r="M43" s="63">
        <f>+M41-M40</f>
        <v>-4582000</v>
      </c>
      <c r="O43" t="s">
        <v>308</v>
      </c>
      <c r="Q43" s="62"/>
      <c r="R43" s="59"/>
      <c r="S43" s="59"/>
      <c r="T43" s="59"/>
      <c r="U43" s="59"/>
      <c r="V43" s="59"/>
      <c r="W43" s="9"/>
      <c r="X43" s="9"/>
      <c r="Y43" s="9"/>
      <c r="Z43" s="9"/>
      <c r="AA43" s="9"/>
      <c r="AB43" s="11"/>
      <c r="AC43" s="9"/>
      <c r="AD43" s="55"/>
      <c r="AE43" s="9"/>
      <c r="AF43" s="9"/>
      <c r="AG43" s="9"/>
      <c r="AH43" s="9"/>
      <c r="AI43" s="9"/>
      <c r="AJ43" s="38"/>
      <c r="AS43" s="63"/>
    </row>
    <row r="44" spans="1:45" ht="12.75">
      <c r="A44" s="4"/>
      <c r="Q44" s="62"/>
      <c r="R44" s="59"/>
      <c r="S44" s="61"/>
      <c r="T44" s="59"/>
      <c r="U44" s="59"/>
      <c r="V44" s="59"/>
      <c r="W44" s="9"/>
      <c r="X44" s="9"/>
      <c r="Y44" s="9"/>
      <c r="Z44" s="9"/>
      <c r="AA44" s="9"/>
      <c r="AB44" s="11"/>
      <c r="AC44" s="9"/>
      <c r="AD44" s="55"/>
      <c r="AE44" s="9"/>
      <c r="AF44" s="38"/>
      <c r="AG44" s="9"/>
      <c r="AH44" s="56"/>
      <c r="AI44" s="9"/>
      <c r="AJ44" s="38"/>
      <c r="AM44" t="s">
        <v>277</v>
      </c>
      <c r="AS44" s="63">
        <f>+AS40*AS42</f>
        <v>0</v>
      </c>
    </row>
    <row r="45" spans="1:45" ht="12.75">
      <c r="A45" s="4">
        <v>19</v>
      </c>
      <c r="C45" t="s">
        <v>133</v>
      </c>
      <c r="M45" s="63">
        <f>+M16-M43</f>
        <v>-2743000</v>
      </c>
      <c r="O45" t="s">
        <v>309</v>
      </c>
      <c r="Q45" s="59"/>
      <c r="R45" s="59"/>
      <c r="S45" s="59"/>
      <c r="T45" s="59"/>
      <c r="U45" s="59"/>
      <c r="V45" s="59"/>
      <c r="W45" s="9"/>
      <c r="X45" s="9"/>
      <c r="Y45" s="9"/>
      <c r="Z45" s="9"/>
      <c r="AA45" s="9"/>
      <c r="AB45" s="11"/>
      <c r="AC45" s="9"/>
      <c r="AD45" s="9"/>
      <c r="AE45" s="9"/>
      <c r="AF45" s="9"/>
      <c r="AG45" s="9"/>
      <c r="AH45" s="9"/>
      <c r="AI45" s="9"/>
      <c r="AJ45" s="38"/>
      <c r="AS45" s="66"/>
    </row>
    <row r="46" spans="1:47" ht="12.75">
      <c r="A46" s="4"/>
      <c r="Q46" s="62"/>
      <c r="R46" s="59"/>
      <c r="S46" s="60"/>
      <c r="T46" s="59"/>
      <c r="U46" s="59"/>
      <c r="V46" s="59"/>
      <c r="W46" s="9"/>
      <c r="X46" s="9"/>
      <c r="Y46" s="9"/>
      <c r="Z46" s="9"/>
      <c r="AA46" s="9"/>
      <c r="AB46" s="11"/>
      <c r="AC46" s="9"/>
      <c r="AD46" s="55"/>
      <c r="AE46" s="9"/>
      <c r="AF46" s="11"/>
      <c r="AG46" s="9"/>
      <c r="AH46" s="56"/>
      <c r="AI46" s="9"/>
      <c r="AJ46" s="11"/>
      <c r="AM46" t="s">
        <v>278</v>
      </c>
      <c r="AS46" s="92">
        <v>0</v>
      </c>
      <c r="AU46" t="s">
        <v>650</v>
      </c>
    </row>
    <row r="47" spans="1:45" ht="12.75">
      <c r="A47" s="4">
        <v>20</v>
      </c>
      <c r="C47" t="s">
        <v>117</v>
      </c>
      <c r="M47" s="94">
        <v>-2302000</v>
      </c>
      <c r="Q47" s="59"/>
      <c r="R47" s="59"/>
      <c r="S47" s="59"/>
      <c r="T47" s="59"/>
      <c r="U47" s="59"/>
      <c r="V47" s="59"/>
      <c r="W47" s="9"/>
      <c r="X47" s="9"/>
      <c r="Y47" s="9"/>
      <c r="Z47" s="9"/>
      <c r="AA47" s="9"/>
      <c r="AB47" s="11"/>
      <c r="AC47" s="9"/>
      <c r="AD47" s="9"/>
      <c r="AE47" s="9"/>
      <c r="AF47" s="9"/>
      <c r="AG47" s="9"/>
      <c r="AH47" s="9"/>
      <c r="AI47" s="9"/>
      <c r="AJ47" s="9"/>
      <c r="AS47" s="63"/>
    </row>
    <row r="48" spans="1:45" ht="13.5" thickBot="1">
      <c r="A48" s="4"/>
      <c r="Q48" s="59"/>
      <c r="R48" s="59"/>
      <c r="S48" s="59"/>
      <c r="T48" s="59"/>
      <c r="U48" s="59"/>
      <c r="V48" s="5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38"/>
      <c r="AS48" s="52"/>
    </row>
    <row r="49" spans="1:36" ht="14.25" thickBot="1" thickTop="1">
      <c r="A49" s="4">
        <v>21</v>
      </c>
      <c r="C49" t="s">
        <v>134</v>
      </c>
      <c r="M49" s="52">
        <f>ROUND(M45-M47,-3)</f>
        <v>-441000</v>
      </c>
      <c r="O49" t="s">
        <v>310</v>
      </c>
      <c r="Q49" s="59"/>
      <c r="R49" s="59"/>
      <c r="S49" s="59"/>
      <c r="T49" s="59"/>
      <c r="U49" s="59"/>
      <c r="V49" s="5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</row>
    <row r="50" spans="1:36" ht="13.5" thickTop="1">
      <c r="A50" s="4"/>
      <c r="Q50" s="59"/>
      <c r="R50" s="59"/>
      <c r="S50" s="59"/>
      <c r="T50" s="59"/>
      <c r="U50" s="59"/>
      <c r="V50" s="59"/>
      <c r="W50" s="9"/>
      <c r="X50" s="9"/>
      <c r="Y50" s="9"/>
      <c r="Z50" s="9"/>
      <c r="AA50" s="9"/>
      <c r="AB50" s="12"/>
      <c r="AC50" s="9"/>
      <c r="AD50" s="9"/>
      <c r="AE50" s="9"/>
      <c r="AF50" s="9"/>
      <c r="AG50" s="9"/>
      <c r="AH50" s="9"/>
      <c r="AI50" s="9"/>
      <c r="AJ50" s="9"/>
    </row>
    <row r="51" spans="1:38" ht="12.75">
      <c r="A51" s="4"/>
      <c r="D51" s="9"/>
      <c r="E51" s="9"/>
      <c r="F51" s="9"/>
      <c r="G51" s="9"/>
      <c r="H51" s="9"/>
      <c r="I51" s="9"/>
      <c r="J51" s="9"/>
      <c r="K51" s="9"/>
      <c r="L51" s="9"/>
      <c r="M51" s="69"/>
      <c r="N51" s="9"/>
      <c r="O51" s="9"/>
      <c r="Q51" s="59"/>
      <c r="R51" s="59"/>
      <c r="S51" s="59"/>
      <c r="T51" s="59"/>
      <c r="U51" s="59"/>
      <c r="V51" s="59"/>
      <c r="W51" s="9"/>
      <c r="X51" s="9"/>
      <c r="Y51" s="9"/>
      <c r="Z51" s="9"/>
      <c r="AA51" s="9"/>
      <c r="AB51" s="12"/>
      <c r="AC51" s="9"/>
      <c r="AD51" s="9"/>
      <c r="AE51" s="9"/>
      <c r="AF51" s="9"/>
      <c r="AG51" s="9"/>
      <c r="AH51" s="9"/>
      <c r="AI51" s="9"/>
      <c r="AJ51" s="9"/>
      <c r="AK51" s="9"/>
      <c r="AL51" s="9"/>
    </row>
    <row r="52" spans="1:38" ht="12.75">
      <c r="A52" s="4"/>
      <c r="D52" s="9"/>
      <c r="E52" s="9"/>
      <c r="F52" s="9"/>
      <c r="G52" s="9"/>
      <c r="H52" s="9"/>
      <c r="I52" s="9"/>
      <c r="J52" s="9"/>
      <c r="K52" s="9"/>
      <c r="L52" s="9"/>
      <c r="M52" s="66"/>
      <c r="N52" s="9"/>
      <c r="O52" s="9"/>
      <c r="Q52" s="59"/>
      <c r="R52" s="59"/>
      <c r="S52" s="59"/>
      <c r="T52" s="59"/>
      <c r="U52" s="59"/>
      <c r="V52" s="59"/>
      <c r="W52" s="9"/>
      <c r="X52" s="9"/>
      <c r="Y52" s="9"/>
      <c r="Z52" s="9"/>
      <c r="AA52" s="9"/>
      <c r="AB52" s="12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 ht="12.75">
      <c r="A53" s="4"/>
      <c r="D53" s="9"/>
      <c r="E53" s="9"/>
      <c r="F53" s="9"/>
      <c r="G53" s="9"/>
      <c r="H53" s="9"/>
      <c r="I53" s="9"/>
      <c r="J53" s="9"/>
      <c r="K53" s="9"/>
      <c r="L53" s="9"/>
      <c r="M53" s="66"/>
      <c r="N53" s="9"/>
      <c r="O53" s="9"/>
      <c r="Q53" s="59"/>
      <c r="R53" s="59"/>
      <c r="S53" s="59"/>
      <c r="T53" s="59"/>
      <c r="U53" s="59"/>
      <c r="V53" s="59"/>
      <c r="W53" s="9"/>
      <c r="X53" s="9"/>
      <c r="Y53" s="9"/>
      <c r="Z53" s="9"/>
      <c r="AA53" s="9"/>
      <c r="AB53" s="12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 ht="12.75">
      <c r="A54" s="4"/>
      <c r="D54" s="9"/>
      <c r="E54" s="9"/>
      <c r="F54" s="9"/>
      <c r="G54" s="9"/>
      <c r="H54" s="9"/>
      <c r="I54" s="9"/>
      <c r="J54" s="9"/>
      <c r="K54" s="9"/>
      <c r="L54" s="9"/>
      <c r="M54" s="66"/>
      <c r="N54" s="9"/>
      <c r="O54" s="9"/>
      <c r="Q54" s="59"/>
      <c r="R54" s="59"/>
      <c r="S54" s="59"/>
      <c r="T54" s="59"/>
      <c r="U54" s="59"/>
      <c r="V54" s="59"/>
      <c r="W54" s="9"/>
      <c r="X54" s="9"/>
      <c r="Y54" s="9"/>
      <c r="Z54" s="9"/>
      <c r="AA54" s="9"/>
      <c r="AB54" s="12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 ht="12.75">
      <c r="A55" s="4"/>
      <c r="D55" s="9"/>
      <c r="E55" s="9"/>
      <c r="F55" s="9"/>
      <c r="G55" s="9"/>
      <c r="H55" s="9"/>
      <c r="I55" s="9"/>
      <c r="J55" s="9"/>
      <c r="K55" s="9"/>
      <c r="L55" s="9"/>
      <c r="M55" s="70"/>
      <c r="N55" s="9"/>
      <c r="O55" s="9"/>
      <c r="Q55" s="59"/>
      <c r="R55" s="59"/>
      <c r="S55" s="59"/>
      <c r="T55" s="59"/>
      <c r="U55" s="59"/>
      <c r="V55" s="59"/>
      <c r="W55" s="9"/>
      <c r="X55" s="9"/>
      <c r="Y55" s="9"/>
      <c r="Z55" s="9"/>
      <c r="AA55" s="9"/>
      <c r="AB55" s="12"/>
      <c r="AC55" s="9"/>
      <c r="AD55" s="9"/>
      <c r="AE55" s="9"/>
      <c r="AF55" s="9"/>
      <c r="AG55" s="9"/>
      <c r="AH55" s="9"/>
      <c r="AI55" s="9"/>
      <c r="AJ55" s="9"/>
      <c r="AK55" s="9"/>
      <c r="AL55" s="9"/>
    </row>
    <row r="56" spans="1:38" ht="12.75">
      <c r="A56" s="4"/>
      <c r="D56" s="9"/>
      <c r="E56" s="9"/>
      <c r="F56" s="9"/>
      <c r="G56" s="9"/>
      <c r="H56" s="9"/>
      <c r="I56" s="9"/>
      <c r="J56" s="9"/>
      <c r="K56" s="9"/>
      <c r="L56" s="9"/>
      <c r="M56" s="66"/>
      <c r="N56" s="9"/>
      <c r="O56" s="9"/>
      <c r="Q56" s="59"/>
      <c r="R56" s="59"/>
      <c r="S56" s="59"/>
      <c r="T56" s="59"/>
      <c r="U56" s="59"/>
      <c r="V56" s="59"/>
      <c r="W56" s="9"/>
      <c r="X56" s="9"/>
      <c r="Y56" s="9"/>
      <c r="Z56" s="9"/>
      <c r="AA56" s="9"/>
      <c r="AB56" s="12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1:38" ht="12.75">
      <c r="A57" s="4"/>
      <c r="D57" s="9"/>
      <c r="E57" s="9"/>
      <c r="F57" s="9"/>
      <c r="G57" s="9"/>
      <c r="H57" s="9"/>
      <c r="I57" s="9"/>
      <c r="J57" s="9"/>
      <c r="K57" s="9"/>
      <c r="L57" s="9"/>
      <c r="M57" s="66"/>
      <c r="N57" s="9"/>
      <c r="O57" s="9"/>
      <c r="Q57" s="59"/>
      <c r="R57" s="59"/>
      <c r="S57" s="59"/>
      <c r="T57" s="59"/>
      <c r="U57" s="59"/>
      <c r="V57" s="59"/>
      <c r="W57" s="9"/>
      <c r="X57" s="9"/>
      <c r="Y57" s="9"/>
      <c r="Z57" s="9"/>
      <c r="AA57" s="9"/>
      <c r="AB57" s="12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38" ht="12.75">
      <c r="A58" s="4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Q58" s="59"/>
      <c r="R58" s="59"/>
      <c r="S58" s="59"/>
      <c r="T58" s="59"/>
      <c r="U58" s="59"/>
      <c r="V58" s="59"/>
      <c r="W58" s="9"/>
      <c r="X58" s="9"/>
      <c r="Y58" s="9"/>
      <c r="Z58" s="9"/>
      <c r="AA58" s="9"/>
      <c r="AB58" s="12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ht="12.75">
      <c r="A59" s="4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Q59" s="59"/>
      <c r="R59" s="59"/>
      <c r="S59" s="59"/>
      <c r="T59" s="59"/>
      <c r="U59" s="59"/>
      <c r="V59" s="59"/>
      <c r="W59" s="9"/>
      <c r="X59" s="9"/>
      <c r="Y59" s="9"/>
      <c r="Z59" s="9"/>
      <c r="AA59" s="9"/>
      <c r="AB59" s="58"/>
      <c r="AC59" s="9"/>
      <c r="AD59" s="9"/>
      <c r="AE59" s="9"/>
      <c r="AF59" s="9"/>
      <c r="AG59" s="9"/>
      <c r="AH59" s="9"/>
      <c r="AI59" s="9"/>
      <c r="AJ59" s="9"/>
      <c r="AK59" s="9"/>
      <c r="AL59" s="9"/>
    </row>
    <row r="60" spans="1:38" ht="12.75">
      <c r="A60" s="4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Q60" s="59"/>
      <c r="R60" s="59"/>
      <c r="S60" s="59"/>
      <c r="T60" s="59"/>
      <c r="U60" s="59"/>
      <c r="V60" s="59"/>
      <c r="W60" s="9"/>
      <c r="X60" s="9"/>
      <c r="Y60" s="9"/>
      <c r="Z60" s="9"/>
      <c r="AA60" s="9"/>
      <c r="AB60" s="56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 ht="12.75">
      <c r="A61" s="4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Q61" s="59"/>
      <c r="R61" s="59"/>
      <c r="S61" s="59"/>
      <c r="T61" s="59"/>
      <c r="U61" s="59"/>
      <c r="V61" s="59"/>
      <c r="W61" s="9"/>
      <c r="X61" s="9"/>
      <c r="Y61" s="9"/>
      <c r="Z61" s="9"/>
      <c r="AA61" s="9"/>
      <c r="AB61" s="56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38" ht="12.75">
      <c r="A62" s="4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Q62" s="59"/>
      <c r="R62" s="59"/>
      <c r="S62" s="59"/>
      <c r="T62" s="59"/>
      <c r="U62" s="59"/>
      <c r="V62" s="59"/>
      <c r="W62" s="9"/>
      <c r="X62" s="9"/>
      <c r="Y62" s="9"/>
      <c r="Z62" s="9"/>
      <c r="AA62" s="9"/>
      <c r="AB62" s="56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38" ht="12.75">
      <c r="A63" s="4"/>
      <c r="Q63" s="59"/>
      <c r="R63" s="59"/>
      <c r="S63" s="59"/>
      <c r="T63" s="59"/>
      <c r="U63" s="59"/>
      <c r="V63" s="59"/>
      <c r="W63" s="9"/>
      <c r="X63" s="9"/>
      <c r="Y63" s="9"/>
      <c r="Z63" s="9"/>
      <c r="AA63" s="9"/>
      <c r="AB63" s="11"/>
      <c r="AC63" s="9"/>
      <c r="AD63" s="9"/>
      <c r="AE63" s="9"/>
      <c r="AF63" s="9"/>
      <c r="AG63" s="9"/>
      <c r="AH63" s="9"/>
      <c r="AI63" s="9"/>
      <c r="AJ63" s="9"/>
      <c r="AK63" s="9"/>
      <c r="AL63" s="9"/>
    </row>
    <row r="64" spans="1:38" ht="12.75">
      <c r="A64" s="4"/>
      <c r="Q64" s="59"/>
      <c r="R64" s="59"/>
      <c r="S64" s="59"/>
      <c r="T64" s="59"/>
      <c r="U64" s="59"/>
      <c r="V64" s="5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</row>
    <row r="65" spans="1:38" ht="12.75">
      <c r="A65" s="4"/>
      <c r="Q65" s="59"/>
      <c r="R65" s="59"/>
      <c r="S65" s="59"/>
      <c r="T65" s="59"/>
      <c r="U65" s="59"/>
      <c r="V65" s="5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</row>
    <row r="66" spans="1:38" ht="12.75">
      <c r="A66" s="4"/>
      <c r="Q66" s="59"/>
      <c r="R66" s="59"/>
      <c r="S66" s="59"/>
      <c r="T66" s="59"/>
      <c r="U66" s="59"/>
      <c r="V66" s="59"/>
      <c r="W66" s="9"/>
      <c r="X66" s="9"/>
      <c r="Y66" s="9"/>
      <c r="Z66" s="9"/>
      <c r="AA66" s="9"/>
      <c r="AB66" s="38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38" ht="12.75">
      <c r="A67" s="4"/>
      <c r="Q67" s="59"/>
      <c r="R67" s="59"/>
      <c r="S67" s="59"/>
      <c r="T67" s="59"/>
      <c r="U67" s="59"/>
      <c r="V67" s="5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</row>
    <row r="68" spans="17:38" ht="12.75">
      <c r="Q68" s="59"/>
      <c r="R68" s="59"/>
      <c r="S68" s="59"/>
      <c r="T68" s="59"/>
      <c r="U68" s="59"/>
      <c r="V68" s="59"/>
      <c r="W68" s="9"/>
      <c r="X68" s="9"/>
      <c r="Y68" s="9"/>
      <c r="Z68" s="9"/>
      <c r="AA68" s="9"/>
      <c r="AB68" s="11"/>
      <c r="AC68" s="9"/>
      <c r="AD68" s="9"/>
      <c r="AE68" s="9"/>
      <c r="AF68" s="9"/>
      <c r="AG68" s="9"/>
      <c r="AH68" s="9"/>
      <c r="AI68" s="9"/>
      <c r="AJ68" s="9"/>
      <c r="AK68" s="9"/>
      <c r="AL68" s="9"/>
    </row>
    <row r="69" spans="17:38" ht="12.75">
      <c r="Q69" s="59"/>
      <c r="R69" s="59"/>
      <c r="S69" s="59"/>
      <c r="T69" s="59"/>
      <c r="U69" s="59"/>
      <c r="V69" s="59"/>
      <c r="W69" s="9"/>
      <c r="X69" s="9"/>
      <c r="Y69" s="9"/>
      <c r="Z69" s="9"/>
      <c r="AA69" s="9"/>
      <c r="AB69" s="11"/>
      <c r="AC69" s="9"/>
      <c r="AD69" s="9"/>
      <c r="AE69" s="9"/>
      <c r="AF69" s="9"/>
      <c r="AG69" s="9"/>
      <c r="AH69" s="9"/>
      <c r="AI69" s="9"/>
      <c r="AJ69" s="9"/>
      <c r="AK69" s="9"/>
      <c r="AL69" s="9"/>
    </row>
    <row r="70" spans="17:38" ht="12.75">
      <c r="Q70" s="59"/>
      <c r="R70" s="59"/>
      <c r="S70" s="59"/>
      <c r="T70" s="59"/>
      <c r="U70" s="59"/>
      <c r="V70" s="5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</row>
    <row r="71" spans="17:38" ht="12.75">
      <c r="Q71" s="59"/>
      <c r="R71" s="59"/>
      <c r="S71" s="59"/>
      <c r="T71" s="59"/>
      <c r="U71" s="59"/>
      <c r="V71" s="5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</row>
    <row r="72" spans="1:38" ht="12.75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9"/>
      <c r="X72" s="9"/>
      <c r="Y72" s="9"/>
      <c r="Z72" s="9"/>
      <c r="AA72" s="9"/>
      <c r="AB72" s="38"/>
      <c r="AC72" s="9"/>
      <c r="AD72" s="9"/>
      <c r="AE72" s="9"/>
      <c r="AF72" s="9"/>
      <c r="AG72" s="9"/>
      <c r="AH72" s="9"/>
      <c r="AI72" s="9"/>
      <c r="AJ72" s="9"/>
      <c r="AK72" s="9"/>
      <c r="AL72" s="9"/>
    </row>
    <row r="73" spans="1:38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</row>
    <row r="74" spans="1:38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</row>
    <row r="75" spans="1:38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</row>
    <row r="76" spans="1:38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</row>
    <row r="77" spans="1:38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</row>
    <row r="78" spans="1:38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</row>
    <row r="79" spans="1:38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</row>
    <row r="80" spans="1:38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</row>
    <row r="81" spans="1:38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</row>
    <row r="82" spans="1:38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</row>
    <row r="83" spans="1:38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</row>
  </sheetData>
  <mergeCells count="6">
    <mergeCell ref="Y6:AF6"/>
    <mergeCell ref="Y7:AF7"/>
    <mergeCell ref="Y8:AF8"/>
    <mergeCell ref="C6:J6"/>
    <mergeCell ref="C7:J7"/>
    <mergeCell ref="C8:J8"/>
  </mergeCells>
  <printOptions/>
  <pageMargins left="1" right="0.5" top="1" bottom="1" header="0.5" footer="0.5"/>
  <pageSetup fitToHeight="1" fitToWidth="1" horizontalDpi="600" verticalDpi="600" orientation="portrait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42"/>
  <sheetViews>
    <sheetView workbookViewId="0" topLeftCell="A1">
      <selection activeCell="M3" sqref="M3"/>
    </sheetView>
  </sheetViews>
  <sheetFormatPr defaultColWidth="9.140625" defaultRowHeight="12.75"/>
  <cols>
    <col min="1" max="1" width="5.7109375" style="0" customWidth="1"/>
    <col min="2" max="3" width="2.7109375" style="0" customWidth="1"/>
    <col min="7" max="7" width="5.7109375" style="0" customWidth="1"/>
    <col min="8" max="8" width="11.28125" style="0" customWidth="1"/>
    <col min="9" max="10" width="2.7109375" style="0" customWidth="1"/>
    <col min="11" max="11" width="12.140625" style="0" customWidth="1"/>
    <col min="12" max="12" width="2.28125" style="0" customWidth="1"/>
    <col min="27" max="28" width="10.140625" style="0" bestFit="1" customWidth="1"/>
  </cols>
  <sheetData>
    <row r="2" ht="12.75">
      <c r="M2" s="43" t="s">
        <v>663</v>
      </c>
    </row>
    <row r="3" spans="1:13" ht="12.75">
      <c r="A3" t="s">
        <v>223</v>
      </c>
      <c r="M3" s="43" t="s">
        <v>794</v>
      </c>
    </row>
    <row r="4" ht="12.75">
      <c r="M4" s="43" t="s">
        <v>780</v>
      </c>
    </row>
    <row r="5" spans="13:20" ht="15.75">
      <c r="M5" s="43"/>
      <c r="T5" s="50" t="s">
        <v>280</v>
      </c>
    </row>
    <row r="6" ht="12.75">
      <c r="M6" s="43" t="s">
        <v>631</v>
      </c>
    </row>
    <row r="7" spans="3:12" ht="15.75">
      <c r="C7" s="149" t="s">
        <v>79</v>
      </c>
      <c r="D7" s="149"/>
      <c r="E7" s="149"/>
      <c r="F7" s="149"/>
      <c r="G7" s="149"/>
      <c r="H7" s="149"/>
      <c r="I7" s="149"/>
      <c r="J7" s="149"/>
      <c r="K7" s="149"/>
      <c r="L7" s="50"/>
    </row>
    <row r="8" spans="3:27" ht="12.75">
      <c r="C8" s="150" t="s">
        <v>81</v>
      </c>
      <c r="D8" s="150"/>
      <c r="E8" s="150"/>
      <c r="F8" s="150"/>
      <c r="G8" s="150"/>
      <c r="H8" s="150"/>
      <c r="I8" s="150"/>
      <c r="J8" s="150"/>
      <c r="K8" s="150"/>
      <c r="L8" s="51"/>
      <c r="W8" t="s">
        <v>76</v>
      </c>
      <c r="AA8" t="s">
        <v>109</v>
      </c>
    </row>
    <row r="9" spans="3:12" ht="12.75">
      <c r="C9" s="150" t="s">
        <v>206</v>
      </c>
      <c r="D9" s="150"/>
      <c r="E9" s="150"/>
      <c r="F9" s="150"/>
      <c r="G9" s="150"/>
      <c r="H9" s="150"/>
      <c r="I9" s="150"/>
      <c r="J9" s="150"/>
      <c r="K9" s="150"/>
      <c r="L9" s="51"/>
    </row>
    <row r="11" spans="7:23" ht="12.75">
      <c r="G11" s="9"/>
      <c r="J11" s="9"/>
      <c r="K11" s="15"/>
      <c r="L11" s="15"/>
      <c r="Q11" t="s">
        <v>281</v>
      </c>
      <c r="U11" s="63"/>
      <c r="V11" s="64"/>
      <c r="W11" s="63"/>
    </row>
    <row r="12" spans="7:27" ht="12.75">
      <c r="G12" s="9"/>
      <c r="J12" s="9"/>
      <c r="K12" s="15"/>
      <c r="L12" s="15"/>
      <c r="R12" s="93">
        <v>38352</v>
      </c>
      <c r="U12" s="64"/>
      <c r="V12" s="63"/>
      <c r="W12" s="64">
        <v>539629</v>
      </c>
      <c r="Y12" t="s">
        <v>282</v>
      </c>
      <c r="AA12">
        <v>1144169</v>
      </c>
    </row>
    <row r="13" spans="1:26" ht="12.75">
      <c r="A13" s="4" t="s">
        <v>3</v>
      </c>
      <c r="G13" s="9"/>
      <c r="J13" s="9"/>
      <c r="R13" t="s">
        <v>283</v>
      </c>
      <c r="U13" s="63"/>
      <c r="V13" s="63">
        <v>31740</v>
      </c>
      <c r="W13" s="63"/>
      <c r="Z13">
        <v>67308</v>
      </c>
    </row>
    <row r="14" spans="1:27" ht="12.75">
      <c r="A14" s="5" t="s">
        <v>4</v>
      </c>
      <c r="C14" s="153" t="s">
        <v>5</v>
      </c>
      <c r="D14" s="153"/>
      <c r="E14" s="153"/>
      <c r="F14" s="153"/>
      <c r="G14" s="9"/>
      <c r="H14" s="5" t="s">
        <v>0</v>
      </c>
      <c r="K14" s="5" t="s">
        <v>76</v>
      </c>
      <c r="L14" s="15"/>
      <c r="M14" s="124" t="s">
        <v>105</v>
      </c>
      <c r="R14" s="93">
        <v>37986</v>
      </c>
      <c r="U14" s="65"/>
      <c r="V14" s="66"/>
      <c r="W14" s="65">
        <f>+W12+V13</f>
        <v>571369</v>
      </c>
      <c r="Y14" t="s">
        <v>282</v>
      </c>
      <c r="AA14">
        <f>+AA12+Z13</f>
        <v>1211477</v>
      </c>
    </row>
    <row r="15" spans="1:23" ht="12.75">
      <c r="A15" s="15"/>
      <c r="C15" s="9"/>
      <c r="D15" s="9"/>
      <c r="E15" s="9" t="s">
        <v>56</v>
      </c>
      <c r="F15" s="9"/>
      <c r="G15" s="9"/>
      <c r="H15" s="15" t="s">
        <v>57</v>
      </c>
      <c r="J15" s="9"/>
      <c r="K15" s="15"/>
      <c r="L15" s="15"/>
      <c r="M15" s="43"/>
      <c r="U15" s="66"/>
      <c r="V15" s="66"/>
      <c r="W15" s="66"/>
    </row>
    <row r="16" spans="4:28" ht="12.75">
      <c r="D16" t="s">
        <v>289</v>
      </c>
      <c r="G16" s="9"/>
      <c r="J16" s="9"/>
      <c r="K16" s="9"/>
      <c r="L16" s="9"/>
      <c r="M16" s="43"/>
      <c r="Q16" t="s">
        <v>652</v>
      </c>
      <c r="U16" s="63"/>
      <c r="V16" s="63"/>
      <c r="W16" s="63">
        <f>+AVERAGE(W12:W14)</f>
        <v>555499</v>
      </c>
      <c r="AA16" s="63">
        <f>+AVERAGE(AA12:AA14)</f>
        <v>1177823</v>
      </c>
      <c r="AB16" s="63">
        <f>+AA16+W16</f>
        <v>1733322</v>
      </c>
    </row>
    <row r="17" spans="1:23" ht="12.75">
      <c r="A17" s="4">
        <v>1</v>
      </c>
      <c r="D17" t="s">
        <v>291</v>
      </c>
      <c r="G17" s="9"/>
      <c r="H17" s="64">
        <v>539629</v>
      </c>
      <c r="J17" s="9"/>
      <c r="K17" s="66">
        <f>ROUND(+H17,-3)</f>
        <v>540000</v>
      </c>
      <c r="L17" s="66"/>
      <c r="M17" s="43" t="s">
        <v>282</v>
      </c>
      <c r="U17" s="64"/>
      <c r="V17" s="63"/>
      <c r="W17" s="64"/>
    </row>
    <row r="18" spans="1:23" ht="12.75">
      <c r="A18" s="4">
        <v>2</v>
      </c>
      <c r="D18" t="s">
        <v>292</v>
      </c>
      <c r="G18" s="9"/>
      <c r="H18" s="63">
        <v>31740</v>
      </c>
      <c r="M18" s="43" t="s">
        <v>282</v>
      </c>
      <c r="U18" s="63"/>
      <c r="V18" s="63"/>
      <c r="W18" s="63"/>
    </row>
    <row r="19" spans="1:25" ht="12.75">
      <c r="A19" s="4">
        <v>3</v>
      </c>
      <c r="D19" t="s">
        <v>290</v>
      </c>
      <c r="G19" s="9" t="s">
        <v>293</v>
      </c>
      <c r="H19" s="10">
        <f>+H17+H18</f>
        <v>571369</v>
      </c>
      <c r="I19" s="9"/>
      <c r="J19" s="9"/>
      <c r="K19" s="66">
        <f>ROUND(+H19,-3)</f>
        <v>571000</v>
      </c>
      <c r="L19" s="66"/>
      <c r="M19" s="43" t="s">
        <v>299</v>
      </c>
      <c r="Q19" t="s">
        <v>284</v>
      </c>
      <c r="U19" s="63"/>
      <c r="V19" s="63"/>
      <c r="W19" s="63">
        <v>492019</v>
      </c>
      <c r="Y19" t="s">
        <v>285</v>
      </c>
    </row>
    <row r="20" spans="1:23" ht="12.75">
      <c r="A20" s="4"/>
      <c r="G20" s="9"/>
      <c r="H20" s="11"/>
      <c r="I20" s="9"/>
      <c r="J20" s="9"/>
      <c r="K20" s="11"/>
      <c r="L20" s="11"/>
      <c r="M20" s="43"/>
      <c r="U20" s="63"/>
      <c r="V20" s="63"/>
      <c r="W20" s="63"/>
    </row>
    <row r="21" spans="1:23" ht="12.75">
      <c r="A21" s="4">
        <v>4</v>
      </c>
      <c r="D21" t="s">
        <v>294</v>
      </c>
      <c r="G21" s="9" t="s">
        <v>295</v>
      </c>
      <c r="H21" s="11"/>
      <c r="I21" s="9"/>
      <c r="J21" s="9"/>
      <c r="K21" s="66">
        <f>+ROUND((H19+H17)/2,-3)</f>
        <v>555000</v>
      </c>
      <c r="L21" s="66"/>
      <c r="M21" s="43" t="s">
        <v>300</v>
      </c>
      <c r="Q21" t="s">
        <v>274</v>
      </c>
      <c r="W21" s="63">
        <f>+ROUND(W16-W19,-3)</f>
        <v>63000</v>
      </c>
    </row>
    <row r="22" spans="1:13" ht="12.75">
      <c r="A22" s="4"/>
      <c r="G22" s="9"/>
      <c r="H22" s="10"/>
      <c r="I22" s="9"/>
      <c r="J22" s="9"/>
      <c r="K22" s="83"/>
      <c r="L22" s="83"/>
      <c r="M22" s="43"/>
    </row>
    <row r="23" spans="1:23" ht="12.75">
      <c r="A23" s="4">
        <v>5</v>
      </c>
      <c r="D23" t="s">
        <v>296</v>
      </c>
      <c r="G23" s="9"/>
      <c r="H23" s="9"/>
      <c r="I23" s="9"/>
      <c r="J23" s="9"/>
      <c r="K23" s="94">
        <v>492000</v>
      </c>
      <c r="L23" s="125"/>
      <c r="M23" s="43"/>
      <c r="Q23" t="s">
        <v>286</v>
      </c>
      <c r="W23" s="91">
        <v>0</v>
      </c>
    </row>
    <row r="24" spans="1:23" ht="12.75">
      <c r="A24" s="4"/>
      <c r="G24" s="9"/>
      <c r="H24" s="9"/>
      <c r="I24" s="9"/>
      <c r="J24" s="9"/>
      <c r="K24" s="9"/>
      <c r="L24" s="9"/>
      <c r="M24" s="43"/>
      <c r="W24" s="63"/>
    </row>
    <row r="25" spans="1:23" ht="13.5" thickBot="1">
      <c r="A25" s="4">
        <v>6</v>
      </c>
      <c r="D25" t="s">
        <v>297</v>
      </c>
      <c r="G25" s="9"/>
      <c r="H25" s="9"/>
      <c r="I25" s="9"/>
      <c r="J25" s="9"/>
      <c r="K25" s="52">
        <f>+K21-K23</f>
        <v>63000</v>
      </c>
      <c r="L25" s="66"/>
      <c r="M25" s="43" t="s">
        <v>311</v>
      </c>
      <c r="Q25" t="s">
        <v>277</v>
      </c>
      <c r="W25" s="63">
        <f>+W21*W23</f>
        <v>0</v>
      </c>
    </row>
    <row r="26" spans="1:23" ht="13.5" thickTop="1">
      <c r="A26" s="4"/>
      <c r="G26" s="9"/>
      <c r="H26" s="10"/>
      <c r="I26" s="9"/>
      <c r="J26" s="9"/>
      <c r="K26" s="10"/>
      <c r="L26" s="10"/>
      <c r="M26" s="9"/>
      <c r="W26" s="63"/>
    </row>
    <row r="27" spans="1:25" ht="12.75">
      <c r="A27" s="4">
        <v>7</v>
      </c>
      <c r="D27" t="s">
        <v>298</v>
      </c>
      <c r="G27" s="9"/>
      <c r="H27" s="9"/>
      <c r="I27" s="9"/>
      <c r="J27" s="9"/>
      <c r="K27" s="9"/>
      <c r="L27" s="9"/>
      <c r="M27" s="9"/>
      <c r="Q27" t="s">
        <v>278</v>
      </c>
      <c r="W27" s="92">
        <v>0</v>
      </c>
      <c r="Y27" t="s">
        <v>287</v>
      </c>
    </row>
    <row r="28" spans="1:23" ht="12.75">
      <c r="A28" s="4"/>
      <c r="G28" s="9"/>
      <c r="H28" s="9"/>
      <c r="I28" s="9"/>
      <c r="J28" s="9"/>
      <c r="K28" s="9"/>
      <c r="L28" s="9"/>
      <c r="M28" s="9"/>
      <c r="W28" s="63"/>
    </row>
    <row r="29" spans="1:23" ht="13.5" thickBot="1">
      <c r="A29" s="4"/>
      <c r="Q29" t="s">
        <v>279</v>
      </c>
      <c r="T29" t="s">
        <v>288</v>
      </c>
      <c r="W29" s="52" t="e">
        <f>+W25/W27</f>
        <v>#DIV/0!</v>
      </c>
    </row>
    <row r="30" ht="13.5" thickTop="1">
      <c r="A30" s="4"/>
    </row>
    <row r="31" ht="12.75">
      <c r="A31" s="4"/>
    </row>
    <row r="32" ht="12.75">
      <c r="A32" s="4"/>
    </row>
    <row r="33" ht="12.75">
      <c r="A33" s="4"/>
    </row>
    <row r="34" ht="12.75">
      <c r="A34" s="4"/>
    </row>
    <row r="35" ht="12.75">
      <c r="A35" s="4"/>
    </row>
    <row r="42" ht="12.75">
      <c r="C42" t="s">
        <v>78</v>
      </c>
    </row>
  </sheetData>
  <mergeCells count="4">
    <mergeCell ref="C7:K7"/>
    <mergeCell ref="C8:K8"/>
    <mergeCell ref="C9:K9"/>
    <mergeCell ref="C14:F14"/>
  </mergeCells>
  <printOptions/>
  <pageMargins left="1.25" right="0.75" top="1" bottom="1" header="0.5" footer="0.5"/>
  <pageSetup fitToHeight="1" fitToWidth="1" horizontalDpi="600" verticalDpi="600" orientation="portrait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60"/>
  <sheetViews>
    <sheetView workbookViewId="0" topLeftCell="A1">
      <selection activeCell="J2" sqref="J2"/>
    </sheetView>
  </sheetViews>
  <sheetFormatPr defaultColWidth="9.140625" defaultRowHeight="12.75"/>
  <cols>
    <col min="2" max="2" width="5.7109375" style="0" customWidth="1"/>
    <col min="3" max="3" width="2.7109375" style="0" customWidth="1"/>
    <col min="4" max="4" width="12.7109375" style="0" customWidth="1"/>
    <col min="5" max="5" width="17.57421875" style="0" customWidth="1"/>
    <col min="6" max="6" width="12.7109375" style="0" customWidth="1"/>
    <col min="7" max="7" width="1.7109375" style="0" customWidth="1"/>
    <col min="8" max="8" width="12.8515625" style="0" bestFit="1" customWidth="1"/>
    <col min="9" max="9" width="2.140625" style="0" customWidth="1"/>
    <col min="10" max="10" width="18.140625" style="0" customWidth="1"/>
    <col min="19" max="19" width="10.7109375" style="0" bestFit="1" customWidth="1"/>
  </cols>
  <sheetData>
    <row r="1" spans="2:10" ht="12.75">
      <c r="B1" t="s">
        <v>223</v>
      </c>
      <c r="J1" s="43" t="s">
        <v>663</v>
      </c>
    </row>
    <row r="2" ht="12.75">
      <c r="J2" s="43" t="s">
        <v>794</v>
      </c>
    </row>
    <row r="3" ht="12.75">
      <c r="J3" s="43" t="s">
        <v>779</v>
      </c>
    </row>
    <row r="4" ht="12.75">
      <c r="J4" s="43"/>
    </row>
    <row r="5" ht="12.75">
      <c r="J5" s="43" t="s">
        <v>633</v>
      </c>
    </row>
    <row r="6" spans="2:12" ht="15.75">
      <c r="B6" s="4"/>
      <c r="C6" s="4"/>
      <c r="D6" s="149" t="s">
        <v>79</v>
      </c>
      <c r="E6" s="149"/>
      <c r="F6" s="149"/>
      <c r="G6" s="149"/>
      <c r="H6" s="149"/>
      <c r="I6" s="149"/>
      <c r="J6" s="149"/>
      <c r="K6" s="48"/>
      <c r="L6" s="48"/>
    </row>
    <row r="7" spans="2:12" ht="12.75">
      <c r="B7" s="4"/>
      <c r="C7" s="4"/>
      <c r="D7" s="150" t="s">
        <v>81</v>
      </c>
      <c r="E7" s="150"/>
      <c r="F7" s="150"/>
      <c r="G7" s="150"/>
      <c r="H7" s="150"/>
      <c r="I7" s="150"/>
      <c r="J7" s="150"/>
      <c r="K7" s="49"/>
      <c r="L7" s="49"/>
    </row>
    <row r="8" spans="2:12" ht="12.75">
      <c r="B8" s="4"/>
      <c r="C8" s="4"/>
      <c r="D8" s="150" t="s">
        <v>632</v>
      </c>
      <c r="E8" s="150"/>
      <c r="F8" s="150"/>
      <c r="G8" s="150"/>
      <c r="H8" s="150"/>
      <c r="I8" s="150"/>
      <c r="J8" s="150"/>
      <c r="K8" s="49"/>
      <c r="L8" s="49"/>
    </row>
    <row r="9" spans="2:19" ht="12.75">
      <c r="B9" s="4" t="s">
        <v>3</v>
      </c>
      <c r="C9" s="4"/>
      <c r="D9" s="4"/>
      <c r="E9" s="4"/>
      <c r="F9" s="4"/>
      <c r="G9" s="4"/>
      <c r="H9" s="4"/>
      <c r="I9" s="4"/>
      <c r="J9" s="4"/>
      <c r="K9" s="4"/>
      <c r="M9" t="s">
        <v>312</v>
      </c>
      <c r="Q9" s="63"/>
      <c r="R9" s="64"/>
      <c r="S9" s="63"/>
    </row>
    <row r="10" spans="2:19" ht="12.75">
      <c r="B10" s="5" t="s">
        <v>4</v>
      </c>
      <c r="C10" s="4"/>
      <c r="D10" s="153" t="s">
        <v>5</v>
      </c>
      <c r="E10" s="153"/>
      <c r="F10" s="5"/>
      <c r="G10" s="15"/>
      <c r="H10" s="47" t="s">
        <v>0</v>
      </c>
      <c r="I10" s="4"/>
      <c r="J10" s="5" t="s">
        <v>77</v>
      </c>
      <c r="K10" s="4"/>
      <c r="N10" s="93" t="s">
        <v>313</v>
      </c>
      <c r="Q10" s="64"/>
      <c r="R10" s="63"/>
      <c r="S10" s="64">
        <v>8743294</v>
      </c>
    </row>
    <row r="11" spans="2:21" ht="12.75">
      <c r="B11" s="4"/>
      <c r="C11" s="4"/>
      <c r="D11" s="98" t="s">
        <v>653</v>
      </c>
      <c r="E11" s="4"/>
      <c r="F11" s="4"/>
      <c r="G11" s="4"/>
      <c r="H11" s="46"/>
      <c r="I11" s="4"/>
      <c r="J11" s="4"/>
      <c r="K11" s="4"/>
      <c r="N11" t="s">
        <v>314</v>
      </c>
      <c r="Q11" s="63"/>
      <c r="R11" s="63"/>
      <c r="S11" s="95">
        <v>0.028571</v>
      </c>
      <c r="T11">
        <v>0.028571</v>
      </c>
      <c r="U11" t="s">
        <v>315</v>
      </c>
    </row>
    <row r="12" spans="2:21" ht="12.75">
      <c r="B12" s="15"/>
      <c r="C12" s="9"/>
      <c r="D12" s="9" t="s">
        <v>345</v>
      </c>
      <c r="E12" s="9"/>
      <c r="F12" s="9"/>
      <c r="G12" s="9"/>
      <c r="H12" s="11"/>
      <c r="I12" s="9"/>
      <c r="J12" s="9"/>
      <c r="K12" s="9"/>
      <c r="L12" s="9"/>
      <c r="N12" s="93" t="s">
        <v>316</v>
      </c>
      <c r="Q12" s="65"/>
      <c r="R12" s="66"/>
      <c r="S12" s="65">
        <f>+S10*S11</f>
        <v>249804.652874</v>
      </c>
      <c r="U12" t="s">
        <v>317</v>
      </c>
    </row>
    <row r="13" spans="2:19" ht="12.75">
      <c r="B13" s="15">
        <v>1</v>
      </c>
      <c r="C13" s="9"/>
      <c r="D13" s="9" t="s">
        <v>346</v>
      </c>
      <c r="E13" s="9"/>
      <c r="F13" s="66">
        <v>89299000</v>
      </c>
      <c r="G13" s="9"/>
      <c r="H13" s="11"/>
      <c r="I13" s="9"/>
      <c r="J13" s="9" t="s">
        <v>350</v>
      </c>
      <c r="K13" s="9"/>
      <c r="L13" s="9"/>
      <c r="N13" t="s">
        <v>318</v>
      </c>
      <c r="Q13" s="66"/>
      <c r="R13" s="66"/>
      <c r="S13" s="96">
        <v>0.6516</v>
      </c>
    </row>
    <row r="14" spans="2:19" ht="12.75">
      <c r="B14" s="15">
        <v>2</v>
      </c>
      <c r="C14" s="9"/>
      <c r="D14" s="9" t="s">
        <v>347</v>
      </c>
      <c r="E14" s="9"/>
      <c r="F14" s="66">
        <v>80555706</v>
      </c>
      <c r="G14" s="9"/>
      <c r="H14" s="11"/>
      <c r="I14" s="9"/>
      <c r="J14" s="9" t="s">
        <v>350</v>
      </c>
      <c r="K14" s="9"/>
      <c r="L14" s="9"/>
      <c r="M14" t="s">
        <v>319</v>
      </c>
      <c r="Q14" s="63"/>
      <c r="R14" s="63"/>
      <c r="S14" s="63">
        <f>-ROUND(S13*S12,-3)</f>
        <v>-163000</v>
      </c>
    </row>
    <row r="15" spans="2:19" ht="12.75">
      <c r="B15" s="15">
        <v>3</v>
      </c>
      <c r="C15" s="9"/>
      <c r="D15" s="14" t="s">
        <v>348</v>
      </c>
      <c r="E15" s="9"/>
      <c r="F15" s="66">
        <f>+F13-F14</f>
        <v>8743294</v>
      </c>
      <c r="G15" s="9"/>
      <c r="H15" s="11"/>
      <c r="I15" s="9"/>
      <c r="J15" s="14" t="s">
        <v>362</v>
      </c>
      <c r="K15" s="9"/>
      <c r="L15" s="9"/>
      <c r="Q15" s="64"/>
      <c r="R15" s="63"/>
      <c r="S15" s="64"/>
    </row>
    <row r="16" spans="2:19" ht="12.75">
      <c r="B16" s="15">
        <v>4</v>
      </c>
      <c r="C16" s="9"/>
      <c r="D16" s="14" t="s">
        <v>349</v>
      </c>
      <c r="E16" s="9"/>
      <c r="F16" s="96">
        <v>0.6516</v>
      </c>
      <c r="G16" s="9"/>
      <c r="H16" s="11"/>
      <c r="I16" s="9"/>
      <c r="J16" s="84" t="s">
        <v>363</v>
      </c>
      <c r="K16" s="9"/>
      <c r="L16" s="9"/>
      <c r="M16" t="s">
        <v>320</v>
      </c>
      <c r="Q16" s="63"/>
      <c r="R16" s="63"/>
      <c r="S16" s="63"/>
    </row>
    <row r="17" spans="2:19" ht="12.75">
      <c r="B17" s="15">
        <v>5</v>
      </c>
      <c r="C17" s="9"/>
      <c r="D17" s="14" t="s">
        <v>351</v>
      </c>
      <c r="E17" s="9"/>
      <c r="F17" s="66">
        <f>+F15*F16</f>
        <v>5697130.370399999</v>
      </c>
      <c r="G17" s="9"/>
      <c r="H17" s="99">
        <f>-ROUND(+F17,-3)</f>
        <v>-5697000</v>
      </c>
      <c r="I17" s="9"/>
      <c r="J17" s="14" t="s">
        <v>364</v>
      </c>
      <c r="K17" s="9"/>
      <c r="L17" s="9"/>
      <c r="M17" t="s">
        <v>321</v>
      </c>
      <c r="Q17" s="63"/>
      <c r="R17" s="63"/>
      <c r="S17" s="63">
        <v>0</v>
      </c>
    </row>
    <row r="18" spans="11:19" ht="12.75">
      <c r="K18" s="9"/>
      <c r="L18" s="9"/>
      <c r="Q18" s="63"/>
      <c r="R18" s="63"/>
      <c r="S18" s="63"/>
    </row>
    <row r="19" spans="2:21" ht="12.75">
      <c r="B19" s="15">
        <v>6</v>
      </c>
      <c r="C19" s="9"/>
      <c r="D19" s="14" t="s">
        <v>352</v>
      </c>
      <c r="E19" s="9"/>
      <c r="F19" s="95">
        <v>0.028571</v>
      </c>
      <c r="G19" s="9"/>
      <c r="H19" s="11"/>
      <c r="I19" s="9"/>
      <c r="J19" s="9" t="s">
        <v>365</v>
      </c>
      <c r="K19" s="9"/>
      <c r="L19" s="9"/>
      <c r="M19" t="s">
        <v>322</v>
      </c>
      <c r="P19" t="s">
        <v>323</v>
      </c>
      <c r="S19" s="63">
        <f>+S12*0.95</f>
        <v>237314.4202303</v>
      </c>
      <c r="U19" t="s">
        <v>324</v>
      </c>
    </row>
    <row r="20" spans="2:12" ht="12.75">
      <c r="B20" s="15">
        <v>7</v>
      </c>
      <c r="C20" s="9"/>
      <c r="D20" s="14" t="s">
        <v>353</v>
      </c>
      <c r="E20" s="9"/>
      <c r="F20" s="66">
        <f>+F19*F15</f>
        <v>249804.652874</v>
      </c>
      <c r="G20" s="9"/>
      <c r="H20" s="99"/>
      <c r="I20" s="9"/>
      <c r="J20" s="14" t="s">
        <v>366</v>
      </c>
      <c r="K20" s="9"/>
      <c r="L20" s="9"/>
    </row>
    <row r="21" spans="2:21" ht="12.75">
      <c r="B21" s="15">
        <v>8</v>
      </c>
      <c r="C21" s="9"/>
      <c r="D21" s="14" t="s">
        <v>354</v>
      </c>
      <c r="E21" s="9"/>
      <c r="F21" s="66">
        <f>+F20*F16</f>
        <v>162772.71181269837</v>
      </c>
      <c r="G21" s="9"/>
      <c r="H21" s="99">
        <f>-ROUND(+F21,-3)</f>
        <v>-163000</v>
      </c>
      <c r="I21" s="9"/>
      <c r="J21" s="14" t="s">
        <v>367</v>
      </c>
      <c r="K21" s="9"/>
      <c r="L21" s="9"/>
      <c r="M21" t="s">
        <v>325</v>
      </c>
      <c r="S21" s="95">
        <v>0.393355</v>
      </c>
      <c r="U21" t="s">
        <v>324</v>
      </c>
    </row>
    <row r="22" spans="11:19" ht="12.75">
      <c r="K22" s="9"/>
      <c r="L22" s="9"/>
      <c r="S22" s="63"/>
    </row>
    <row r="23" spans="2:19" ht="12.75">
      <c r="B23" s="15"/>
      <c r="C23" s="9"/>
      <c r="D23" s="14" t="s">
        <v>355</v>
      </c>
      <c r="E23" s="9"/>
      <c r="F23" s="66"/>
      <c r="G23" s="9"/>
      <c r="H23" s="11"/>
      <c r="I23" s="9"/>
      <c r="J23" s="9"/>
      <c r="K23" s="9"/>
      <c r="L23" s="9"/>
      <c r="M23" t="s">
        <v>326</v>
      </c>
      <c r="S23" s="63">
        <f>+(S21*S19)</f>
        <v>93348.81376968966</v>
      </c>
    </row>
    <row r="24" spans="2:19" ht="12.75">
      <c r="B24" s="15">
        <v>9</v>
      </c>
      <c r="C24" s="9"/>
      <c r="D24" s="14" t="s">
        <v>356</v>
      </c>
      <c r="E24" s="9"/>
      <c r="F24" s="100">
        <f>20+1/12</f>
        <v>20.083333333333332</v>
      </c>
      <c r="G24" s="9"/>
      <c r="I24" s="9"/>
      <c r="J24" s="57" t="s">
        <v>357</v>
      </c>
      <c r="K24" s="9"/>
      <c r="L24" s="9"/>
      <c r="S24" s="63"/>
    </row>
    <row r="25" spans="2:19" ht="12.75">
      <c r="B25" s="15">
        <v>10</v>
      </c>
      <c r="C25" s="9"/>
      <c r="D25" s="14" t="s">
        <v>358</v>
      </c>
      <c r="E25" s="9"/>
      <c r="F25" s="66">
        <f>+F24*F20</f>
        <v>5016910.111886166</v>
      </c>
      <c r="G25" s="9"/>
      <c r="H25" s="11"/>
      <c r="I25" s="9"/>
      <c r="J25" s="14" t="s">
        <v>368</v>
      </c>
      <c r="K25" s="9"/>
      <c r="L25" s="9"/>
      <c r="M25" t="s">
        <v>327</v>
      </c>
      <c r="S25" s="63">
        <f>+ROUND(S23*S13,-3)</f>
        <v>61000</v>
      </c>
    </row>
    <row r="26" spans="2:19" ht="12.75">
      <c r="B26" s="15">
        <v>11</v>
      </c>
      <c r="C26" s="9"/>
      <c r="D26" s="14" t="s">
        <v>359</v>
      </c>
      <c r="E26" s="9"/>
      <c r="F26" s="66">
        <f>+F25+F20</f>
        <v>5266714.764760166</v>
      </c>
      <c r="G26" s="9"/>
      <c r="H26" s="11"/>
      <c r="I26" s="9"/>
      <c r="J26" s="14" t="s">
        <v>369</v>
      </c>
      <c r="K26" s="9"/>
      <c r="L26" s="9"/>
      <c r="S26" s="63"/>
    </row>
    <row r="27" spans="2:19" ht="12.75">
      <c r="B27" s="15">
        <v>12</v>
      </c>
      <c r="C27" s="9"/>
      <c r="D27" s="14" t="s">
        <v>360</v>
      </c>
      <c r="E27" s="9"/>
      <c r="F27" s="66">
        <f>+(+F25+F26)/2</f>
        <v>5141812.438323166</v>
      </c>
      <c r="G27" s="9"/>
      <c r="H27" s="11"/>
      <c r="I27" s="9"/>
      <c r="J27" s="14" t="s">
        <v>370</v>
      </c>
      <c r="K27" s="9"/>
      <c r="L27" s="9"/>
      <c r="M27" t="s">
        <v>328</v>
      </c>
      <c r="S27" s="63">
        <f>-S14-S25</f>
        <v>102000</v>
      </c>
    </row>
    <row r="28" spans="2:19" ht="12.75">
      <c r="B28" s="15">
        <v>13</v>
      </c>
      <c r="C28" s="9"/>
      <c r="D28" s="14" t="s">
        <v>361</v>
      </c>
      <c r="E28" s="9"/>
      <c r="F28" s="66">
        <f>+F27*F16</f>
        <v>3350404.984811375</v>
      </c>
      <c r="G28" s="9"/>
      <c r="H28" s="99">
        <f>-ROUND(+F28,-3)</f>
        <v>-3350000</v>
      </c>
      <c r="I28" s="9"/>
      <c r="J28" s="14" t="s">
        <v>371</v>
      </c>
      <c r="K28" s="9"/>
      <c r="L28" s="9"/>
      <c r="S28" s="63"/>
    </row>
    <row r="29" spans="2:19" ht="12.75">
      <c r="B29" s="15"/>
      <c r="C29" s="9"/>
      <c r="D29" s="9"/>
      <c r="E29" s="9"/>
      <c r="F29" s="66"/>
      <c r="G29" s="9"/>
      <c r="H29" s="11"/>
      <c r="I29" s="9"/>
      <c r="J29" s="9"/>
      <c r="K29" s="9"/>
      <c r="L29" s="9"/>
      <c r="M29" t="s">
        <v>329</v>
      </c>
      <c r="S29" s="63">
        <v>79000</v>
      </c>
    </row>
    <row r="30" spans="2:12" ht="12.75">
      <c r="B30" s="15"/>
      <c r="C30" s="9"/>
      <c r="D30" s="14" t="s">
        <v>373</v>
      </c>
      <c r="E30" s="9"/>
      <c r="F30" s="66"/>
      <c r="G30" s="9"/>
      <c r="H30" s="11"/>
      <c r="I30" s="9"/>
      <c r="J30" s="9"/>
      <c r="K30" s="9"/>
      <c r="L30" s="9"/>
    </row>
    <row r="31" spans="2:19" ht="12.75">
      <c r="B31" s="15">
        <v>14</v>
      </c>
      <c r="C31" s="9"/>
      <c r="D31" s="14" t="s">
        <v>374</v>
      </c>
      <c r="E31" s="9"/>
      <c r="F31" s="96">
        <v>0.95</v>
      </c>
      <c r="G31" s="9"/>
      <c r="H31" s="11"/>
      <c r="I31" s="9"/>
      <c r="J31" s="14" t="s">
        <v>375</v>
      </c>
      <c r="K31" s="9"/>
      <c r="L31" s="9"/>
      <c r="M31" t="s">
        <v>330</v>
      </c>
      <c r="S31" s="63">
        <f>+S27-S29</f>
        <v>23000</v>
      </c>
    </row>
    <row r="32" spans="2:12" ht="12.75">
      <c r="B32" s="15"/>
      <c r="C32" s="9"/>
      <c r="D32" s="14" t="s">
        <v>376</v>
      </c>
      <c r="E32" s="9"/>
      <c r="F32" s="66"/>
      <c r="G32" s="9"/>
      <c r="H32" s="11"/>
      <c r="I32" s="9"/>
      <c r="J32" s="9"/>
      <c r="K32" s="9"/>
      <c r="L32" s="9"/>
    </row>
    <row r="33" spans="2:13" ht="12.75">
      <c r="B33" s="15">
        <v>15</v>
      </c>
      <c r="C33" s="9"/>
      <c r="D33" s="14" t="s">
        <v>377</v>
      </c>
      <c r="E33" s="9"/>
      <c r="F33" s="66">
        <v>5247725</v>
      </c>
      <c r="G33" s="9"/>
      <c r="H33" s="11"/>
      <c r="I33" s="9"/>
      <c r="J33" s="9"/>
      <c r="K33" s="9"/>
      <c r="L33" s="9"/>
      <c r="M33" t="s">
        <v>275</v>
      </c>
    </row>
    <row r="34" spans="2:19" ht="12.75">
      <c r="B34" s="15">
        <v>16</v>
      </c>
      <c r="C34" s="9"/>
      <c r="D34" s="14" t="s">
        <v>378</v>
      </c>
      <c r="E34" s="9"/>
      <c r="F34" s="66">
        <v>-779750</v>
      </c>
      <c r="G34" s="9"/>
      <c r="H34" s="11"/>
      <c r="I34" s="9"/>
      <c r="J34" s="9" t="s">
        <v>380</v>
      </c>
      <c r="K34" s="9"/>
      <c r="L34" s="9"/>
      <c r="N34" t="s">
        <v>331</v>
      </c>
      <c r="S34" s="63">
        <f>-S10*S13</f>
        <v>-5697130.370399999</v>
      </c>
    </row>
    <row r="35" spans="2:20" ht="12.75">
      <c r="B35" s="15"/>
      <c r="C35" s="9"/>
      <c r="D35" s="14" t="s">
        <v>381</v>
      </c>
      <c r="E35" s="9"/>
      <c r="F35" s="66"/>
      <c r="G35" s="9"/>
      <c r="H35" s="11"/>
      <c r="I35" s="9"/>
      <c r="J35" s="9"/>
      <c r="K35" s="9"/>
      <c r="L35" s="9"/>
      <c r="N35" t="s">
        <v>332</v>
      </c>
      <c r="R35">
        <f>+T36*S11</f>
        <v>0.6023719166666666</v>
      </c>
      <c r="S35" s="63">
        <f>+R35*S34</f>
        <v>-3431791.3407177236</v>
      </c>
      <c r="T35" t="s">
        <v>333</v>
      </c>
    </row>
    <row r="36" spans="2:20" ht="12.75">
      <c r="B36" s="15">
        <v>17</v>
      </c>
      <c r="C36" s="9"/>
      <c r="D36" s="14" t="s">
        <v>382</v>
      </c>
      <c r="E36" s="9"/>
      <c r="F36" s="70">
        <f>+F17/F33</f>
        <v>1.085638132790876</v>
      </c>
      <c r="G36" s="9"/>
      <c r="H36" s="11"/>
      <c r="I36" s="9"/>
      <c r="J36" s="84" t="s">
        <v>388</v>
      </c>
      <c r="K36" s="9"/>
      <c r="L36" s="9"/>
      <c r="N36" t="s">
        <v>334</v>
      </c>
      <c r="S36" s="63">
        <f>+S35-S34*S11</f>
        <v>-3269018.6289050253</v>
      </c>
      <c r="T36" s="97">
        <f>21+1/12</f>
        <v>21.083333333333332</v>
      </c>
    </row>
    <row r="37" spans="2:19" ht="12.75">
      <c r="B37" s="15">
        <v>18</v>
      </c>
      <c r="C37" s="9"/>
      <c r="D37" s="14" t="s">
        <v>654</v>
      </c>
      <c r="E37" s="9"/>
      <c r="F37" s="66">
        <f>+F36*F34</f>
        <v>-846526.3340436856</v>
      </c>
      <c r="G37" s="9"/>
      <c r="H37" s="99">
        <f>-ROUND(+F37,-3)</f>
        <v>847000</v>
      </c>
      <c r="I37" s="9"/>
      <c r="J37" s="9" t="s">
        <v>389</v>
      </c>
      <c r="K37" s="9"/>
      <c r="L37" s="9"/>
      <c r="N37" t="s">
        <v>335</v>
      </c>
      <c r="S37" s="63">
        <f>+ROUND(AVERAGE(S35:S36),-3)</f>
        <v>-3350000</v>
      </c>
    </row>
    <row r="38" spans="2:19" ht="12.75">
      <c r="B38" s="15"/>
      <c r="C38" s="9"/>
      <c r="D38" s="9"/>
      <c r="E38" s="9"/>
      <c r="F38" s="9"/>
      <c r="G38" s="9"/>
      <c r="H38" s="11"/>
      <c r="I38" s="9"/>
      <c r="J38" s="9"/>
      <c r="K38" s="9"/>
      <c r="L38" s="9"/>
      <c r="N38" t="s">
        <v>336</v>
      </c>
      <c r="R38" s="2">
        <v>-779750</v>
      </c>
      <c r="S38" s="63"/>
    </row>
    <row r="39" spans="2:19" ht="12.75">
      <c r="B39" s="15"/>
      <c r="C39" s="9"/>
      <c r="D39" s="14" t="s">
        <v>383</v>
      </c>
      <c r="E39" s="9"/>
      <c r="F39" s="9"/>
      <c r="G39" s="9"/>
      <c r="H39" s="11"/>
      <c r="I39" s="9"/>
      <c r="J39" s="9"/>
      <c r="K39" s="9"/>
      <c r="L39" s="9"/>
      <c r="N39" t="s">
        <v>337</v>
      </c>
      <c r="R39" s="2">
        <v>5247725</v>
      </c>
      <c r="S39" s="63"/>
    </row>
    <row r="40" spans="2:19" ht="12.75">
      <c r="B40" s="15">
        <v>19</v>
      </c>
      <c r="C40" s="9"/>
      <c r="D40" s="14" t="s">
        <v>384</v>
      </c>
      <c r="E40" s="9"/>
      <c r="F40" s="9">
        <v>0.393355</v>
      </c>
      <c r="G40" s="9"/>
      <c r="H40" s="11"/>
      <c r="I40" s="9"/>
      <c r="J40" s="9" t="s">
        <v>379</v>
      </c>
      <c r="K40" s="9"/>
      <c r="L40" s="9"/>
      <c r="N40" t="s">
        <v>338</v>
      </c>
      <c r="R40" s="2">
        <f>-S34</f>
        <v>5697130.370399999</v>
      </c>
      <c r="S40" s="63"/>
    </row>
    <row r="41" spans="2:19" ht="12.75">
      <c r="B41" s="15">
        <v>20</v>
      </c>
      <c r="C41" s="9"/>
      <c r="D41" s="14" t="s">
        <v>655</v>
      </c>
      <c r="E41" s="9"/>
      <c r="F41" s="66">
        <f>0.95*F40*F21</f>
        <v>60826.08705232976</v>
      </c>
      <c r="G41" s="9"/>
      <c r="H41" s="99">
        <f>ROUND(+F41,-3)</f>
        <v>61000</v>
      </c>
      <c r="I41" s="9"/>
      <c r="J41" s="14" t="s">
        <v>390</v>
      </c>
      <c r="K41" s="9"/>
      <c r="L41" s="9"/>
      <c r="N41" t="s">
        <v>339</v>
      </c>
      <c r="R41">
        <f>+R40/R39</f>
        <v>1.085638132790876</v>
      </c>
      <c r="S41" s="63"/>
    </row>
    <row r="42" spans="2:19" ht="12.75">
      <c r="B42" s="15"/>
      <c r="C42" s="9"/>
      <c r="D42" s="9"/>
      <c r="E42" s="9"/>
      <c r="F42" s="9"/>
      <c r="G42" s="9"/>
      <c r="H42" s="101"/>
      <c r="I42" s="9"/>
      <c r="J42" s="9"/>
      <c r="K42" s="9"/>
      <c r="L42" s="9"/>
      <c r="N42" t="s">
        <v>340</v>
      </c>
      <c r="S42" s="63">
        <f>+ROUND(R41*R38,-3)</f>
        <v>-847000</v>
      </c>
    </row>
    <row r="43" spans="2:19" ht="12.75">
      <c r="B43" s="15">
        <v>21</v>
      </c>
      <c r="C43" s="9"/>
      <c r="D43" s="14" t="s">
        <v>387</v>
      </c>
      <c r="E43" s="9"/>
      <c r="F43" s="9"/>
      <c r="G43" s="9"/>
      <c r="H43" s="101">
        <f>+H17-H28+H37</f>
        <v>-1500000</v>
      </c>
      <c r="I43" s="9"/>
      <c r="J43" s="9" t="s">
        <v>391</v>
      </c>
      <c r="K43" s="9"/>
      <c r="L43" s="9"/>
      <c r="S43" s="63"/>
    </row>
    <row r="44" spans="2:19" ht="12.75">
      <c r="B44" s="15">
        <v>22</v>
      </c>
      <c r="C44" s="9"/>
      <c r="D44" s="14" t="s">
        <v>386</v>
      </c>
      <c r="E44" s="9"/>
      <c r="F44" s="9"/>
      <c r="G44" s="9"/>
      <c r="H44" s="101">
        <f>-H21-H41</f>
        <v>102000</v>
      </c>
      <c r="I44" s="9"/>
      <c r="J44" s="84" t="s">
        <v>392</v>
      </c>
      <c r="K44" s="9"/>
      <c r="L44" s="9"/>
      <c r="M44" t="s">
        <v>341</v>
      </c>
      <c r="S44" s="63">
        <f>+ROUND(S34,-3)-S37-S42</f>
        <v>-1500000</v>
      </c>
    </row>
    <row r="45" spans="2:19" ht="12.75">
      <c r="B45" s="15"/>
      <c r="C45" s="9"/>
      <c r="D45" s="9"/>
      <c r="E45" s="9"/>
      <c r="F45" s="9"/>
      <c r="G45" s="9"/>
      <c r="H45" s="11"/>
      <c r="I45" s="9"/>
      <c r="J45" s="9"/>
      <c r="K45" s="9"/>
      <c r="L45" s="9"/>
      <c r="S45" s="63"/>
    </row>
    <row r="46" spans="2:19" ht="12.75">
      <c r="B46" s="15"/>
      <c r="C46" s="9"/>
      <c r="D46" s="14" t="s">
        <v>117</v>
      </c>
      <c r="E46" s="9"/>
      <c r="F46" s="9"/>
      <c r="G46" s="9"/>
      <c r="H46" s="9"/>
      <c r="I46" s="9"/>
      <c r="J46" s="9"/>
      <c r="K46" s="9"/>
      <c r="L46" s="9"/>
      <c r="M46" t="s">
        <v>117</v>
      </c>
      <c r="S46" s="63">
        <v>-1021000</v>
      </c>
    </row>
    <row r="47" spans="2:19" ht="12.75">
      <c r="B47" s="15">
        <v>23</v>
      </c>
      <c r="C47" s="9"/>
      <c r="D47" s="14" t="s">
        <v>244</v>
      </c>
      <c r="E47" s="9"/>
      <c r="F47" s="9"/>
      <c r="G47" s="9"/>
      <c r="H47" s="66">
        <v>-1021000</v>
      </c>
      <c r="I47" s="9"/>
      <c r="J47" s="9"/>
      <c r="K47" s="9"/>
      <c r="L47" s="9"/>
      <c r="S47" s="63"/>
    </row>
    <row r="48" spans="2:19" ht="12.75">
      <c r="B48" s="15">
        <v>24</v>
      </c>
      <c r="C48" s="9"/>
      <c r="D48" s="14" t="s">
        <v>156</v>
      </c>
      <c r="E48" s="9"/>
      <c r="F48" s="9"/>
      <c r="G48" s="9"/>
      <c r="H48" s="67">
        <v>79000</v>
      </c>
      <c r="I48" s="9"/>
      <c r="J48" s="9"/>
      <c r="K48" s="9"/>
      <c r="L48" s="9"/>
      <c r="M48" t="s">
        <v>330</v>
      </c>
      <c r="S48" s="63">
        <f>+S44-S46</f>
        <v>-479000</v>
      </c>
    </row>
    <row r="49" spans="2:12" ht="12.75">
      <c r="B49" s="15"/>
      <c r="C49" s="9"/>
      <c r="D49" s="9"/>
      <c r="E49" s="9"/>
      <c r="F49" s="9"/>
      <c r="G49" s="9"/>
      <c r="H49" s="38"/>
      <c r="I49" s="9"/>
      <c r="J49" s="9"/>
      <c r="K49" s="9"/>
      <c r="L49" s="9"/>
    </row>
    <row r="50" spans="2:19" ht="12.75">
      <c r="B50" s="15"/>
      <c r="C50" s="9"/>
      <c r="D50" s="14" t="s">
        <v>393</v>
      </c>
      <c r="E50" s="9"/>
      <c r="F50" s="9"/>
      <c r="G50" s="9"/>
      <c r="H50" s="9"/>
      <c r="I50" s="9"/>
      <c r="J50" s="9"/>
      <c r="K50" s="9"/>
      <c r="L50" s="9"/>
      <c r="M50" t="s">
        <v>342</v>
      </c>
      <c r="S50" s="91">
        <v>0</v>
      </c>
    </row>
    <row r="51" spans="2:12" ht="13.5" thickBot="1">
      <c r="B51" s="15">
        <v>25</v>
      </c>
      <c r="C51" s="9"/>
      <c r="D51" s="14" t="s">
        <v>244</v>
      </c>
      <c r="E51" s="9"/>
      <c r="F51" s="9"/>
      <c r="G51" s="9"/>
      <c r="H51" s="103">
        <f>+H43-H47</f>
        <v>-479000</v>
      </c>
      <c r="I51" s="9"/>
      <c r="J51" s="9" t="s">
        <v>394</v>
      </c>
      <c r="K51" s="9"/>
      <c r="L51" s="9"/>
    </row>
    <row r="52" spans="11:19" ht="13.5" thickTop="1">
      <c r="K52" s="9"/>
      <c r="L52" s="9"/>
      <c r="M52" t="s">
        <v>277</v>
      </c>
      <c r="S52" s="63">
        <f>+S48*S50</f>
        <v>0</v>
      </c>
    </row>
    <row r="53" spans="2:19" ht="13.5" thickBot="1">
      <c r="B53" s="45">
        <v>26</v>
      </c>
      <c r="C53" s="9"/>
      <c r="D53" s="14" t="s">
        <v>156</v>
      </c>
      <c r="E53" s="9"/>
      <c r="F53" s="9"/>
      <c r="G53" s="9"/>
      <c r="H53" s="103">
        <f>+H44-H48</f>
        <v>23000</v>
      </c>
      <c r="I53" s="9"/>
      <c r="J53" s="9" t="s">
        <v>395</v>
      </c>
      <c r="K53" s="9"/>
      <c r="L53" s="9"/>
      <c r="S53" s="63"/>
    </row>
    <row r="54" spans="2:19" ht="13.5" thickTop="1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t="s">
        <v>343</v>
      </c>
      <c r="S54" s="63">
        <f>-S31+S52</f>
        <v>-23000</v>
      </c>
    </row>
    <row r="55" spans="2:12" ht="12.7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2:19" ht="12.7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t="s">
        <v>278</v>
      </c>
      <c r="S56" s="92">
        <v>0</v>
      </c>
    </row>
    <row r="57" spans="2:19" ht="12.7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S57" s="63"/>
    </row>
    <row r="58" spans="2:19" ht="13.5" thickBot="1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t="s">
        <v>279</v>
      </c>
      <c r="S58" s="52" t="e">
        <f>+S54/S56</f>
        <v>#DIV/0!</v>
      </c>
    </row>
    <row r="59" spans="2:12" ht="13.5" thickTop="1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2:12" ht="12.7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</sheetData>
  <mergeCells count="4">
    <mergeCell ref="D10:E10"/>
    <mergeCell ref="D6:J6"/>
    <mergeCell ref="D7:J7"/>
    <mergeCell ref="D8:J8"/>
  </mergeCells>
  <printOptions/>
  <pageMargins left="1.25" right="0.5" top="1" bottom="1" header="0.5" footer="0.5"/>
  <pageSetup fitToHeight="1" fitToWidth="1" horizontalDpi="600" verticalDpi="600" orientation="portrait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"/>
  <sheetViews>
    <sheetView workbookViewId="0" topLeftCell="A1">
      <selection activeCell="J18" sqref="J18"/>
    </sheetView>
  </sheetViews>
  <sheetFormatPr defaultColWidth="9.140625" defaultRowHeight="12.75"/>
  <cols>
    <col min="1" max="1" width="5.7109375" style="0" customWidth="1"/>
    <col min="2" max="2" width="2.7109375" style="0" customWidth="1"/>
    <col min="5" max="5" width="19.140625" style="0" customWidth="1"/>
    <col min="6" max="6" width="11.140625" style="0" bestFit="1" customWidth="1"/>
    <col min="7" max="7" width="1.7109375" style="0" customWidth="1"/>
    <col min="8" max="8" width="10.7109375" style="0" bestFit="1" customWidth="1"/>
    <col min="9" max="9" width="1.7109375" style="0" customWidth="1"/>
    <col min="10" max="10" width="15.421875" style="0" bestFit="1" customWidth="1"/>
    <col min="13" max="13" width="2.140625" style="0" customWidth="1"/>
    <col min="14" max="14" width="0.85546875" style="0" customWidth="1"/>
    <col min="15" max="15" width="1.28515625" style="0" customWidth="1"/>
    <col min="16" max="16" width="1.1484375" style="0" customWidth="1"/>
    <col min="21" max="21" width="10.28125" style="0" bestFit="1" customWidth="1"/>
    <col min="22" max="22" width="10.8515625" style="0" bestFit="1" customWidth="1"/>
  </cols>
  <sheetData>
    <row r="1" spans="1:10" ht="12.75">
      <c r="A1" t="s">
        <v>223</v>
      </c>
      <c r="J1" s="43" t="s">
        <v>663</v>
      </c>
    </row>
    <row r="2" ht="12.75">
      <c r="J2" s="43" t="s">
        <v>794</v>
      </c>
    </row>
    <row r="3" ht="12.75">
      <c r="J3" s="43" t="s">
        <v>778</v>
      </c>
    </row>
    <row r="4" ht="12.75">
      <c r="J4" s="43"/>
    </row>
    <row r="5" ht="12.75">
      <c r="J5" s="43" t="s">
        <v>634</v>
      </c>
    </row>
    <row r="6" spans="1:11" ht="15.75">
      <c r="A6" s="4"/>
      <c r="B6" s="4"/>
      <c r="C6" s="149" t="s">
        <v>79</v>
      </c>
      <c r="D6" s="149"/>
      <c r="E6" s="149"/>
      <c r="F6" s="149"/>
      <c r="G6" s="149"/>
      <c r="H6" s="149"/>
      <c r="I6" s="149"/>
      <c r="J6" s="149"/>
      <c r="K6" s="48"/>
    </row>
    <row r="7" spans="1:11" ht="12.75">
      <c r="A7" s="4"/>
      <c r="B7" s="4"/>
      <c r="C7" s="150" t="s">
        <v>81</v>
      </c>
      <c r="D7" s="150"/>
      <c r="E7" s="150"/>
      <c r="F7" s="150"/>
      <c r="G7" s="150"/>
      <c r="H7" s="150"/>
      <c r="I7" s="150"/>
      <c r="J7" s="150"/>
      <c r="K7" s="49"/>
    </row>
    <row r="8" spans="1:11" ht="12.75">
      <c r="A8" s="4"/>
      <c r="B8" s="4"/>
      <c r="C8" s="150" t="s">
        <v>436</v>
      </c>
      <c r="D8" s="150"/>
      <c r="E8" s="150"/>
      <c r="F8" s="150"/>
      <c r="G8" s="150"/>
      <c r="H8" s="150"/>
      <c r="I8" s="150"/>
      <c r="J8" s="150"/>
      <c r="K8" s="49"/>
    </row>
    <row r="9" spans="1:11" ht="12.75">
      <c r="A9" s="4" t="s">
        <v>3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7" ht="12.75">
      <c r="A10" s="5" t="s">
        <v>4</v>
      </c>
      <c r="B10" s="4"/>
      <c r="C10" s="153" t="s">
        <v>5</v>
      </c>
      <c r="D10" s="153"/>
      <c r="E10" s="5"/>
      <c r="F10" s="5"/>
      <c r="G10" s="15"/>
      <c r="H10" s="47" t="s">
        <v>0</v>
      </c>
      <c r="I10" s="4"/>
      <c r="J10" s="5" t="s">
        <v>77</v>
      </c>
      <c r="K10" s="4"/>
      <c r="Q10" t="s">
        <v>396</v>
      </c>
    </row>
    <row r="11" spans="1:11" ht="12.75">
      <c r="A11" s="4">
        <v>1</v>
      </c>
      <c r="B11" s="4"/>
      <c r="C11" s="98" t="s">
        <v>348</v>
      </c>
      <c r="D11" s="4"/>
      <c r="E11" s="4"/>
      <c r="F11" s="4"/>
      <c r="G11" s="4"/>
      <c r="H11" s="106">
        <v>7620000</v>
      </c>
      <c r="I11" s="4"/>
      <c r="J11" s="4"/>
      <c r="K11" s="4"/>
    </row>
    <row r="12" spans="8:22" ht="12.75">
      <c r="H12" s="63"/>
      <c r="Q12" t="s">
        <v>397</v>
      </c>
      <c r="U12" s="2">
        <v>7620000</v>
      </c>
      <c r="V12" s="2"/>
    </row>
    <row r="13" spans="1:22" ht="12.75">
      <c r="A13" s="4">
        <v>2</v>
      </c>
      <c r="C13" t="s">
        <v>413</v>
      </c>
      <c r="F13">
        <v>0.6516</v>
      </c>
      <c r="H13" s="63"/>
      <c r="Q13" t="s">
        <v>398</v>
      </c>
      <c r="T13">
        <v>0.6516</v>
      </c>
      <c r="U13" s="2"/>
      <c r="V13" s="2">
        <f>+T13*U12</f>
        <v>4965192</v>
      </c>
    </row>
    <row r="14" spans="1:22" ht="12.75">
      <c r="A14" s="4">
        <v>3</v>
      </c>
      <c r="C14" t="s">
        <v>414</v>
      </c>
      <c r="F14" s="63">
        <f>+F13*H11</f>
        <v>4965192</v>
      </c>
      <c r="H14" s="63">
        <f>-ROUND(F14,-3)</f>
        <v>-4965000</v>
      </c>
      <c r="U14" s="2"/>
      <c r="V14" s="2"/>
    </row>
    <row r="15" spans="1:25" ht="12.75">
      <c r="A15" s="4"/>
      <c r="H15" s="63"/>
      <c r="Q15" t="s">
        <v>88</v>
      </c>
      <c r="U15" s="2"/>
      <c r="V15" s="2">
        <f>+Y15*Y21</f>
        <v>448605.0972</v>
      </c>
      <c r="Y15">
        <v>26</v>
      </c>
    </row>
    <row r="16" spans="1:26" ht="12.75">
      <c r="A16" s="4">
        <v>4</v>
      </c>
      <c r="C16" t="s">
        <v>415</v>
      </c>
      <c r="F16">
        <v>0.0417</v>
      </c>
      <c r="H16" s="63"/>
      <c r="J16" t="s">
        <v>416</v>
      </c>
      <c r="U16" s="2"/>
      <c r="V16" s="2"/>
      <c r="Z16" s="104">
        <v>37377</v>
      </c>
    </row>
    <row r="17" spans="1:26" ht="12.75">
      <c r="A17" s="4"/>
      <c r="H17" s="63"/>
      <c r="Q17" t="s">
        <v>399</v>
      </c>
      <c r="U17" s="2"/>
      <c r="V17" s="3">
        <f>+ROUND(Z32,0)</f>
        <v>113410</v>
      </c>
      <c r="Z17" s="104">
        <v>38169</v>
      </c>
    </row>
    <row r="18" spans="1:26" ht="12.75">
      <c r="A18" s="4">
        <v>5</v>
      </c>
      <c r="C18" t="s">
        <v>417</v>
      </c>
      <c r="F18">
        <v>26</v>
      </c>
      <c r="H18" s="63"/>
      <c r="U18" s="2"/>
      <c r="V18" s="2"/>
      <c r="Z18" s="105" t="s">
        <v>400</v>
      </c>
    </row>
    <row r="19" spans="1:22" ht="12.75">
      <c r="A19" s="4"/>
      <c r="C19" t="s">
        <v>418</v>
      </c>
      <c r="H19" s="63"/>
      <c r="Q19" t="s">
        <v>297</v>
      </c>
      <c r="U19" s="2"/>
      <c r="V19" s="2">
        <f>-V13+V15+V17</f>
        <v>-4403176.9028</v>
      </c>
    </row>
    <row r="20" spans="1:22" ht="12.75">
      <c r="A20" s="4">
        <v>6</v>
      </c>
      <c r="C20" t="s">
        <v>421</v>
      </c>
      <c r="F20" s="63">
        <f>+F16*F14</f>
        <v>207048.5064</v>
      </c>
      <c r="H20" s="63"/>
      <c r="U20" s="2"/>
      <c r="V20" s="2"/>
    </row>
    <row r="21" spans="1:26" ht="12.75">
      <c r="A21" s="4">
        <v>7</v>
      </c>
      <c r="C21" t="s">
        <v>419</v>
      </c>
      <c r="F21" s="63">
        <f>+F16*32/12*F14</f>
        <v>552129.3504</v>
      </c>
      <c r="H21" s="63"/>
      <c r="J21" t="s">
        <v>427</v>
      </c>
      <c r="Q21" t="s">
        <v>239</v>
      </c>
      <c r="R21" t="s">
        <v>401</v>
      </c>
      <c r="U21" s="2"/>
      <c r="V21" s="2"/>
      <c r="X21">
        <f>+V13*0.0417</f>
        <v>207048.5064</v>
      </c>
      <c r="Y21">
        <f>+X21/12</f>
        <v>17254.0422</v>
      </c>
      <c r="Z21" t="s">
        <v>402</v>
      </c>
    </row>
    <row r="22" spans="1:26" ht="12.75">
      <c r="A22" s="4">
        <v>8</v>
      </c>
      <c r="C22" t="s">
        <v>420</v>
      </c>
      <c r="F22" s="63">
        <f>+F21-F20</f>
        <v>345080.844</v>
      </c>
      <c r="H22" s="63"/>
      <c r="J22" t="s">
        <v>428</v>
      </c>
      <c r="U22" s="2"/>
      <c r="V22" s="2"/>
      <c r="Z22">
        <v>32</v>
      </c>
    </row>
    <row r="23" spans="1:27" ht="12.75">
      <c r="A23" s="4"/>
      <c r="F23" s="63"/>
      <c r="H23" s="63"/>
      <c r="Q23" t="s">
        <v>403</v>
      </c>
      <c r="U23" s="2"/>
      <c r="V23" s="3">
        <f>+ROUND(V21*0.35,0)</f>
        <v>0</v>
      </c>
      <c r="Z23">
        <f>+Z22*Y21</f>
        <v>552129.3504</v>
      </c>
      <c r="AA23" t="s">
        <v>404</v>
      </c>
    </row>
    <row r="24" spans="1:28" ht="12.75">
      <c r="A24" s="4">
        <v>9</v>
      </c>
      <c r="C24" t="s">
        <v>422</v>
      </c>
      <c r="F24" s="63">
        <f>+AVERAGE(F21:F22)</f>
        <v>448605.09719999996</v>
      </c>
      <c r="H24" s="63">
        <f>-ROUND(F24,-3)</f>
        <v>-449000</v>
      </c>
      <c r="J24" t="s">
        <v>795</v>
      </c>
      <c r="U24" s="2"/>
      <c r="V24" s="2"/>
      <c r="AA24" t="s">
        <v>405</v>
      </c>
      <c r="AB24">
        <v>0.0375</v>
      </c>
    </row>
    <row r="25" spans="1:28" ht="12.75">
      <c r="A25" s="4"/>
      <c r="F25" s="63"/>
      <c r="H25" s="63"/>
      <c r="Q25" t="s">
        <v>406</v>
      </c>
      <c r="U25" s="2"/>
      <c r="V25" s="2">
        <f>+V21-V23</f>
        <v>0</v>
      </c>
      <c r="AA25" t="s">
        <v>407</v>
      </c>
      <c r="AB25">
        <v>0.07219</v>
      </c>
    </row>
    <row r="26" spans="1:28" ht="12.75">
      <c r="A26" s="4"/>
      <c r="C26" t="s">
        <v>423</v>
      </c>
      <c r="F26" s="63"/>
      <c r="H26" s="63"/>
      <c r="AA26" t="s">
        <v>408</v>
      </c>
      <c r="AB26">
        <v>0.06677</v>
      </c>
    </row>
    <row r="27" spans="1:28" ht="12.75">
      <c r="A27" s="4">
        <v>10</v>
      </c>
      <c r="C27" t="s">
        <v>424</v>
      </c>
      <c r="F27" s="107">
        <v>0.17646</v>
      </c>
      <c r="H27" s="63"/>
      <c r="J27" t="s">
        <v>429</v>
      </c>
      <c r="Q27" t="s">
        <v>409</v>
      </c>
      <c r="AB27">
        <f>SUM(AB24:AB26)</f>
        <v>0.17646</v>
      </c>
    </row>
    <row r="28" spans="1:27" ht="12.75">
      <c r="A28" s="4">
        <v>11</v>
      </c>
      <c r="C28" t="s">
        <v>434</v>
      </c>
      <c r="F28" s="63">
        <f>+F27*F14</f>
        <v>876157.78032</v>
      </c>
      <c r="H28" s="63"/>
      <c r="J28" t="s">
        <v>430</v>
      </c>
      <c r="Z28">
        <f>+AB27*V13</f>
        <v>876157.78032</v>
      </c>
      <c r="AA28" t="s">
        <v>656</v>
      </c>
    </row>
    <row r="29" spans="1:22" ht="12.75">
      <c r="A29" s="4">
        <v>12</v>
      </c>
      <c r="C29" t="s">
        <v>435</v>
      </c>
      <c r="F29" s="63">
        <f>+F21</f>
        <v>552129.3504</v>
      </c>
      <c r="H29" s="63"/>
      <c r="J29" t="s">
        <v>431</v>
      </c>
      <c r="Q29" t="s">
        <v>342</v>
      </c>
      <c r="V29" s="91">
        <v>0</v>
      </c>
    </row>
    <row r="30" spans="1:27" ht="12.75">
      <c r="A30" s="4"/>
      <c r="F30" s="63"/>
      <c r="H30" s="63"/>
      <c r="Z30">
        <f>+Z28-Z23</f>
        <v>324028.42992</v>
      </c>
      <c r="AA30" t="s">
        <v>410</v>
      </c>
    </row>
    <row r="31" spans="1:26" ht="12.75">
      <c r="A31" s="4">
        <v>13</v>
      </c>
      <c r="C31" t="s">
        <v>425</v>
      </c>
      <c r="F31" s="63">
        <f>+F28-F29</f>
        <v>324028.42992</v>
      </c>
      <c r="H31" s="63"/>
      <c r="J31" t="s">
        <v>433</v>
      </c>
      <c r="Q31" t="s">
        <v>411</v>
      </c>
      <c r="V31" s="63">
        <f>+V19*V29</f>
        <v>0</v>
      </c>
      <c r="Z31">
        <v>0.35</v>
      </c>
    </row>
    <row r="32" spans="1:26" ht="12.75">
      <c r="A32" s="4"/>
      <c r="F32" s="63"/>
      <c r="H32" s="63"/>
      <c r="Z32">
        <f>+Z31*Z30</f>
        <v>113409.950472</v>
      </c>
    </row>
    <row r="33" spans="1:22" ht="12.75">
      <c r="A33" s="4">
        <v>14</v>
      </c>
      <c r="C33" t="s">
        <v>426</v>
      </c>
      <c r="E33">
        <v>0.35</v>
      </c>
      <c r="F33" s="63">
        <f>+F31*E33</f>
        <v>113409.950472</v>
      </c>
      <c r="H33" s="67">
        <f>ROUND(F33,-3)</f>
        <v>113000</v>
      </c>
      <c r="J33" t="s">
        <v>432</v>
      </c>
      <c r="Q33" t="s">
        <v>412</v>
      </c>
      <c r="V33" s="66">
        <f>+V25-V31</f>
        <v>0</v>
      </c>
    </row>
    <row r="34" spans="1:8" ht="12.75">
      <c r="A34" s="4"/>
      <c r="F34" s="63"/>
      <c r="H34" s="63"/>
    </row>
    <row r="35" spans="1:22" ht="13.5" thickBot="1">
      <c r="A35" s="4">
        <v>15</v>
      </c>
      <c r="C35" t="s">
        <v>385</v>
      </c>
      <c r="F35" s="63"/>
      <c r="H35" s="52">
        <f>+H14-H24+H33</f>
        <v>-4403000</v>
      </c>
      <c r="Q35" t="s">
        <v>278</v>
      </c>
      <c r="V35" s="92">
        <v>0</v>
      </c>
    </row>
    <row r="36" spans="6:22" ht="13.5" thickTop="1">
      <c r="F36" s="63"/>
      <c r="H36" s="63"/>
      <c r="V36" s="63"/>
    </row>
    <row r="37" spans="6:22" ht="13.5" thickBot="1">
      <c r="F37" s="63"/>
      <c r="H37" s="63"/>
      <c r="Q37" t="s">
        <v>279</v>
      </c>
      <c r="V37" s="52" t="e">
        <f>-V33/V35</f>
        <v>#DIV/0!</v>
      </c>
    </row>
    <row r="38" spans="6:8" ht="13.5" thickTop="1">
      <c r="F38" s="63"/>
      <c r="H38" s="63"/>
    </row>
    <row r="39" spans="6:8" ht="12.75">
      <c r="F39" s="63"/>
      <c r="H39" s="63"/>
    </row>
    <row r="40" ht="12.75">
      <c r="H40" s="63"/>
    </row>
    <row r="41" ht="12.75">
      <c r="H41" s="63"/>
    </row>
    <row r="42" ht="12.75">
      <c r="H42" s="63"/>
    </row>
    <row r="43" ht="12.75">
      <c r="H43" s="63"/>
    </row>
    <row r="44" ht="12.75">
      <c r="H44" s="63"/>
    </row>
    <row r="45" ht="12.75">
      <c r="H45" s="63"/>
    </row>
    <row r="46" ht="12.75">
      <c r="H46" s="63"/>
    </row>
    <row r="47" ht="12.75">
      <c r="H47" s="63"/>
    </row>
    <row r="48" ht="12.75">
      <c r="H48" s="63"/>
    </row>
    <row r="49" ht="12.75">
      <c r="H49" s="63"/>
    </row>
    <row r="50" ht="12.75">
      <c r="H50" s="63"/>
    </row>
    <row r="51" ht="12.75">
      <c r="H51" s="63"/>
    </row>
    <row r="52" ht="12.75">
      <c r="H52" s="63"/>
    </row>
    <row r="53" ht="12.75">
      <c r="H53" s="63"/>
    </row>
    <row r="54" ht="12.75">
      <c r="H54" s="63"/>
    </row>
    <row r="55" ht="12.75">
      <c r="H55" s="63"/>
    </row>
    <row r="56" ht="12.75">
      <c r="H56" s="63"/>
    </row>
    <row r="57" ht="12.75">
      <c r="H57" s="63"/>
    </row>
    <row r="58" ht="12.75">
      <c r="H58" s="63"/>
    </row>
    <row r="59" ht="12.75">
      <c r="H59" s="63"/>
    </row>
    <row r="60" ht="12.75">
      <c r="H60" s="63"/>
    </row>
    <row r="61" ht="12.75">
      <c r="H61" s="63"/>
    </row>
    <row r="62" ht="12.75">
      <c r="H62" s="63"/>
    </row>
    <row r="63" ht="12.75">
      <c r="H63" s="63"/>
    </row>
    <row r="64" ht="12.75">
      <c r="H64" s="63"/>
    </row>
    <row r="65" ht="12.75">
      <c r="H65" s="63"/>
    </row>
  </sheetData>
  <mergeCells count="4">
    <mergeCell ref="C6:J6"/>
    <mergeCell ref="C7:J7"/>
    <mergeCell ref="C8:J8"/>
    <mergeCell ref="C10:D10"/>
  </mergeCells>
  <printOptions/>
  <pageMargins left="1.25" right="0.75" top="1" bottom="1" header="0.5" footer="0.5"/>
  <pageSetup fitToHeight="1" fitToWidth="1" horizontalDpi="600" verticalDpi="600" orientation="portrait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"/>
  <sheetViews>
    <sheetView workbookViewId="0" topLeftCell="A1">
      <selection activeCell="J2" sqref="J2"/>
    </sheetView>
  </sheetViews>
  <sheetFormatPr defaultColWidth="9.140625" defaultRowHeight="12.75"/>
  <cols>
    <col min="1" max="1" width="5.7109375" style="0" customWidth="1"/>
    <col min="2" max="2" width="2.7109375" style="0" customWidth="1"/>
    <col min="5" max="5" width="19.140625" style="0" customWidth="1"/>
    <col min="6" max="6" width="11.140625" style="0" bestFit="1" customWidth="1"/>
    <col min="7" max="7" width="1.7109375" style="0" customWidth="1"/>
    <col min="8" max="8" width="10.7109375" style="0" bestFit="1" customWidth="1"/>
    <col min="9" max="9" width="1.7109375" style="0" customWidth="1"/>
    <col min="10" max="10" width="16.140625" style="0" bestFit="1" customWidth="1"/>
  </cols>
  <sheetData>
    <row r="1" spans="1:10" ht="12.75">
      <c r="A1" t="s">
        <v>223</v>
      </c>
      <c r="J1" s="43" t="s">
        <v>663</v>
      </c>
    </row>
    <row r="2" ht="12.75">
      <c r="J2" s="43" t="s">
        <v>794</v>
      </c>
    </row>
    <row r="3" ht="12.75">
      <c r="J3" s="43" t="s">
        <v>777</v>
      </c>
    </row>
    <row r="4" ht="12.75">
      <c r="J4" s="43"/>
    </row>
    <row r="5" spans="10:19" ht="15.75">
      <c r="J5" s="43" t="s">
        <v>635</v>
      </c>
      <c r="S5" s="50" t="s">
        <v>437</v>
      </c>
    </row>
    <row r="6" spans="1:11" ht="15.75">
      <c r="A6" s="4"/>
      <c r="B6" s="4"/>
      <c r="C6" s="149" t="s">
        <v>79</v>
      </c>
      <c r="D6" s="149"/>
      <c r="E6" s="149"/>
      <c r="F6" s="149"/>
      <c r="G6" s="149"/>
      <c r="H6" s="149"/>
      <c r="I6" s="149"/>
      <c r="J6" s="149"/>
      <c r="K6" s="48"/>
    </row>
    <row r="7" spans="1:22" ht="12.75">
      <c r="A7" s="4"/>
      <c r="B7" s="4"/>
      <c r="C7" s="150" t="s">
        <v>81</v>
      </c>
      <c r="D7" s="150"/>
      <c r="E7" s="150"/>
      <c r="F7" s="150"/>
      <c r="G7" s="150"/>
      <c r="H7" s="150"/>
      <c r="I7" s="150"/>
      <c r="J7" s="150"/>
      <c r="K7" s="49"/>
      <c r="T7" s="63"/>
      <c r="U7" s="64"/>
      <c r="V7" s="63"/>
    </row>
    <row r="8" spans="1:22" ht="12.75">
      <c r="A8" s="4"/>
      <c r="B8" s="4"/>
      <c r="C8" s="150" t="s">
        <v>450</v>
      </c>
      <c r="D8" s="150"/>
      <c r="E8" s="150"/>
      <c r="F8" s="150"/>
      <c r="G8" s="150"/>
      <c r="H8" s="150"/>
      <c r="I8" s="150"/>
      <c r="J8" s="150"/>
      <c r="K8" s="49"/>
      <c r="P8" t="s">
        <v>438</v>
      </c>
      <c r="Q8" s="93"/>
      <c r="T8" s="64"/>
      <c r="U8" s="63"/>
      <c r="V8" s="64"/>
    </row>
    <row r="9" spans="1:22" ht="12.75">
      <c r="A9" s="4" t="s">
        <v>3</v>
      </c>
      <c r="B9" s="4"/>
      <c r="C9" s="4"/>
      <c r="D9" s="4"/>
      <c r="E9" s="4"/>
      <c r="F9" s="4"/>
      <c r="G9" s="4"/>
      <c r="H9" s="4"/>
      <c r="I9" s="4"/>
      <c r="J9" s="4"/>
      <c r="K9" s="4"/>
      <c r="P9" t="s">
        <v>439</v>
      </c>
      <c r="S9" t="s">
        <v>440</v>
      </c>
      <c r="T9" s="66" t="s">
        <v>441</v>
      </c>
      <c r="U9" s="66"/>
      <c r="V9" s="66">
        <v>-345</v>
      </c>
    </row>
    <row r="10" spans="1:22" ht="12.75">
      <c r="A10" s="5" t="s">
        <v>4</v>
      </c>
      <c r="B10" s="4"/>
      <c r="C10" s="153" t="s">
        <v>5</v>
      </c>
      <c r="D10" s="153"/>
      <c r="E10" s="5"/>
      <c r="F10" s="5"/>
      <c r="G10" s="15"/>
      <c r="H10" s="47" t="s">
        <v>0</v>
      </c>
      <c r="I10" s="4"/>
      <c r="J10" s="5" t="s">
        <v>77</v>
      </c>
      <c r="K10" s="4"/>
      <c r="S10" t="s">
        <v>442</v>
      </c>
      <c r="T10" s="63" t="s">
        <v>443</v>
      </c>
      <c r="U10" s="63">
        <v>53</v>
      </c>
      <c r="V10" s="63"/>
    </row>
    <row r="11" spans="1:22" ht="12.75">
      <c r="A11" s="4"/>
      <c r="B11" s="4"/>
      <c r="C11" s="98" t="s">
        <v>494</v>
      </c>
      <c r="D11" s="4"/>
      <c r="E11" s="4"/>
      <c r="F11" s="4"/>
      <c r="G11" s="4"/>
      <c r="H11" s="106"/>
      <c r="I11" s="4"/>
      <c r="J11" s="4"/>
      <c r="K11" s="4"/>
      <c r="S11" t="s">
        <v>444</v>
      </c>
      <c r="T11" s="64"/>
      <c r="U11" s="63">
        <f>+Q18</f>
        <v>74</v>
      </c>
      <c r="V11" s="64"/>
    </row>
    <row r="12" spans="8:22" ht="12.75">
      <c r="H12" s="63"/>
      <c r="Q12">
        <v>0.51875</v>
      </c>
      <c r="T12" s="63" t="s">
        <v>445</v>
      </c>
      <c r="U12" s="63">
        <f>+S20</f>
        <v>7.35</v>
      </c>
      <c r="V12" s="63"/>
    </row>
    <row r="13" spans="3:22" ht="12.75">
      <c r="C13" t="s">
        <v>451</v>
      </c>
      <c r="H13" s="63"/>
      <c r="Q13">
        <v>2000</v>
      </c>
      <c r="T13" s="63" t="s">
        <v>446</v>
      </c>
      <c r="U13" s="63">
        <f>+T20</f>
        <v>3.675</v>
      </c>
      <c r="V13" s="63">
        <f>-ROUND(U13,0)</f>
        <v>-4</v>
      </c>
    </row>
    <row r="14" spans="3:22" ht="12.75">
      <c r="C14" t="s">
        <v>452</v>
      </c>
      <c r="F14" s="63"/>
      <c r="H14" s="63"/>
      <c r="Q14">
        <f>+Q13*Q12</f>
        <v>1037.5</v>
      </c>
      <c r="T14" s="63"/>
      <c r="U14" s="63"/>
      <c r="V14" s="63"/>
    </row>
    <row r="15" ht="12.75">
      <c r="H15" s="63"/>
    </row>
    <row r="16" spans="3:17" ht="12.75">
      <c r="C16" t="s">
        <v>88</v>
      </c>
      <c r="H16" s="63"/>
      <c r="Q16">
        <v>0.03695</v>
      </c>
    </row>
    <row r="17" spans="1:22" ht="12.75">
      <c r="A17">
        <v>1</v>
      </c>
      <c r="C17" t="s">
        <v>453</v>
      </c>
      <c r="F17" s="63">
        <v>2617000</v>
      </c>
      <c r="H17" s="63"/>
      <c r="J17" t="s">
        <v>458</v>
      </c>
      <c r="Q17">
        <f>+Q13*Q16</f>
        <v>73.89999999999999</v>
      </c>
      <c r="V17" s="63"/>
    </row>
    <row r="18" spans="1:22" ht="12.75">
      <c r="A18">
        <v>2</v>
      </c>
      <c r="C18" t="s">
        <v>454</v>
      </c>
      <c r="F18" s="63">
        <f>+F17*23/24</f>
        <v>2507958.3333333335</v>
      </c>
      <c r="H18" s="63"/>
      <c r="J18" t="s">
        <v>470</v>
      </c>
      <c r="M18">
        <f>+F17/12</f>
        <v>218083.33333333334</v>
      </c>
      <c r="P18" t="s">
        <v>447</v>
      </c>
      <c r="Q18">
        <v>74</v>
      </c>
      <c r="V18" s="63"/>
    </row>
    <row r="19" spans="1:22" ht="12.75">
      <c r="A19">
        <v>3</v>
      </c>
      <c r="C19" t="s">
        <v>455</v>
      </c>
      <c r="F19" s="63">
        <f>+F18+F17</f>
        <v>5124958.333333334</v>
      </c>
      <c r="H19" s="63"/>
      <c r="J19" t="s">
        <v>299</v>
      </c>
      <c r="M19">
        <f>+M18/2</f>
        <v>109041.66666666667</v>
      </c>
      <c r="P19" t="s">
        <v>448</v>
      </c>
      <c r="Q19">
        <v>53</v>
      </c>
      <c r="V19" s="63"/>
    </row>
    <row r="20" spans="6:22" ht="12.75">
      <c r="F20" s="63"/>
      <c r="H20" s="63"/>
      <c r="Q20">
        <f>+Q18-Q19</f>
        <v>21</v>
      </c>
      <c r="R20">
        <v>0.35</v>
      </c>
      <c r="S20">
        <f>+Q20*R20</f>
        <v>7.35</v>
      </c>
      <c r="T20">
        <f>+S20/2</f>
        <v>3.675</v>
      </c>
      <c r="V20" s="63"/>
    </row>
    <row r="21" spans="1:22" ht="12.75">
      <c r="A21">
        <v>4</v>
      </c>
      <c r="C21" t="s">
        <v>456</v>
      </c>
      <c r="F21" s="63">
        <f>+AVERAGE(F18:F19)</f>
        <v>3816458.333333334</v>
      </c>
      <c r="G21" s="63"/>
      <c r="H21" s="63"/>
      <c r="J21" t="s">
        <v>471</v>
      </c>
      <c r="V21" s="63"/>
    </row>
    <row r="22" spans="6:22" ht="12.75">
      <c r="F22" s="63"/>
      <c r="G22" s="63"/>
      <c r="H22" s="63"/>
      <c r="P22" t="s">
        <v>449</v>
      </c>
      <c r="S22" t="s">
        <v>440</v>
      </c>
      <c r="T22" s="66" t="s">
        <v>441</v>
      </c>
      <c r="U22" s="66"/>
      <c r="V22" s="108">
        <v>77</v>
      </c>
    </row>
    <row r="23" spans="1:21" ht="12.75">
      <c r="A23">
        <v>5</v>
      </c>
      <c r="C23" t="s">
        <v>457</v>
      </c>
      <c r="F23" s="63">
        <f>+F21*0.6516</f>
        <v>2486804.2500000005</v>
      </c>
      <c r="G23" s="63"/>
      <c r="H23" s="63">
        <f>+ROUND(F23,-3)</f>
        <v>2487000</v>
      </c>
      <c r="S23" t="s">
        <v>442</v>
      </c>
      <c r="T23" s="63" t="s">
        <v>443</v>
      </c>
      <c r="U23" s="63">
        <v>2564</v>
      </c>
    </row>
    <row r="24" spans="6:22" ht="12.75">
      <c r="F24" s="63"/>
      <c r="G24" s="63"/>
      <c r="H24" s="63"/>
      <c r="S24" t="s">
        <v>444</v>
      </c>
      <c r="T24" s="64"/>
      <c r="U24" s="63">
        <f>+Q31</f>
        <v>1947.875</v>
      </c>
      <c r="V24" s="63"/>
    </row>
    <row r="25" spans="3:21" ht="12.75">
      <c r="C25" t="s">
        <v>399</v>
      </c>
      <c r="F25" s="63"/>
      <c r="G25" s="63"/>
      <c r="H25" s="63"/>
      <c r="Q25">
        <v>0.0375</v>
      </c>
      <c r="T25" s="63" t="s">
        <v>445</v>
      </c>
      <c r="U25" s="63">
        <f>+S32</f>
        <v>681.8</v>
      </c>
    </row>
    <row r="26" spans="3:22" ht="12.75">
      <c r="C26" t="s">
        <v>459</v>
      </c>
      <c r="F26" s="63"/>
      <c r="G26" s="63"/>
      <c r="H26" s="63"/>
      <c r="Q26">
        <v>62500</v>
      </c>
      <c r="T26" s="63" t="s">
        <v>446</v>
      </c>
      <c r="U26" s="63">
        <f>+T32</f>
        <v>340.9</v>
      </c>
      <c r="V26" s="63">
        <f>-ROUND(U26,0)</f>
        <v>-341</v>
      </c>
    </row>
    <row r="27" spans="1:17" ht="12.75">
      <c r="A27">
        <v>10</v>
      </c>
      <c r="C27" t="s">
        <v>439</v>
      </c>
      <c r="E27" s="63">
        <v>2000000</v>
      </c>
      <c r="F27" s="63"/>
      <c r="G27" s="63"/>
      <c r="H27" s="63"/>
      <c r="J27" t="s">
        <v>472</v>
      </c>
      <c r="Q27">
        <f>+Q26*Q25</f>
        <v>2343.75</v>
      </c>
    </row>
    <row r="28" spans="1:22" ht="12.75">
      <c r="A28">
        <v>11</v>
      </c>
      <c r="C28" t="s">
        <v>460</v>
      </c>
      <c r="E28" s="111">
        <v>0.51875</v>
      </c>
      <c r="F28" s="63">
        <f>+E28*E27</f>
        <v>1037500.0000000001</v>
      </c>
      <c r="G28" s="63"/>
      <c r="H28" s="63"/>
      <c r="J28" t="s">
        <v>472</v>
      </c>
      <c r="Q28">
        <v>0.07219</v>
      </c>
      <c r="V28" s="92"/>
    </row>
    <row r="29" spans="1:22" ht="12.75">
      <c r="A29">
        <v>12</v>
      </c>
      <c r="C29" t="s">
        <v>461</v>
      </c>
      <c r="E29" s="63">
        <v>62500000</v>
      </c>
      <c r="F29" s="63"/>
      <c r="G29" s="63"/>
      <c r="H29" s="63"/>
      <c r="J29" t="s">
        <v>472</v>
      </c>
      <c r="Q29">
        <f>+Q28*Q26</f>
        <v>4511.875</v>
      </c>
      <c r="V29" s="63"/>
    </row>
    <row r="30" spans="1:22" ht="13.5" thickBot="1">
      <c r="A30">
        <v>13</v>
      </c>
      <c r="C30" t="s">
        <v>460</v>
      </c>
      <c r="E30" s="111">
        <v>0.0375</v>
      </c>
      <c r="F30" s="63">
        <f>+E30*E29</f>
        <v>2343750</v>
      </c>
      <c r="G30" s="63"/>
      <c r="H30" s="63"/>
      <c r="J30" t="s">
        <v>472</v>
      </c>
      <c r="Q30">
        <v>2564</v>
      </c>
      <c r="V30" s="52">
        <f>SUM(V9:V26)</f>
        <v>-613</v>
      </c>
    </row>
    <row r="31" spans="1:17" ht="13.5" thickTop="1">
      <c r="A31">
        <v>14</v>
      </c>
      <c r="C31" t="s">
        <v>480</v>
      </c>
      <c r="F31" s="63">
        <f>+F30+F28</f>
        <v>3381250</v>
      </c>
      <c r="G31" s="63"/>
      <c r="H31" s="63"/>
      <c r="J31" t="s">
        <v>481</v>
      </c>
      <c r="Q31">
        <f>+Q29-Q30</f>
        <v>1947.875</v>
      </c>
    </row>
    <row r="32" spans="1:20" ht="12.75">
      <c r="A32">
        <v>15</v>
      </c>
      <c r="C32" t="s">
        <v>462</v>
      </c>
      <c r="F32" s="63">
        <f>+F31-F18</f>
        <v>873291.6666666665</v>
      </c>
      <c r="G32" s="63"/>
      <c r="H32" s="63"/>
      <c r="J32" t="s">
        <v>482</v>
      </c>
      <c r="Q32">
        <v>1948</v>
      </c>
      <c r="R32">
        <v>0.35</v>
      </c>
      <c r="S32">
        <f>+Q32*R32</f>
        <v>681.8</v>
      </c>
      <c r="T32">
        <f>+S32/2</f>
        <v>340.9</v>
      </c>
    </row>
    <row r="33" spans="1:10" ht="12.75">
      <c r="A33">
        <v>16</v>
      </c>
      <c r="C33" t="s">
        <v>463</v>
      </c>
      <c r="E33" s="112">
        <v>0.35</v>
      </c>
      <c r="F33" s="63">
        <f>-F32*E33</f>
        <v>-305652.08333333326</v>
      </c>
      <c r="G33" s="63"/>
      <c r="H33" s="63"/>
      <c r="J33" t="s">
        <v>493</v>
      </c>
    </row>
    <row r="34" spans="6:8" ht="12.75">
      <c r="F34" s="63"/>
      <c r="G34" s="63"/>
      <c r="H34" s="63"/>
    </row>
    <row r="35" spans="1:8" ht="12.75">
      <c r="A35">
        <v>17</v>
      </c>
      <c r="C35" t="s">
        <v>464</v>
      </c>
      <c r="F35" s="63"/>
      <c r="G35" s="63"/>
      <c r="H35" s="63"/>
    </row>
    <row r="36" spans="5:10" ht="12.75">
      <c r="E36" s="110">
        <v>0.036095</v>
      </c>
      <c r="F36" s="63">
        <f>+E36*E27</f>
        <v>72190</v>
      </c>
      <c r="G36" s="63"/>
      <c r="H36" s="63"/>
      <c r="J36" t="s">
        <v>483</v>
      </c>
    </row>
    <row r="37" spans="1:8" ht="12.75">
      <c r="A37">
        <v>18</v>
      </c>
      <c r="C37" t="s">
        <v>465</v>
      </c>
      <c r="F37" s="63"/>
      <c r="G37" s="63"/>
      <c r="H37" s="63"/>
    </row>
    <row r="38" spans="5:10" ht="12.75">
      <c r="E38" s="110">
        <v>0.07219</v>
      </c>
      <c r="F38" s="63">
        <f>+E38*E29</f>
        <v>4511875</v>
      </c>
      <c r="G38" s="63"/>
      <c r="H38" s="63"/>
      <c r="J38" t="s">
        <v>484</v>
      </c>
    </row>
    <row r="39" spans="1:10" ht="12.75">
      <c r="A39">
        <v>19</v>
      </c>
      <c r="C39" t="s">
        <v>466</v>
      </c>
      <c r="F39" s="63">
        <f>+F38+F36</f>
        <v>4584065</v>
      </c>
      <c r="G39" s="63"/>
      <c r="H39" s="63"/>
      <c r="J39" t="s">
        <v>485</v>
      </c>
    </row>
    <row r="40" spans="6:8" ht="12.75">
      <c r="F40" s="63"/>
      <c r="G40" s="63"/>
      <c r="H40" s="63"/>
    </row>
    <row r="41" spans="1:10" ht="12.75">
      <c r="A41">
        <v>20</v>
      </c>
      <c r="C41" t="s">
        <v>467</v>
      </c>
      <c r="F41" s="63">
        <f>+F39-F17</f>
        <v>1967065</v>
      </c>
      <c r="G41" s="63"/>
      <c r="H41" s="63"/>
      <c r="J41" t="s">
        <v>486</v>
      </c>
    </row>
    <row r="42" spans="1:10" ht="12.75">
      <c r="A42">
        <v>21</v>
      </c>
      <c r="C42" t="s">
        <v>468</v>
      </c>
      <c r="F42" s="63">
        <f>-F41*0.35</f>
        <v>-688472.75</v>
      </c>
      <c r="G42" s="63"/>
      <c r="H42" s="63"/>
      <c r="J42" t="s">
        <v>487</v>
      </c>
    </row>
    <row r="43" spans="6:8" ht="12.75">
      <c r="F43" s="63"/>
      <c r="G43" s="63"/>
      <c r="H43" s="63"/>
    </row>
    <row r="44" spans="1:10" ht="12.75">
      <c r="A44">
        <v>22</v>
      </c>
      <c r="C44" t="s">
        <v>469</v>
      </c>
      <c r="F44" s="63">
        <f>+F42+F33</f>
        <v>-994124.8333333333</v>
      </c>
      <c r="G44" s="63"/>
      <c r="H44" s="63"/>
      <c r="J44" t="s">
        <v>488</v>
      </c>
    </row>
    <row r="45" spans="6:8" ht="12.75">
      <c r="F45" s="63"/>
      <c r="G45" s="63"/>
      <c r="H45" s="63"/>
    </row>
    <row r="46" spans="1:10" ht="12.75">
      <c r="A46">
        <v>23</v>
      </c>
      <c r="C46" t="s">
        <v>657</v>
      </c>
      <c r="F46" s="63">
        <f>+AVERAGE(F44,F33)</f>
        <v>-649888.4583333333</v>
      </c>
      <c r="G46" s="63"/>
      <c r="H46" s="63"/>
      <c r="J46" t="s">
        <v>489</v>
      </c>
    </row>
    <row r="47" spans="6:8" ht="12.75">
      <c r="F47" s="63"/>
      <c r="G47" s="63"/>
      <c r="H47" s="63"/>
    </row>
    <row r="48" spans="1:10" ht="12.75">
      <c r="A48">
        <v>24</v>
      </c>
      <c r="C48" t="s">
        <v>473</v>
      </c>
      <c r="F48" s="63">
        <f>+F46*0.6516</f>
        <v>-423467.3194499999</v>
      </c>
      <c r="G48" s="63"/>
      <c r="H48" s="67">
        <f>+ROUND(F48,-3)</f>
        <v>-423000</v>
      </c>
      <c r="J48" t="s">
        <v>490</v>
      </c>
    </row>
    <row r="49" spans="6:8" ht="12.75">
      <c r="F49" s="63"/>
      <c r="G49" s="63"/>
      <c r="H49" s="63"/>
    </row>
    <row r="50" spans="1:10" ht="12.75">
      <c r="A50">
        <v>25</v>
      </c>
      <c r="C50" t="s">
        <v>474</v>
      </c>
      <c r="H50" s="66">
        <f>-H23+H48</f>
        <v>-2910000</v>
      </c>
      <c r="J50" t="s">
        <v>491</v>
      </c>
    </row>
    <row r="51" ht="12.75">
      <c r="H51" s="63"/>
    </row>
    <row r="52" spans="3:8" ht="12.75">
      <c r="C52" t="s">
        <v>475</v>
      </c>
      <c r="H52" s="63"/>
    </row>
    <row r="53" spans="1:8" ht="12.75">
      <c r="A53">
        <v>26</v>
      </c>
      <c r="C53" t="s">
        <v>476</v>
      </c>
      <c r="F53">
        <v>853000</v>
      </c>
      <c r="H53" s="63"/>
    </row>
    <row r="54" spans="1:8" ht="12.75">
      <c r="A54">
        <v>27</v>
      </c>
      <c r="C54" t="s">
        <v>477</v>
      </c>
      <c r="F54" s="8">
        <v>-175000</v>
      </c>
      <c r="H54" s="63"/>
    </row>
    <row r="55" spans="1:8" ht="12.75">
      <c r="A55">
        <v>28</v>
      </c>
      <c r="C55" t="s">
        <v>478</v>
      </c>
      <c r="F55" s="113">
        <f>-F53+F54</f>
        <v>-1028000</v>
      </c>
      <c r="H55" s="67">
        <f>+F55</f>
        <v>-1028000</v>
      </c>
    </row>
    <row r="56" ht="12.75">
      <c r="H56" s="63"/>
    </row>
    <row r="57" spans="1:10" ht="13.5" thickBot="1">
      <c r="A57">
        <v>29</v>
      </c>
      <c r="C57" t="s">
        <v>479</v>
      </c>
      <c r="H57" s="103">
        <f>+H50-H55</f>
        <v>-1882000</v>
      </c>
      <c r="J57" t="s">
        <v>492</v>
      </c>
    </row>
    <row r="58" ht="13.5" thickTop="1">
      <c r="H58" s="63"/>
    </row>
    <row r="59" ht="12.75">
      <c r="H59" s="63"/>
    </row>
    <row r="60" ht="12.75">
      <c r="H60" s="63"/>
    </row>
    <row r="61" ht="12.75">
      <c r="H61" s="63"/>
    </row>
    <row r="62" ht="12.75">
      <c r="H62" s="63"/>
    </row>
    <row r="63" ht="12.75">
      <c r="H63" s="63"/>
    </row>
    <row r="64" ht="12.75">
      <c r="H64" s="63"/>
    </row>
    <row r="65" ht="12.75">
      <c r="H65" s="63"/>
    </row>
  </sheetData>
  <mergeCells count="4">
    <mergeCell ref="C6:J6"/>
    <mergeCell ref="C7:J7"/>
    <mergeCell ref="C8:J8"/>
    <mergeCell ref="C10:D10"/>
  </mergeCells>
  <printOptions/>
  <pageMargins left="1.25" right="0.75" top="1" bottom="1" header="0.5" footer="0.5"/>
  <pageSetup fitToHeight="1" fitToWidth="1" horizontalDpi="600" verticalDpi="600" orientation="portrait" scale="8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Utilitech,Inc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Brosch</dc:creator>
  <cp:keywords/>
  <dc:description/>
  <cp:lastModifiedBy>Office of the Attorney General</cp:lastModifiedBy>
  <cp:lastPrinted>2005-09-21T18:46:04Z</cp:lastPrinted>
  <dcterms:created xsi:type="dcterms:W3CDTF">2004-05-10T13:33:03Z</dcterms:created>
  <dcterms:modified xsi:type="dcterms:W3CDTF">2005-09-21T18:47:17Z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050482</vt:lpwstr>
  </property>
  <property fmtid="{D5CDD505-2E9C-101B-9397-08002B2CF9AE}" pid="6" name="IsConfidenti">
    <vt:lpwstr>0</vt:lpwstr>
  </property>
  <property fmtid="{D5CDD505-2E9C-101B-9397-08002B2CF9AE}" pid="7" name="Dat">
    <vt:lpwstr>2005-09-22T00:00:00Z</vt:lpwstr>
  </property>
  <property fmtid="{D5CDD505-2E9C-101B-9397-08002B2CF9AE}" pid="8" name="CaseTy">
    <vt:lpwstr>Tariff Revision</vt:lpwstr>
  </property>
  <property fmtid="{D5CDD505-2E9C-101B-9397-08002B2CF9AE}" pid="9" name="OpenedDa">
    <vt:lpwstr>2005-03-30T00:00:00Z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