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7.xml" ContentType="application/vnd.openxmlformats-officedocument.drawing+xml"/>
  <Override PartName="/xl/charts/colors12.xml" ContentType="application/vnd.ms-office.chartcolorstyle+xml"/>
  <Override PartName="/xl/charts/style12.xml" ContentType="application/vnd.ms-office.chartstyle+xml"/>
  <Override PartName="/xl/charts/chart16.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olors9.xml" ContentType="application/vnd.ms-office.chartcolorstyle+xml"/>
  <Override PartName="/xl/charts/style9.xml" ContentType="application/vnd.ms-office.chartstyle+xml"/>
  <Override PartName="/xl/charts/chart10.xml" ContentType="application/vnd.openxmlformats-officedocument.drawingml.chart+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olors11.xml" ContentType="application/vnd.ms-office.chartcolorstyle+xml"/>
  <Override PartName="/xl/charts/style11.xml" ContentType="application/vnd.ms-office.chartstyle+xml"/>
  <Override PartName="/xl/charts/chart15.xml" ContentType="application/vnd.openxmlformats-officedocument.drawingml.chart+xml"/>
  <Override PartName="/xl/drawings/drawing15.xml" ContentType="application/vnd.openxmlformats-officedocument.drawing+xml"/>
  <Override PartName="/xl/charts/colors10.xml" ContentType="application/vnd.ms-office.chartcolorstyle+xml"/>
  <Override PartName="/xl/charts/style10.xml" ContentType="application/vnd.ms-office.chartstyle+xml"/>
  <Override PartName="/xl/drawings/drawing10.xml" ContentType="application/vnd.openxmlformats-officedocument.drawing+xml"/>
  <Override PartName="/xl/worksheets/sheet1.xml" ContentType="application/vnd.openxmlformats-officedocument.spreadsheetml.worksheet+xml"/>
  <Override PartName="/xl/charts/colors8.xml" ContentType="application/vnd.ms-office.chartcolor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olors2.xml" ContentType="application/vnd.ms-office.chartcolorstyle+xml"/>
  <Override PartName="/xl/charts/style2.xml" ContentType="application/vnd.ms-office.chartstyle+xml"/>
  <Override PartName="/xl/drawings/drawing3.xml" ContentType="application/vnd.openxmlformats-officedocument.drawing+xml"/>
  <Override PartName="/xl/charts/colors1.xml" ContentType="application/vnd.ms-office.chartcolorstyle+xml"/>
  <Override PartName="/xl/charts/style1.xml" ContentType="application/vnd.ms-office.chartstyle+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charts/style3.xml" ContentType="application/vnd.ms-office.chartstyle+xml"/>
  <Override PartName="/xl/charts/chart3.xml" ContentType="application/vnd.openxmlformats-officedocument.drawingml.chart+xml"/>
  <Override PartName="/xl/charts/colors4.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olors5.xml" ContentType="application/vnd.ms-office.chartcolorstyle+xml"/>
  <Override PartName="/xl/charts/colors6.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6.xml" ContentType="application/vnd.ms-office.chartstyle+xml"/>
  <Override PartName="/xl/charts/chart7.xml" ContentType="application/vnd.openxmlformats-officedocument.drawingml.chart+xml"/>
  <Override PartName="/xl/charts/style4.xml" ContentType="application/vnd.ms-office.chartstyle+xml"/>
  <Override PartName="/xl/charts/style7.xml" ContentType="application/vnd.ms-office.chartstyle+xml"/>
  <Override PartName="/xl/charts/chart8.xml" ContentType="application/vnd.openxmlformats-officedocument.drawingml.chart+xml"/>
  <Override PartName="/xl/charts/colors3.xml" ContentType="application/vnd.ms-office.chartcolorstyle+xml"/>
  <Override PartName="/xl/charts/chart6.xml" ContentType="application/vnd.openxmlformats-officedocument.drawingml.chart+xml"/>
  <Override PartName="/xl/charts/style5.xml" ContentType="application/vnd.ms-office.chartstyle+xml"/>
  <Override PartName="/xl/charts/style8.xml" ContentType="application/vnd.ms-office.chartstyle+xml"/>
  <Override PartName="/xl/charts/chart9.xml" ContentType="application/vnd.openxmlformats-officedocument.drawingml.chart+xml"/>
  <Override PartName="/xl/drawings/drawing9.xml" ContentType="application/vnd.openxmlformats-officedocument.drawing+xml"/>
  <Override PartName="/xl/drawings/drawing6.xml" ContentType="application/vnd.openxmlformats-officedocument.drawing+xml"/>
  <Override PartName="/xl/charts/colors7.xml" ContentType="application/vnd.ms-office.chartcolorstyle+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custom.xml" ContentType="application/vnd.openxmlformats-officedocument.custom-properties+xml"/>
  <Override PartName="/xl/comments4.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xl/comments1.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home.utc.wa.gov/sites/ue-160228/Staffs Testimony and Exhibits/"/>
    </mc:Choice>
  </mc:AlternateContent>
  <bookViews>
    <workbookView xWindow="0" yWindow="0" windowWidth="18930" windowHeight="8775" tabRatio="744" firstSheet="15" activeTab="2"/>
  </bookViews>
  <sheets>
    <sheet name="Summary" sheetId="9" r:id="rId1"/>
    <sheet name="ROR" sheetId="7" r:id="rId2"/>
    <sheet name="Attrition 12.2015 to 2017" sheetId="5" r:id="rId3"/>
    <sheet name="Cost Trends" sheetId="1" r:id="rId4"/>
    <sheet name="Net plant" sheetId="14" r:id="rId5"/>
    <sheet name="UTC - UGStorPlant" sheetId="20" r:id="rId6"/>
    <sheet name="UTC - DistrPlant" sheetId="23" r:id="rId7"/>
    <sheet name="UTC - GeneralPlant" sheetId="24" r:id="rId8"/>
    <sheet name="UTC - UGStorAccumDeprAmort" sheetId="25" r:id="rId9"/>
    <sheet name="UTC - DistrAccumAmortDepr" sheetId="26" r:id="rId10"/>
    <sheet name="UTC - GeneralAccumAmortDepr" sheetId="27" r:id="rId11"/>
    <sheet name="UTC - UGStorDeprAmorExp" sheetId="29" r:id="rId12"/>
    <sheet name="UTC - DistrDeprAmorExp" sheetId="30" r:id="rId13"/>
    <sheet name="UTC - GenrlDeprAmorExp" sheetId="31" r:id="rId14"/>
    <sheet name="Dep Amort" sheetId="12" r:id="rId15"/>
    <sheet name="Taxes (other than income)" sheetId="13" r:id="rId16"/>
    <sheet name="Op Exp" sheetId="19" r:id="rId17"/>
    <sheet name="Weighted Revenue Growth" sheetId="4" r:id="rId18"/>
    <sheet name="UTC - Other Revenue" sheetId="17" r:id="rId19"/>
    <sheet name="Op Exp-don't use" sheetId="15" state="hidden" r:id="rId20"/>
    <sheet name="UTC - Deferred Taxes" sheetId="28" r:id="rId21"/>
    <sheet name="09.2015 Revenue Model" sheetId="11" r:id="rId22"/>
    <sheet name="Forecast Bill Determinants" sheetId="8" r:id="rId23"/>
    <sheet name="Riders and Gas Cost Revenue" sheetId="2" r:id="rId24"/>
    <sheet name="Reg Amort and Other RB" sheetId="6" r:id="rId25"/>
  </sheets>
  <externalReferences>
    <externalReference r:id="rId26"/>
    <externalReference r:id="rId27"/>
    <externalReference r:id="rId28"/>
    <externalReference r:id="rId29"/>
  </externalReferences>
  <definedNames>
    <definedName name="Actuals_Mo">[1]Tables!$B$19</definedName>
    <definedName name="Base1_Billing2" localSheetId="16">#REF!</definedName>
    <definedName name="Base1_Billing2" localSheetId="20">#REF!</definedName>
    <definedName name="Base1_Billing2" localSheetId="9">#REF!</definedName>
    <definedName name="Base1_Billing2" localSheetId="12">#REF!</definedName>
    <definedName name="Base1_Billing2" localSheetId="6">#REF!</definedName>
    <definedName name="Base1_Billing2" localSheetId="10">#REF!</definedName>
    <definedName name="Base1_Billing2" localSheetId="7">#REF!</definedName>
    <definedName name="Base1_Billing2" localSheetId="13">#REF!</definedName>
    <definedName name="Base1_Billing2" localSheetId="8">#REF!</definedName>
    <definedName name="Base1_Billing2" localSheetId="11">#REF!</definedName>
    <definedName name="Base1_Billing2" localSheetId="5">#REF!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'[3]Rate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 localSheetId="20">#REF!</definedName>
    <definedName name="ID" localSheetId="9">#REF!</definedName>
    <definedName name="ID" localSheetId="12">#REF!</definedName>
    <definedName name="ID" localSheetId="6">#REF!</definedName>
    <definedName name="ID" localSheetId="10">#REF!</definedName>
    <definedName name="ID" localSheetId="7">#REF!</definedName>
    <definedName name="ID" localSheetId="13">#REF!</definedName>
    <definedName name="ID" localSheetId="8">#REF!</definedName>
    <definedName name="ID" localSheetId="11">#REF!</definedName>
    <definedName name="ID" localSheetId="5">#REF!</definedName>
    <definedName name="ID">#REF!</definedName>
    <definedName name="ID_001b" localSheetId="20">#REF!</definedName>
    <definedName name="ID_001b" localSheetId="9">#REF!</definedName>
    <definedName name="ID_001b" localSheetId="12">#REF!</definedName>
    <definedName name="ID_001b" localSheetId="6">#REF!</definedName>
    <definedName name="ID_001b" localSheetId="10">#REF!</definedName>
    <definedName name="ID_001b" localSheetId="7">#REF!</definedName>
    <definedName name="ID_001b" localSheetId="13">#REF!</definedName>
    <definedName name="ID_001b" localSheetId="8">#REF!</definedName>
    <definedName name="ID_001b" localSheetId="11">#REF!</definedName>
    <definedName name="ID_001b" localSheetId="5">#REF!</definedName>
    <definedName name="ID_001b">#REF!</definedName>
    <definedName name="ID_011b" localSheetId="20">#REF!</definedName>
    <definedName name="ID_011b" localSheetId="9">#REF!</definedName>
    <definedName name="ID_011b" localSheetId="12">#REF!</definedName>
    <definedName name="ID_011b" localSheetId="6">#REF!</definedName>
    <definedName name="ID_011b" localSheetId="10">#REF!</definedName>
    <definedName name="ID_011b" localSheetId="7">#REF!</definedName>
    <definedName name="ID_011b" localSheetId="13">#REF!</definedName>
    <definedName name="ID_011b" localSheetId="8">#REF!</definedName>
    <definedName name="ID_011b" localSheetId="11">#REF!</definedName>
    <definedName name="ID_011b" localSheetId="5">#REF!</definedName>
    <definedName name="ID_011b">#REF!</definedName>
    <definedName name="ID_012b" localSheetId="20">#REF!</definedName>
    <definedName name="ID_012b" localSheetId="9">#REF!</definedName>
    <definedName name="ID_012b" localSheetId="12">#REF!</definedName>
    <definedName name="ID_012b" localSheetId="6">#REF!</definedName>
    <definedName name="ID_012b" localSheetId="10">#REF!</definedName>
    <definedName name="ID_012b" localSheetId="7">#REF!</definedName>
    <definedName name="ID_012b" localSheetId="13">#REF!</definedName>
    <definedName name="ID_012b" localSheetId="8">#REF!</definedName>
    <definedName name="ID_012b" localSheetId="11">#REF!</definedName>
    <definedName name="ID_012b" localSheetId="5">#REF!</definedName>
    <definedName name="ID_012b">#REF!</definedName>
    <definedName name="ID_021b" localSheetId="20">#REF!</definedName>
    <definedName name="ID_021b" localSheetId="9">#REF!</definedName>
    <definedName name="ID_021b" localSheetId="12">#REF!</definedName>
    <definedName name="ID_021b" localSheetId="6">#REF!</definedName>
    <definedName name="ID_021b" localSheetId="10">#REF!</definedName>
    <definedName name="ID_021b" localSheetId="7">#REF!</definedName>
    <definedName name="ID_021b" localSheetId="13">#REF!</definedName>
    <definedName name="ID_021b" localSheetId="8">#REF!</definedName>
    <definedName name="ID_021b" localSheetId="11">#REF!</definedName>
    <definedName name="ID_021b" localSheetId="5">#REF!</definedName>
    <definedName name="ID_021b">#REF!</definedName>
    <definedName name="ID_Elec" localSheetId="16">#REF!</definedName>
    <definedName name="ID_Elec" localSheetId="20">#REF!</definedName>
    <definedName name="ID_Elec" localSheetId="9">#REF!</definedName>
    <definedName name="ID_Elec" localSheetId="12">#REF!</definedName>
    <definedName name="ID_Elec" localSheetId="6">#REF!</definedName>
    <definedName name="ID_Elec" localSheetId="10">#REF!</definedName>
    <definedName name="ID_Elec" localSheetId="7">#REF!</definedName>
    <definedName name="ID_Elec" localSheetId="13">#REF!</definedName>
    <definedName name="ID_Elec" localSheetId="8">#REF!</definedName>
    <definedName name="ID_Elec" localSheetId="11">#REF!</definedName>
    <definedName name="ID_Elec" localSheetId="5">#REF!</definedName>
    <definedName name="ID_Elec">#REF!</definedName>
    <definedName name="ID_Gas" localSheetId="16">#REF!</definedName>
    <definedName name="ID_Gas" localSheetId="20">#REF!</definedName>
    <definedName name="ID_Gas" localSheetId="9">#REF!</definedName>
    <definedName name="ID_Gas" localSheetId="12">#REF!</definedName>
    <definedName name="ID_Gas" localSheetId="6">#REF!</definedName>
    <definedName name="ID_Gas" localSheetId="10">#REF!</definedName>
    <definedName name="ID_Gas" localSheetId="7">#REF!</definedName>
    <definedName name="ID_Gas" localSheetId="13">#REF!</definedName>
    <definedName name="ID_Gas" localSheetId="8">#REF!</definedName>
    <definedName name="ID_Gas" localSheetId="11">#REF!</definedName>
    <definedName name="ID_Gas" localSheetId="5">#REF!</definedName>
    <definedName name="ID_Gas">#REF!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21">'09.2015 Revenue Model'!$A$1:$J$277</definedName>
    <definedName name="_xlnm.Print_Area" localSheetId="2">'Attrition 12.2015 to 2017'!$A$1:$Q$90</definedName>
    <definedName name="_xlnm.Print_Area" localSheetId="3">'Cost Trends'!$A$2:$U$151</definedName>
    <definedName name="_xlnm.Print_Area" localSheetId="14">'Dep Amort'!$A$1:$J$30</definedName>
    <definedName name="_xlnm.Print_Area" localSheetId="4">'Net plant'!$A$1:$J$31</definedName>
    <definedName name="_xlnm.Print_Area" localSheetId="16">'Op Exp'!$A$1:$J$31</definedName>
    <definedName name="_xlnm.Print_Area" localSheetId="23">'Riders and Gas Cost Revenue'!$A$1:$AU$65</definedName>
    <definedName name="_xlnm.Print_Area" localSheetId="1">ROR!$A$1:$O$26</definedName>
    <definedName name="_xlnm.Print_Area" localSheetId="0">Summary!$A$1:$L$36</definedName>
    <definedName name="_xlnm.Print_Area" localSheetId="15">'Taxes (other than income)'!$A$1:$J$32</definedName>
    <definedName name="_xlnm.Print_Area" localSheetId="20">'UTC - Deferred Taxes'!$A$1:$J$31</definedName>
    <definedName name="_xlnm.Print_Area" localSheetId="9">'UTC - DistrAccumAmortDepr'!$A$1:$J$31</definedName>
    <definedName name="_xlnm.Print_Area" localSheetId="12">'UTC - DistrDeprAmorExp'!$A$1:$J$31</definedName>
    <definedName name="_xlnm.Print_Area" localSheetId="6">'UTC - DistrPlant'!$A$1:$J$31</definedName>
    <definedName name="_xlnm.Print_Area" localSheetId="10">'UTC - GeneralAccumAmortDepr'!$A$1:$J$31</definedName>
    <definedName name="_xlnm.Print_Area" localSheetId="7">'UTC - GeneralPlant'!$A$1:$J$31</definedName>
    <definedName name="_xlnm.Print_Area" localSheetId="13">'UTC - GenrlDeprAmorExp'!$A$1:$J$31</definedName>
    <definedName name="_xlnm.Print_Area" localSheetId="18">'UTC - Other Revenue'!$A$1:$J$27</definedName>
    <definedName name="_xlnm.Print_Area" localSheetId="8">'UTC - UGStorAccumDeprAmort'!$A$1:$J$31</definedName>
    <definedName name="_xlnm.Print_Area" localSheetId="11">'UTC - UGStorDeprAmorExp'!$A$1:$J$31</definedName>
    <definedName name="_xlnm.Print_Area" localSheetId="5">'UTC - UGStorPlant'!$A$1:$J$31</definedName>
    <definedName name="_xlnm.Print_Area" localSheetId="17">'Weighted Revenue Growth'!$A$1:$L$36</definedName>
    <definedName name="Print_for_CBReport" localSheetId="16">#REF!</definedName>
    <definedName name="Print_for_CBReport" localSheetId="20">#REF!</definedName>
    <definedName name="Print_for_CBReport" localSheetId="9">#REF!</definedName>
    <definedName name="Print_for_CBReport" localSheetId="12">#REF!</definedName>
    <definedName name="Print_for_CBReport" localSheetId="6">#REF!</definedName>
    <definedName name="Print_for_CBReport" localSheetId="10">#REF!</definedName>
    <definedName name="Print_for_CBReport" localSheetId="7">#REF!</definedName>
    <definedName name="Print_for_CBReport" localSheetId="13">#REF!</definedName>
    <definedName name="Print_for_CBReport" localSheetId="8">#REF!</definedName>
    <definedName name="Print_for_CBReport" localSheetId="11">#REF!</definedName>
    <definedName name="Print_for_CBReport" localSheetId="5">#REF!</definedName>
    <definedName name="Print_for_CBReport">#REF!</definedName>
    <definedName name="Print_for_Checking" localSheetId="16">#REF!</definedName>
    <definedName name="Print_for_Checking" localSheetId="20">#REF!</definedName>
    <definedName name="Print_for_Checking" localSheetId="9">#REF!</definedName>
    <definedName name="Print_for_Checking" localSheetId="12">#REF!</definedName>
    <definedName name="Print_for_Checking" localSheetId="6">#REF!</definedName>
    <definedName name="Print_for_Checking" localSheetId="10">#REF!</definedName>
    <definedName name="Print_for_Checking" localSheetId="7">#REF!</definedName>
    <definedName name="Print_for_Checking" localSheetId="13">#REF!</definedName>
    <definedName name="Print_for_Checking" localSheetId="8">#REF!</definedName>
    <definedName name="Print_for_Checking" localSheetId="11">#REF!</definedName>
    <definedName name="Print_for_Checking" localSheetId="5">#REF!</definedName>
    <definedName name="Print_for_Checking">#REF!</definedName>
    <definedName name="_xlnm.Print_Titles" localSheetId="3">'Cost Trends'!$2:$2</definedName>
    <definedName name="_xlnm.Print_Titles" localSheetId="23">'Riders and Gas Cost Revenue'!$A:$F,'Riders and Gas Cost Revenue'!$5:$9</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[4]Macro1!$A$92</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'[2]Rev Summary'!$E$2</definedName>
    <definedName name="SL_RateIncr">'[3]St Lts'!$AD$1</definedName>
    <definedName name="StartMo">[1]Tables!$B$13</definedName>
    <definedName name="Summary" localSheetId="16">#REF!</definedName>
    <definedName name="Summary" localSheetId="20">#REF!</definedName>
    <definedName name="Summary" localSheetId="9">#REF!</definedName>
    <definedName name="Summary" localSheetId="12">#REF!</definedName>
    <definedName name="Summary" localSheetId="6">#REF!</definedName>
    <definedName name="Summary" localSheetId="10">#REF!</definedName>
    <definedName name="Summary" localSheetId="7">#REF!</definedName>
    <definedName name="Summary" localSheetId="13">#REF!</definedName>
    <definedName name="Summary" localSheetId="8">#REF!</definedName>
    <definedName name="Summary" localSheetId="11">#REF!</definedName>
    <definedName name="Summary" localSheetId="5">#REF!</definedName>
    <definedName name="Summary">#REF!</definedName>
    <definedName name="SurchRev60_EntryLookup">INDEX('[2]Rev Summary'!$F$474:$F$475,2):'[2]Rev Summary'!$F$519</definedName>
    <definedName name="TableName">"Dummy"</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 localSheetId="20">#REF!</definedName>
    <definedName name="WA_001b" localSheetId="9">#REF!</definedName>
    <definedName name="WA_001b" localSheetId="12">#REF!</definedName>
    <definedName name="WA_001b" localSheetId="6">#REF!</definedName>
    <definedName name="WA_001b" localSheetId="10">#REF!</definedName>
    <definedName name="WA_001b" localSheetId="7">#REF!</definedName>
    <definedName name="WA_001b" localSheetId="13">#REF!</definedName>
    <definedName name="WA_001b" localSheetId="8">#REF!</definedName>
    <definedName name="WA_001b" localSheetId="11">#REF!</definedName>
    <definedName name="WA_001b" localSheetId="5">#REF!</definedName>
    <definedName name="WA_001b">#REF!</definedName>
    <definedName name="WA_011b" localSheetId="20">#REF!</definedName>
    <definedName name="WA_011b" localSheetId="9">#REF!</definedName>
    <definedName name="WA_011b" localSheetId="12">#REF!</definedName>
    <definedName name="WA_011b" localSheetId="6">#REF!</definedName>
    <definedName name="WA_011b" localSheetId="10">#REF!</definedName>
    <definedName name="WA_011b" localSheetId="7">#REF!</definedName>
    <definedName name="WA_011b" localSheetId="13">#REF!</definedName>
    <definedName name="WA_011b" localSheetId="8">#REF!</definedName>
    <definedName name="WA_011b" localSheetId="11">#REF!</definedName>
    <definedName name="WA_011b" localSheetId="5">#REF!</definedName>
    <definedName name="WA_011b">#REF!</definedName>
    <definedName name="WA_012b" localSheetId="20">#REF!</definedName>
    <definedName name="WA_012b" localSheetId="9">#REF!</definedName>
    <definedName name="WA_012b" localSheetId="12">#REF!</definedName>
    <definedName name="WA_012b" localSheetId="6">#REF!</definedName>
    <definedName name="WA_012b" localSheetId="10">#REF!</definedName>
    <definedName name="WA_012b" localSheetId="7">#REF!</definedName>
    <definedName name="WA_012b" localSheetId="13">#REF!</definedName>
    <definedName name="WA_012b" localSheetId="8">#REF!</definedName>
    <definedName name="WA_012b" localSheetId="11">#REF!</definedName>
    <definedName name="WA_012b" localSheetId="5">#REF!</definedName>
    <definedName name="WA_012b">#REF!</definedName>
    <definedName name="WA_021b" localSheetId="20">#REF!</definedName>
    <definedName name="WA_021b" localSheetId="9">#REF!</definedName>
    <definedName name="WA_021b" localSheetId="12">#REF!</definedName>
    <definedName name="WA_021b" localSheetId="6">#REF!</definedName>
    <definedName name="WA_021b" localSheetId="10">#REF!</definedName>
    <definedName name="WA_021b" localSheetId="7">#REF!</definedName>
    <definedName name="WA_021b" localSheetId="13">#REF!</definedName>
    <definedName name="WA_021b" localSheetId="8">#REF!</definedName>
    <definedName name="WA_021b" localSheetId="11">#REF!</definedName>
    <definedName name="WA_021b" localSheetId="5">#REF!</definedName>
    <definedName name="WA_021b">#REF!</definedName>
    <definedName name="WA_Elec" localSheetId="16">#REF!</definedName>
    <definedName name="WA_Elec" localSheetId="20">#REF!</definedName>
    <definedName name="WA_Elec" localSheetId="9">#REF!</definedName>
    <definedName name="WA_Elec" localSheetId="12">#REF!</definedName>
    <definedName name="WA_Elec" localSheetId="6">#REF!</definedName>
    <definedName name="WA_Elec" localSheetId="10">#REF!</definedName>
    <definedName name="WA_Elec" localSheetId="7">#REF!</definedName>
    <definedName name="WA_Elec" localSheetId="13">#REF!</definedName>
    <definedName name="WA_Elec" localSheetId="8">#REF!</definedName>
    <definedName name="WA_Elec" localSheetId="11">#REF!</definedName>
    <definedName name="WA_Elec" localSheetId="5">#REF!</definedName>
    <definedName name="WA_Elec">#REF!</definedName>
    <definedName name="WA_Gas" localSheetId="16">#REF!</definedName>
    <definedName name="WA_Gas" localSheetId="20">#REF!</definedName>
    <definedName name="WA_Gas" localSheetId="9">#REF!</definedName>
    <definedName name="WA_Gas" localSheetId="12">#REF!</definedName>
    <definedName name="WA_Gas" localSheetId="6">#REF!</definedName>
    <definedName name="WA_Gas" localSheetId="10">#REF!</definedName>
    <definedName name="WA_Gas" localSheetId="7">#REF!</definedName>
    <definedName name="WA_Gas" localSheetId="13">#REF!</definedName>
    <definedName name="WA_Gas" localSheetId="8">#REF!</definedName>
    <definedName name="WA_Gas" localSheetId="11">#REF!</definedName>
    <definedName name="WA_Gas" localSheetId="5">#REF!</definedName>
    <definedName name="WA_Gas">#REF!</definedName>
    <definedName name="WA04X">[2]Rates!$D$121:$K$121</definedName>
    <definedName name="WAPPRider">[2]Rates!$D$124:$K$124</definedName>
    <definedName name="WAResEx">[2]Rates!$D$125:$K$125</definedName>
    <definedName name="WASurch">[2]Rates!$D$122:$K$122</definedName>
    <definedName name="Year1">[2]Setup!$B$2</definedName>
    <definedName name="Z_5BE913A1_B14F_11D2_B0DC_0000832CDFF0_.wvu.Cols" localSheetId="3" hidden="1">'Cost Trends'!#REF!</definedName>
    <definedName name="Z_5BE913A1_B14F_11D2_B0DC_0000832CDFF0_.wvu.PrintArea" localSheetId="3" hidden="1">'Cost Trends'!$Q$11:$Q$91</definedName>
    <definedName name="Z_5BE913A1_B14F_11D2_B0DC_0000832CDFF0_.wvu.PrintTitles" localSheetId="3" hidden="1">'Cost Trends'!$A:$D,'Cost Trends'!$1:$8</definedName>
    <definedName name="Z_A15D1964_B049_11D2_8670_0000832CEEE8_.wvu.Cols" localSheetId="3" hidden="1">'Cost Trends'!#REF!</definedName>
    <definedName name="Z_A15D1964_B049_11D2_8670_0000832CEEE8_.wvu.PrintArea" localSheetId="3" hidden="1">'Cost Trends'!$Q$11:$Q$91</definedName>
    <definedName name="Z_A15D1964_B049_11D2_8670_0000832CEEE8_.wvu.PrintTitles" localSheetId="3" hidden="1">'Cost Trends'!$A:$D,'Cost Trends'!$1:$8</definedName>
  </definedNames>
  <calcPr calcId="152511" calcMode="manual"/>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B29" i="27" l="1"/>
  <c r="B29" i="24"/>
  <c r="K77" i="5" l="1"/>
  <c r="K76" i="5"/>
  <c r="K71" i="5"/>
  <c r="K70" i="5"/>
  <c r="K81" i="5"/>
  <c r="B27" i="19"/>
  <c r="A34" i="19" a="1"/>
  <c r="A34" i="19" s="1"/>
  <c r="B34" i="19" s="1"/>
  <c r="C33" i="19"/>
  <c r="C3" i="31"/>
  <c r="D3" i="31"/>
  <c r="E3" i="31"/>
  <c r="F3" i="31"/>
  <c r="F5" i="31" s="1"/>
  <c r="G3" i="31"/>
  <c r="H3" i="31"/>
  <c r="H5" i="31" s="1"/>
  <c r="I3" i="31"/>
  <c r="J3" i="31"/>
  <c r="J5" i="31" s="1"/>
  <c r="B3" i="31"/>
  <c r="B5" i="31" s="1"/>
  <c r="A43" i="31"/>
  <c r="B43" i="31" s="1"/>
  <c r="A37" i="31"/>
  <c r="B37" i="31" s="1"/>
  <c r="A35" i="31" a="1"/>
  <c r="A42" i="31" s="1"/>
  <c r="B42" i="31" s="1"/>
  <c r="C34" i="31"/>
  <c r="B27" i="31"/>
  <c r="G5" i="31"/>
  <c r="C5" i="31"/>
  <c r="A5" i="31"/>
  <c r="I5" i="31"/>
  <c r="E5" i="31"/>
  <c r="D5" i="31"/>
  <c r="C3" i="30"/>
  <c r="D3" i="30"/>
  <c r="E3" i="30"/>
  <c r="E5" i="30" s="1"/>
  <c r="F3" i="30"/>
  <c r="G3" i="30"/>
  <c r="H3" i="30"/>
  <c r="H5" i="30" s="1"/>
  <c r="I3" i="30"/>
  <c r="I5" i="30" s="1"/>
  <c r="J3" i="30"/>
  <c r="J5" i="30" s="1"/>
  <c r="B3" i="30"/>
  <c r="B5" i="30" s="1"/>
  <c r="A36" i="30"/>
  <c r="B36" i="30" s="1"/>
  <c r="A35" i="30" a="1"/>
  <c r="A42" i="30" s="1"/>
  <c r="B42" i="30" s="1"/>
  <c r="C34" i="30"/>
  <c r="B27" i="30"/>
  <c r="G5" i="30"/>
  <c r="F5" i="30"/>
  <c r="C5" i="30"/>
  <c r="A5" i="30"/>
  <c r="D5" i="30"/>
  <c r="B28" i="13"/>
  <c r="A34" i="13" a="1"/>
  <c r="A34" i="13" s="1"/>
  <c r="B34" i="13" s="1"/>
  <c r="C33" i="13"/>
  <c r="C3" i="29"/>
  <c r="D3" i="29"/>
  <c r="D5" i="29" s="1"/>
  <c r="E3" i="29"/>
  <c r="F3" i="29"/>
  <c r="G3" i="29"/>
  <c r="H3" i="29"/>
  <c r="I3" i="29"/>
  <c r="I5" i="29" s="1"/>
  <c r="J3" i="29"/>
  <c r="J5" i="29" s="1"/>
  <c r="B3" i="29"/>
  <c r="B5" i="29" s="1"/>
  <c r="A35" i="29" a="1"/>
  <c r="A42" i="29" s="1"/>
  <c r="B42" i="29" s="1"/>
  <c r="C34" i="29"/>
  <c r="B27" i="29"/>
  <c r="H5" i="29"/>
  <c r="E5" i="29"/>
  <c r="A5" i="29"/>
  <c r="G5" i="29"/>
  <c r="F5" i="29"/>
  <c r="C5" i="29"/>
  <c r="K14" i="5"/>
  <c r="A39" i="30" l="1"/>
  <c r="B39" i="30" s="1"/>
  <c r="A39" i="31"/>
  <c r="B39" i="31" s="1"/>
  <c r="A40" i="30"/>
  <c r="B40" i="30" s="1"/>
  <c r="A35" i="31"/>
  <c r="B35" i="31" s="1"/>
  <c r="A40" i="31"/>
  <c r="B40" i="31" s="1"/>
  <c r="A35" i="29"/>
  <c r="B35" i="29" s="1"/>
  <c r="A35" i="30"/>
  <c r="B35" i="30" s="1"/>
  <c r="A43" i="30"/>
  <c r="B43" i="30" s="1"/>
  <c r="A36" i="31"/>
  <c r="B36" i="31" s="1"/>
  <c r="A41" i="31"/>
  <c r="B41" i="31" s="1"/>
  <c r="A37" i="19"/>
  <c r="B37" i="19" s="1"/>
  <c r="A36" i="19"/>
  <c r="B36" i="19" s="1"/>
  <c r="A39" i="19"/>
  <c r="B39" i="19" s="1"/>
  <c r="A35" i="19"/>
  <c r="B35" i="19" s="1"/>
  <c r="A41" i="19"/>
  <c r="B41" i="19" s="1"/>
  <c r="A40" i="19"/>
  <c r="B40" i="19" s="1"/>
  <c r="A42" i="19"/>
  <c r="B42" i="19" s="1"/>
  <c r="A38" i="19"/>
  <c r="B38" i="19" s="1"/>
  <c r="B28" i="31"/>
  <c r="B29" i="31" s="1"/>
  <c r="K42" i="5" s="1"/>
  <c r="C35" i="31" a="1"/>
  <c r="A38" i="31"/>
  <c r="B38" i="31" s="1"/>
  <c r="B28" i="30"/>
  <c r="B29" i="30" s="1"/>
  <c r="K32" i="5" s="1"/>
  <c r="C35" i="30" a="1"/>
  <c r="C35" i="30" s="1"/>
  <c r="C39" i="30"/>
  <c r="C42" i="30"/>
  <c r="C37" i="30"/>
  <c r="A37" i="30"/>
  <c r="B37" i="30" s="1"/>
  <c r="A41" i="30"/>
  <c r="B41" i="30" s="1"/>
  <c r="A38" i="30"/>
  <c r="B38" i="30" s="1"/>
  <c r="A37" i="13"/>
  <c r="B37" i="13" s="1"/>
  <c r="A36" i="13"/>
  <c r="B36" i="13" s="1"/>
  <c r="A39" i="13"/>
  <c r="B39" i="13" s="1"/>
  <c r="A35" i="13"/>
  <c r="B35" i="13" s="1"/>
  <c r="A41" i="13"/>
  <c r="B41" i="13" s="1"/>
  <c r="A40" i="13"/>
  <c r="B40" i="13" s="1"/>
  <c r="A42" i="13"/>
  <c r="B42" i="13" s="1"/>
  <c r="A38" i="13"/>
  <c r="B38" i="13" s="1"/>
  <c r="C35" i="29" a="1"/>
  <c r="C35" i="29" s="1"/>
  <c r="B28" i="29"/>
  <c r="B29" i="29" s="1"/>
  <c r="K26" i="5" s="1"/>
  <c r="A39" i="29"/>
  <c r="B39" i="29" s="1"/>
  <c r="A43" i="29"/>
  <c r="B43" i="29" s="1"/>
  <c r="A36" i="29"/>
  <c r="B36" i="29" s="1"/>
  <c r="A40" i="29"/>
  <c r="B40" i="29" s="1"/>
  <c r="A37" i="29"/>
  <c r="B37" i="29" s="1"/>
  <c r="A41" i="29"/>
  <c r="B41" i="29" s="1"/>
  <c r="A38" i="29"/>
  <c r="B38" i="29" s="1"/>
  <c r="D8" i="17"/>
  <c r="D7" i="17"/>
  <c r="A36" i="17" a="1"/>
  <c r="A36" i="17" s="1"/>
  <c r="B36" i="17" s="1"/>
  <c r="B5" i="17"/>
  <c r="C4" i="17"/>
  <c r="D4" i="17"/>
  <c r="E4" i="17"/>
  <c r="F4" i="17"/>
  <c r="G4" i="17"/>
  <c r="H4" i="17"/>
  <c r="I4" i="17"/>
  <c r="J4" i="17"/>
  <c r="B4" i="17"/>
  <c r="C35" i="17"/>
  <c r="B3" i="17"/>
  <c r="C3" i="17"/>
  <c r="C5" i="17" s="1"/>
  <c r="C3" i="28"/>
  <c r="D3" i="28"/>
  <c r="E3" i="28"/>
  <c r="F3" i="28"/>
  <c r="F5" i="28" s="1"/>
  <c r="G3" i="28"/>
  <c r="H3" i="28"/>
  <c r="I3" i="28"/>
  <c r="J3" i="28"/>
  <c r="J5" i="28" s="1"/>
  <c r="B3" i="28"/>
  <c r="A35" i="28" a="1"/>
  <c r="A41" i="28" s="1"/>
  <c r="B41" i="28" s="1"/>
  <c r="C34" i="28"/>
  <c r="C26" i="28"/>
  <c r="B26" i="28"/>
  <c r="B27" i="28" s="1"/>
  <c r="C28" i="28" s="1"/>
  <c r="I5" i="28"/>
  <c r="H5" i="28"/>
  <c r="E5" i="28"/>
  <c r="D5" i="28"/>
  <c r="A5" i="28"/>
  <c r="G5" i="28"/>
  <c r="C5" i="28"/>
  <c r="B5" i="28"/>
  <c r="C3" i="27"/>
  <c r="D3" i="27"/>
  <c r="E3" i="27"/>
  <c r="E5" i="27" s="1"/>
  <c r="F3" i="27"/>
  <c r="F5" i="27" s="1"/>
  <c r="G3" i="27"/>
  <c r="H3" i="27"/>
  <c r="I3" i="27"/>
  <c r="I5" i="27" s="1"/>
  <c r="J3" i="27"/>
  <c r="J5" i="27" s="1"/>
  <c r="B3" i="27"/>
  <c r="A35" i="27" a="1"/>
  <c r="A41" i="27" s="1"/>
  <c r="B41" i="27" s="1"/>
  <c r="C34" i="27"/>
  <c r="B27" i="27"/>
  <c r="H5" i="27"/>
  <c r="D5" i="27"/>
  <c r="A5" i="27"/>
  <c r="G5" i="27"/>
  <c r="C5" i="27"/>
  <c r="B5" i="27"/>
  <c r="C3" i="26"/>
  <c r="D3" i="26"/>
  <c r="E3" i="26"/>
  <c r="F3" i="26"/>
  <c r="F5" i="26" s="1"/>
  <c r="G3" i="26"/>
  <c r="H3" i="26"/>
  <c r="I3" i="26"/>
  <c r="J3" i="26"/>
  <c r="J5" i="26" s="1"/>
  <c r="B3" i="26"/>
  <c r="A35" i="26" a="1"/>
  <c r="A42" i="26" s="1"/>
  <c r="B42" i="26" s="1"/>
  <c r="C34" i="26"/>
  <c r="C26" i="26"/>
  <c r="B26" i="26"/>
  <c r="B27" i="26" s="1"/>
  <c r="I5" i="26"/>
  <c r="H5" i="26"/>
  <c r="E5" i="26"/>
  <c r="D5" i="26"/>
  <c r="A5" i="26"/>
  <c r="G5" i="26"/>
  <c r="C5" i="26"/>
  <c r="B5" i="26"/>
  <c r="C3" i="25"/>
  <c r="D3" i="25"/>
  <c r="E3" i="25"/>
  <c r="F3" i="25"/>
  <c r="F5" i="25" s="1"/>
  <c r="G3" i="25"/>
  <c r="H3" i="25"/>
  <c r="I3" i="25"/>
  <c r="J3" i="25"/>
  <c r="B3" i="25"/>
  <c r="B5" i="25" s="1"/>
  <c r="A35" i="25" a="1"/>
  <c r="A42" i="25" s="1"/>
  <c r="B42" i="25" s="1"/>
  <c r="C34" i="25"/>
  <c r="C26" i="25"/>
  <c r="B26" i="25"/>
  <c r="B27" i="25" s="1"/>
  <c r="J5" i="25"/>
  <c r="I5" i="25"/>
  <c r="E5" i="25"/>
  <c r="A5" i="25"/>
  <c r="H5" i="25"/>
  <c r="G5" i="25"/>
  <c r="D5" i="25"/>
  <c r="C5" i="25"/>
  <c r="B27" i="24"/>
  <c r="C41" i="30" l="1"/>
  <c r="C43" i="31"/>
  <c r="C39" i="31"/>
  <c r="C35" i="31"/>
  <c r="C42" i="31"/>
  <c r="C38" i="31"/>
  <c r="C41" i="31"/>
  <c r="C37" i="31"/>
  <c r="C40" i="31"/>
  <c r="C36" i="31"/>
  <c r="C36" i="30"/>
  <c r="C40" i="30"/>
  <c r="C43" i="30"/>
  <c r="C38" i="30"/>
  <c r="C41" i="29"/>
  <c r="C39" i="29"/>
  <c r="C36" i="29"/>
  <c r="C38" i="29"/>
  <c r="C43" i="29"/>
  <c r="C40" i="29"/>
  <c r="C42" i="29"/>
  <c r="C37" i="29"/>
  <c r="A43" i="17"/>
  <c r="A38" i="17"/>
  <c r="B38" i="17" s="1"/>
  <c r="A41" i="17"/>
  <c r="B41" i="17" s="1"/>
  <c r="A37" i="17"/>
  <c r="B37" i="17" s="1"/>
  <c r="A39" i="17"/>
  <c r="A42" i="17"/>
  <c r="B42" i="17" s="1"/>
  <c r="A44" i="17"/>
  <c r="B44" i="17" s="1"/>
  <c r="A40" i="17"/>
  <c r="B40" i="17" s="1"/>
  <c r="B43" i="17"/>
  <c r="B39" i="17"/>
  <c r="C29" i="28"/>
  <c r="C30" i="28" s="1"/>
  <c r="C35" i="28" a="1"/>
  <c r="C41" i="28" s="1"/>
  <c r="A38" i="28"/>
  <c r="B38" i="28" s="1"/>
  <c r="A42" i="28"/>
  <c r="B42" i="28" s="1"/>
  <c r="A35" i="28"/>
  <c r="B35" i="28" s="1"/>
  <c r="A39" i="28"/>
  <c r="B39" i="28" s="1"/>
  <c r="A43" i="28"/>
  <c r="B43" i="28" s="1"/>
  <c r="A36" i="28"/>
  <c r="B36" i="28" s="1"/>
  <c r="A40" i="28"/>
  <c r="B40" i="28" s="1"/>
  <c r="A37" i="28"/>
  <c r="B37" i="28" s="1"/>
  <c r="C35" i="27" a="1"/>
  <c r="C41" i="27" s="1"/>
  <c r="C42" i="27"/>
  <c r="C38" i="27"/>
  <c r="C35" i="27"/>
  <c r="C36" i="27"/>
  <c r="B28" i="27"/>
  <c r="K78" i="5" s="1"/>
  <c r="A42" i="27"/>
  <c r="B42" i="27" s="1"/>
  <c r="A35" i="27"/>
  <c r="B35" i="27" s="1"/>
  <c r="A39" i="27"/>
  <c r="B39" i="27" s="1"/>
  <c r="A43" i="27"/>
  <c r="B43" i="27" s="1"/>
  <c r="A38" i="27"/>
  <c r="B38" i="27" s="1"/>
  <c r="A36" i="27"/>
  <c r="B36" i="27" s="1"/>
  <c r="A40" i="27"/>
  <c r="B40" i="27" s="1"/>
  <c r="A37" i="27"/>
  <c r="B37" i="27" s="1"/>
  <c r="C28" i="26"/>
  <c r="C29" i="26" s="1"/>
  <c r="C30" i="26" s="1"/>
  <c r="C35" i="26" a="1"/>
  <c r="C43" i="26" s="1"/>
  <c r="A35" i="26"/>
  <c r="B35" i="26" s="1"/>
  <c r="A39" i="26"/>
  <c r="B39" i="26" s="1"/>
  <c r="A43" i="26"/>
  <c r="B43" i="26" s="1"/>
  <c r="A36" i="26"/>
  <c r="B36" i="26" s="1"/>
  <c r="A40" i="26"/>
  <c r="B40" i="26" s="1"/>
  <c r="A37" i="26"/>
  <c r="B37" i="26" s="1"/>
  <c r="A41" i="26"/>
  <c r="B41" i="26" s="1"/>
  <c r="A38" i="26"/>
  <c r="B38" i="26" s="1"/>
  <c r="C28" i="25"/>
  <c r="C29" i="25" s="1"/>
  <c r="C30" i="25" s="1"/>
  <c r="C35" i="25" a="1"/>
  <c r="C35" i="25" s="1"/>
  <c r="C43" i="25"/>
  <c r="C39" i="25"/>
  <c r="C42" i="25"/>
  <c r="C38" i="25"/>
  <c r="C41" i="25"/>
  <c r="C40" i="25"/>
  <c r="C36" i="25"/>
  <c r="A35" i="25"/>
  <c r="B35" i="25" s="1"/>
  <c r="A39" i="25"/>
  <c r="B39" i="25" s="1"/>
  <c r="A43" i="25"/>
  <c r="B43" i="25" s="1"/>
  <c r="A36" i="25"/>
  <c r="B36" i="25" s="1"/>
  <c r="A40" i="25"/>
  <c r="B40" i="25" s="1"/>
  <c r="A37" i="25"/>
  <c r="B37" i="25" s="1"/>
  <c r="A41" i="25"/>
  <c r="B41" i="25" s="1"/>
  <c r="A38" i="25"/>
  <c r="B38" i="25" s="1"/>
  <c r="C43" i="27" l="1"/>
  <c r="C39" i="27"/>
  <c r="C37" i="27"/>
  <c r="C36" i="28"/>
  <c r="C38" i="28"/>
  <c r="C35" i="28"/>
  <c r="C40" i="28"/>
  <c r="C42" i="28"/>
  <c r="C39" i="28"/>
  <c r="C37" i="28"/>
  <c r="C43" i="28"/>
  <c r="C40" i="27"/>
  <c r="C40" i="26"/>
  <c r="C37" i="26"/>
  <c r="C35" i="26"/>
  <c r="C42" i="26"/>
  <c r="C41" i="26"/>
  <c r="C39" i="26"/>
  <c r="C36" i="26"/>
  <c r="C38" i="26"/>
  <c r="C37" i="25"/>
  <c r="C3" i="24" l="1"/>
  <c r="C5" i="24" s="1"/>
  <c r="D3" i="24"/>
  <c r="E3" i="24"/>
  <c r="E5" i="24" s="1"/>
  <c r="F3" i="24"/>
  <c r="G3" i="24"/>
  <c r="G5" i="24" s="1"/>
  <c r="H3" i="24"/>
  <c r="I3" i="24"/>
  <c r="I5" i="24" s="1"/>
  <c r="J3" i="24"/>
  <c r="J5" i="24" s="1"/>
  <c r="B28" i="24" s="1"/>
  <c r="K72" i="5" s="1"/>
  <c r="B3" i="24"/>
  <c r="B5" i="24" s="1"/>
  <c r="A35" i="24" a="1"/>
  <c r="A42" i="24" s="1"/>
  <c r="B42" i="24" s="1"/>
  <c r="C34" i="24"/>
  <c r="H5" i="24"/>
  <c r="D5" i="24"/>
  <c r="A5" i="24"/>
  <c r="F5" i="24"/>
  <c r="C3" i="23"/>
  <c r="D3" i="23"/>
  <c r="E3" i="23"/>
  <c r="F3" i="23"/>
  <c r="F5" i="23" s="1"/>
  <c r="G3" i="23"/>
  <c r="H3" i="23"/>
  <c r="I3" i="23"/>
  <c r="I5" i="23" s="1"/>
  <c r="J3" i="23"/>
  <c r="B3" i="23"/>
  <c r="A35" i="23" a="1"/>
  <c r="A42" i="23" s="1"/>
  <c r="B42" i="23" s="1"/>
  <c r="C34" i="23"/>
  <c r="C26" i="23"/>
  <c r="B26" i="23"/>
  <c r="B27" i="23" s="1"/>
  <c r="C28" i="23" s="1"/>
  <c r="C29" i="23" s="1"/>
  <c r="C30" i="23" s="1"/>
  <c r="J5" i="23"/>
  <c r="E5" i="23"/>
  <c r="B5" i="23"/>
  <c r="A5" i="23"/>
  <c r="H5" i="23"/>
  <c r="G5" i="23"/>
  <c r="D5" i="23"/>
  <c r="C5" i="23"/>
  <c r="A5" i="20"/>
  <c r="C3" i="20"/>
  <c r="D3" i="20"/>
  <c r="E3" i="20"/>
  <c r="F3" i="20"/>
  <c r="F5" i="20" s="1"/>
  <c r="G3" i="20"/>
  <c r="H3" i="20"/>
  <c r="I3" i="20"/>
  <c r="J3" i="20"/>
  <c r="J5" i="20" s="1"/>
  <c r="B3" i="20"/>
  <c r="A35" i="20" a="1"/>
  <c r="A42" i="20" s="1"/>
  <c r="B42" i="20" s="1"/>
  <c r="C34" i="20"/>
  <c r="C26" i="20"/>
  <c r="B26" i="20"/>
  <c r="B27" i="20" s="1"/>
  <c r="C28" i="20" s="1"/>
  <c r="I5" i="20"/>
  <c r="E5" i="20"/>
  <c r="H5" i="20"/>
  <c r="G5" i="20"/>
  <c r="D5" i="20"/>
  <c r="C5" i="20"/>
  <c r="B5" i="20"/>
  <c r="C26" i="14"/>
  <c r="B26" i="14"/>
  <c r="A35" i="14" a="1"/>
  <c r="A35" i="14" s="1"/>
  <c r="B35" i="14" s="1"/>
  <c r="C35" i="14" a="1"/>
  <c r="C35" i="14" s="1"/>
  <c r="C34" i="14"/>
  <c r="A39" i="24" l="1"/>
  <c r="B39" i="24" s="1"/>
  <c r="A35" i="24"/>
  <c r="B35" i="24" s="1"/>
  <c r="A40" i="24"/>
  <c r="B40" i="24" s="1"/>
  <c r="A36" i="24"/>
  <c r="B36" i="24" s="1"/>
  <c r="A41" i="24"/>
  <c r="B41" i="24" s="1"/>
  <c r="A37" i="24"/>
  <c r="B37" i="24" s="1"/>
  <c r="A43" i="24"/>
  <c r="B43" i="24" s="1"/>
  <c r="C35" i="24" a="1"/>
  <c r="A38" i="24"/>
  <c r="B38" i="24" s="1"/>
  <c r="C35" i="23" a="1"/>
  <c r="A35" i="23"/>
  <c r="B35" i="23" s="1"/>
  <c r="A39" i="23"/>
  <c r="B39" i="23" s="1"/>
  <c r="A43" i="23"/>
  <c r="B43" i="23" s="1"/>
  <c r="A36" i="23"/>
  <c r="B36" i="23" s="1"/>
  <c r="A40" i="23"/>
  <c r="B40" i="23" s="1"/>
  <c r="A37" i="23"/>
  <c r="B37" i="23" s="1"/>
  <c r="A41" i="23"/>
  <c r="B41" i="23" s="1"/>
  <c r="A38" i="23"/>
  <c r="B38" i="23" s="1"/>
  <c r="C35" i="20" a="1"/>
  <c r="C43" i="20" s="1"/>
  <c r="C29" i="20"/>
  <c r="C30" i="20" s="1"/>
  <c r="A35" i="20"/>
  <c r="B35" i="20" s="1"/>
  <c r="A39" i="20"/>
  <c r="B39" i="20" s="1"/>
  <c r="A43" i="20"/>
  <c r="B43" i="20" s="1"/>
  <c r="A36" i="20"/>
  <c r="B36" i="20" s="1"/>
  <c r="A40" i="20"/>
  <c r="B40" i="20" s="1"/>
  <c r="A37" i="20"/>
  <c r="B37" i="20" s="1"/>
  <c r="A41" i="20"/>
  <c r="B41" i="20" s="1"/>
  <c r="A38" i="20"/>
  <c r="B38" i="20" s="1"/>
  <c r="A37" i="14"/>
  <c r="B37" i="14" s="1"/>
  <c r="A40" i="14"/>
  <c r="B40" i="14" s="1"/>
  <c r="A36" i="14"/>
  <c r="B36" i="14" s="1"/>
  <c r="A42" i="14"/>
  <c r="B42" i="14" s="1"/>
  <c r="A38" i="14"/>
  <c r="B38" i="14" s="1"/>
  <c r="A41" i="14"/>
  <c r="B41" i="14" s="1"/>
  <c r="A43" i="14"/>
  <c r="B43" i="14" s="1"/>
  <c r="A39" i="14"/>
  <c r="B39" i="14" s="1"/>
  <c r="C42" i="14"/>
  <c r="C38" i="14"/>
  <c r="C41" i="14"/>
  <c r="C37" i="14"/>
  <c r="C40" i="14"/>
  <c r="C36" i="14"/>
  <c r="C43" i="14"/>
  <c r="C39" i="14"/>
  <c r="L30" i="4"/>
  <c r="L34" i="4"/>
  <c r="L34" i="1"/>
  <c r="C43" i="24" l="1"/>
  <c r="C39" i="24"/>
  <c r="C35" i="24"/>
  <c r="C42" i="24"/>
  <c r="C38" i="24"/>
  <c r="C41" i="24"/>
  <c r="C37" i="24"/>
  <c r="C40" i="24"/>
  <c r="C36" i="24"/>
  <c r="C43" i="23"/>
  <c r="C39" i="23"/>
  <c r="C35" i="23"/>
  <c r="C42" i="23"/>
  <c r="C38" i="23"/>
  <c r="C41" i="23"/>
  <c r="C37" i="23"/>
  <c r="C40" i="23"/>
  <c r="C36" i="23"/>
  <c r="C37" i="20"/>
  <c r="C35" i="20"/>
  <c r="C40" i="20"/>
  <c r="C42" i="20"/>
  <c r="C41" i="20"/>
  <c r="C39" i="20"/>
  <c r="C36" i="20"/>
  <c r="C38" i="20"/>
  <c r="L26" i="9"/>
  <c r="L32" i="9"/>
  <c r="K34" i="9"/>
  <c r="K30" i="9"/>
  <c r="F26" i="4" l="1"/>
  <c r="F25" i="4"/>
  <c r="F23" i="4"/>
  <c r="F22" i="4"/>
  <c r="F19" i="4"/>
  <c r="F18" i="4"/>
  <c r="F17" i="4"/>
  <c r="F16" i="4"/>
  <c r="F14" i="4"/>
  <c r="F13" i="4"/>
  <c r="F12" i="4"/>
  <c r="F11" i="4"/>
  <c r="E26" i="4"/>
  <c r="E25" i="4"/>
  <c r="E23" i="4"/>
  <c r="E22" i="4"/>
  <c r="E19" i="4"/>
  <c r="E18" i="4"/>
  <c r="E17" i="4"/>
  <c r="E16" i="4"/>
  <c r="E14" i="4"/>
  <c r="E13" i="4"/>
  <c r="E12" i="4"/>
  <c r="E11" i="4"/>
  <c r="H34" i="4"/>
  <c r="H33" i="4"/>
  <c r="H32" i="4"/>
  <c r="H31" i="4"/>
  <c r="H30" i="4"/>
  <c r="H29" i="4"/>
  <c r="H23" i="4"/>
  <c r="H22" i="4"/>
  <c r="H14" i="4"/>
  <c r="H13" i="4"/>
  <c r="H12" i="4"/>
  <c r="H11" i="4"/>
  <c r="H35" i="4" l="1"/>
  <c r="T43" i="6"/>
  <c r="T44" i="6" s="1"/>
  <c r="T45" i="6" s="1"/>
  <c r="T47" i="6" s="1"/>
  <c r="T38" i="6"/>
  <c r="T14" i="6"/>
  <c r="D9" i="17" l="1"/>
  <c r="G26" i="4"/>
  <c r="E27" i="4"/>
  <c r="G19" i="4"/>
  <c r="G17" i="4"/>
  <c r="E20" i="4"/>
  <c r="C29" i="12"/>
  <c r="J4" i="7"/>
  <c r="F27" i="4" l="1"/>
  <c r="G11" i="4"/>
  <c r="G12" i="4"/>
  <c r="G18" i="4"/>
  <c r="G22" i="4"/>
  <c r="G23" i="4"/>
  <c r="H18" i="4"/>
  <c r="F20" i="4"/>
  <c r="G13" i="4"/>
  <c r="G14" i="4"/>
  <c r="H25" i="4"/>
  <c r="G16" i="4"/>
  <c r="H17" i="4"/>
  <c r="G25" i="4"/>
  <c r="H26" i="4"/>
  <c r="H16" i="4"/>
  <c r="H19" i="4"/>
  <c r="H27" i="4" l="1"/>
  <c r="H20" i="4"/>
  <c r="I16" i="4" s="1"/>
  <c r="J16" i="4" s="1"/>
  <c r="I17" i="4" l="1"/>
  <c r="J17" i="4" s="1"/>
  <c r="L17" i="4" s="1"/>
  <c r="I22" i="4"/>
  <c r="I23" i="4"/>
  <c r="J23" i="4" s="1"/>
  <c r="L23" i="4" s="1"/>
  <c r="I25" i="4"/>
  <c r="J25" i="4" s="1"/>
  <c r="L25" i="4" s="1"/>
  <c r="I11" i="4"/>
  <c r="L16" i="4"/>
  <c r="I13" i="4"/>
  <c r="J13" i="4" s="1"/>
  <c r="L13" i="4" s="1"/>
  <c r="I18" i="4"/>
  <c r="J18" i="4" s="1"/>
  <c r="L18" i="4" s="1"/>
  <c r="I14" i="4"/>
  <c r="J14" i="4" s="1"/>
  <c r="L14" i="4" s="1"/>
  <c r="I12" i="4"/>
  <c r="J12" i="4" s="1"/>
  <c r="L12" i="4" s="1"/>
  <c r="I19" i="4"/>
  <c r="J19" i="4" s="1"/>
  <c r="L19" i="4" s="1"/>
  <c r="I26" i="4"/>
  <c r="J26" i="4" s="1"/>
  <c r="L26" i="4" s="1"/>
  <c r="L32" i="4" l="1"/>
  <c r="L31" i="4"/>
  <c r="I27" i="4"/>
  <c r="J22" i="4"/>
  <c r="I20" i="4"/>
  <c r="J11" i="4"/>
  <c r="J27" i="4" l="1"/>
  <c r="L22" i="4"/>
  <c r="J20" i="4"/>
  <c r="L11" i="4"/>
  <c r="L29" i="4" l="1"/>
  <c r="L20" i="4"/>
  <c r="L33" i="4"/>
  <c r="L27" i="4"/>
  <c r="L35" i="4" l="1"/>
  <c r="AU18" i="2" l="1"/>
  <c r="U124" i="1" l="1"/>
  <c r="E62" i="5"/>
  <c r="E86" i="5"/>
  <c r="E81" i="5"/>
  <c r="C28" i="12" l="1"/>
  <c r="C27" i="12"/>
  <c r="B26" i="12"/>
  <c r="B25" i="12"/>
  <c r="B27" i="14"/>
  <c r="C28" i="14" s="1"/>
  <c r="C29" i="14" s="1"/>
  <c r="C30" i="14" s="1"/>
  <c r="U48" i="1" l="1"/>
  <c r="U135" i="1" l="1"/>
  <c r="U134" i="1"/>
  <c r="U112" i="1"/>
  <c r="U111" i="1"/>
  <c r="U109" i="1"/>
  <c r="K11" i="2"/>
  <c r="L11" i="2"/>
  <c r="P11" i="2"/>
  <c r="V11" i="2"/>
  <c r="W11" i="2"/>
  <c r="Y11" i="2"/>
  <c r="Z11" i="2"/>
  <c r="AD11" i="2"/>
  <c r="AG11" i="2"/>
  <c r="AO11" i="2"/>
  <c r="AR11" i="2"/>
  <c r="AU63" i="2"/>
  <c r="AU19" i="2"/>
  <c r="AU27" i="2"/>
  <c r="AT27" i="2"/>
  <c r="AS27" i="2"/>
  <c r="AT21" i="2"/>
  <c r="AS21" i="2"/>
  <c r="AU20" i="2"/>
  <c r="AU21" i="2"/>
  <c r="AU11" i="2" s="1"/>
  <c r="AU40" i="2" s="1"/>
  <c r="AU13" i="2"/>
  <c r="AT11" i="2"/>
  <c r="AT35" i="2" s="1"/>
  <c r="AS11" i="2"/>
  <c r="AS32" i="2" s="1"/>
  <c r="AS33" i="2" s="1"/>
  <c r="AU65" i="2" l="1"/>
  <c r="AT14" i="2"/>
  <c r="AT32" i="2"/>
  <c r="AT33" i="2" s="1"/>
  <c r="AT45" i="2" s="1"/>
  <c r="AS40" i="2"/>
  <c r="AS44" i="2" s="1"/>
  <c r="AS35" i="2"/>
  <c r="AS45" i="2" s="1"/>
  <c r="AT40" i="2"/>
  <c r="AT44" i="2" s="1"/>
  <c r="AS14" i="2"/>
  <c r="AS47" i="2" l="1"/>
  <c r="AS55" i="2" s="1"/>
  <c r="AU35" i="2"/>
  <c r="U110" i="1" s="1"/>
  <c r="AU44" i="2"/>
  <c r="AU32" i="2"/>
  <c r="AU14" i="2"/>
  <c r="AT47" i="2"/>
  <c r="AT55" i="2" s="1"/>
  <c r="U146" i="1"/>
  <c r="AU33" i="2" l="1"/>
  <c r="U133" i="1"/>
  <c r="AU45" i="2"/>
  <c r="AU47" i="2" s="1"/>
  <c r="AU55" i="2" s="1"/>
  <c r="G36" i="5"/>
  <c r="E12" i="5" l="1"/>
  <c r="E13" i="5"/>
  <c r="E14" i="5"/>
  <c r="E19" i="5"/>
  <c r="E20" i="5"/>
  <c r="E25" i="5"/>
  <c r="E26" i="5"/>
  <c r="E27" i="5"/>
  <c r="E31" i="5"/>
  <c r="E32" i="5"/>
  <c r="E33" i="5"/>
  <c r="P59" i="5" l="1"/>
  <c r="P34" i="5" l="1"/>
  <c r="P55" i="5"/>
  <c r="F41" i="5" l="1"/>
  <c r="G41" i="5"/>
  <c r="G33" i="5"/>
  <c r="AF58" i="8"/>
  <c r="AE58" i="8"/>
  <c r="AD58" i="8"/>
  <c r="AC58" i="8"/>
  <c r="AB58" i="8"/>
  <c r="AA58" i="8"/>
  <c r="Z58" i="8"/>
  <c r="Y58" i="8"/>
  <c r="X58" i="8"/>
  <c r="W58" i="8"/>
  <c r="V58" i="8"/>
  <c r="U58" i="8"/>
  <c r="T58" i="8"/>
  <c r="S58" i="8"/>
  <c r="R58" i="8"/>
  <c r="Q58" i="8"/>
  <c r="P58" i="8"/>
  <c r="O58" i="8"/>
  <c r="N58" i="8"/>
  <c r="M58" i="8"/>
  <c r="L58" i="8"/>
  <c r="K58" i="8"/>
  <c r="J58" i="8"/>
  <c r="I58" i="8"/>
  <c r="AF57" i="8"/>
  <c r="AE57" i="8"/>
  <c r="AD57" i="8"/>
  <c r="AC57" i="8"/>
  <c r="AB57" i="8"/>
  <c r="AA57" i="8"/>
  <c r="Z57" i="8"/>
  <c r="Y57" i="8"/>
  <c r="X57" i="8"/>
  <c r="W57" i="8"/>
  <c r="V57" i="8"/>
  <c r="U57" i="8"/>
  <c r="T57" i="8"/>
  <c r="S57" i="8"/>
  <c r="R57" i="8"/>
  <c r="Q57" i="8"/>
  <c r="P57" i="8"/>
  <c r="O57" i="8"/>
  <c r="N57" i="8"/>
  <c r="M57" i="8"/>
  <c r="L57" i="8"/>
  <c r="K57" i="8"/>
  <c r="J57" i="8"/>
  <c r="I57" i="8"/>
  <c r="AF56" i="8"/>
  <c r="AE56" i="8"/>
  <c r="AD56" i="8"/>
  <c r="AD60" i="8" s="1"/>
  <c r="AC56" i="8"/>
  <c r="AC60" i="8" s="1"/>
  <c r="AB56" i="8"/>
  <c r="AA56" i="8"/>
  <c r="Z56" i="8"/>
  <c r="Z60" i="8" s="1"/>
  <c r="Y56" i="8"/>
  <c r="Y60" i="8" s="1"/>
  <c r="X56" i="8"/>
  <c r="W56" i="8"/>
  <c r="V56" i="8"/>
  <c r="V60" i="8" s="1"/>
  <c r="U56" i="8"/>
  <c r="U60" i="8" s="1"/>
  <c r="T56" i="8"/>
  <c r="S56" i="8"/>
  <c r="R56" i="8"/>
  <c r="R60" i="8" s="1"/>
  <c r="Q56" i="8"/>
  <c r="Q60" i="8" s="1"/>
  <c r="P56" i="8"/>
  <c r="O56" i="8"/>
  <c r="N56" i="8"/>
  <c r="N60" i="8" s="1"/>
  <c r="M56" i="8"/>
  <c r="M60" i="8" s="1"/>
  <c r="L56" i="8"/>
  <c r="K56" i="8"/>
  <c r="J56" i="8"/>
  <c r="J60" i="8" s="1"/>
  <c r="I56" i="8"/>
  <c r="I60" i="8" s="1"/>
  <c r="E53" i="8"/>
  <c r="D53" i="8"/>
  <c r="E52" i="8"/>
  <c r="D52" i="8"/>
  <c r="E51" i="8"/>
  <c r="D51" i="8"/>
  <c r="E50" i="8"/>
  <c r="D50" i="8"/>
  <c r="E49" i="8"/>
  <c r="D49" i="8"/>
  <c r="E48" i="8"/>
  <c r="D48" i="8"/>
  <c r="E47" i="8"/>
  <c r="E58" i="8" s="1"/>
  <c r="D47" i="8"/>
  <c r="D58" i="8" s="1"/>
  <c r="E46" i="8"/>
  <c r="D46" i="8"/>
  <c r="E45" i="8"/>
  <c r="D45" i="8"/>
  <c r="E44" i="8"/>
  <c r="D44" i="8"/>
  <c r="E43" i="8"/>
  <c r="D43" i="8"/>
  <c r="E42" i="8"/>
  <c r="D42" i="8"/>
  <c r="E41" i="8"/>
  <c r="E57" i="8" s="1"/>
  <c r="D41" i="8"/>
  <c r="E40" i="8"/>
  <c r="D40" i="8"/>
  <c r="E39" i="8"/>
  <c r="D39" i="8"/>
  <c r="E38" i="8"/>
  <c r="D38" i="8"/>
  <c r="E37" i="8"/>
  <c r="D37" i="8"/>
  <c r="E36" i="8"/>
  <c r="D36" i="8"/>
  <c r="E35" i="8"/>
  <c r="E56" i="8" s="1"/>
  <c r="E60" i="8" s="1"/>
  <c r="D35" i="8"/>
  <c r="AF28" i="8"/>
  <c r="AE28" i="8"/>
  <c r="AD28" i="8"/>
  <c r="AC28" i="8"/>
  <c r="AB28" i="8"/>
  <c r="AA28" i="8"/>
  <c r="Z28" i="8"/>
  <c r="Y28" i="8"/>
  <c r="X28" i="8"/>
  <c r="W28" i="8"/>
  <c r="V28" i="8"/>
  <c r="U28" i="8"/>
  <c r="T28" i="8"/>
  <c r="S28" i="8"/>
  <c r="R28" i="8"/>
  <c r="Q28" i="8"/>
  <c r="P28" i="8"/>
  <c r="O28" i="8"/>
  <c r="N28" i="8"/>
  <c r="M28" i="8"/>
  <c r="L28" i="8"/>
  <c r="K28" i="8"/>
  <c r="J28" i="8"/>
  <c r="I28" i="8"/>
  <c r="AF27" i="8"/>
  <c r="AE27" i="8"/>
  <c r="AD27" i="8"/>
  <c r="AC27" i="8"/>
  <c r="AB27" i="8"/>
  <c r="AA27" i="8"/>
  <c r="Z27" i="8"/>
  <c r="Y27" i="8"/>
  <c r="X27" i="8"/>
  <c r="W27" i="8"/>
  <c r="V27" i="8"/>
  <c r="U27" i="8"/>
  <c r="T27" i="8"/>
  <c r="S27" i="8"/>
  <c r="R27" i="8"/>
  <c r="Q27" i="8"/>
  <c r="P27" i="8"/>
  <c r="O27" i="8"/>
  <c r="N27" i="8"/>
  <c r="M27" i="8"/>
  <c r="L27" i="8"/>
  <c r="K27" i="8"/>
  <c r="J27" i="8"/>
  <c r="I27" i="8"/>
  <c r="AF26" i="8"/>
  <c r="AF30" i="8" s="1"/>
  <c r="AE26" i="8"/>
  <c r="AE30" i="8" s="1"/>
  <c r="AD26" i="8"/>
  <c r="AC26" i="8"/>
  <c r="AB26" i="8"/>
  <c r="AB30" i="8" s="1"/>
  <c r="AA26" i="8"/>
  <c r="AA30" i="8" s="1"/>
  <c r="Z26" i="8"/>
  <c r="Y26" i="8"/>
  <c r="X26" i="8"/>
  <c r="X30" i="8" s="1"/>
  <c r="W26" i="8"/>
  <c r="W30" i="8" s="1"/>
  <c r="V26" i="8"/>
  <c r="U26" i="8"/>
  <c r="T26" i="8"/>
  <c r="T30" i="8" s="1"/>
  <c r="S26" i="8"/>
  <c r="S30" i="8" s="1"/>
  <c r="R26" i="8"/>
  <c r="Q26" i="8"/>
  <c r="P26" i="8"/>
  <c r="P30" i="8" s="1"/>
  <c r="O26" i="8"/>
  <c r="O30" i="8" s="1"/>
  <c r="N26" i="8"/>
  <c r="M26" i="8"/>
  <c r="L26" i="8"/>
  <c r="L30" i="8" s="1"/>
  <c r="K26" i="8"/>
  <c r="K30" i="8" s="1"/>
  <c r="J26" i="8"/>
  <c r="I26" i="8"/>
  <c r="E23" i="8"/>
  <c r="D23" i="8"/>
  <c r="E22" i="8"/>
  <c r="D22" i="8"/>
  <c r="E21" i="8"/>
  <c r="D21" i="8"/>
  <c r="E20" i="8"/>
  <c r="D20" i="8"/>
  <c r="E19" i="8"/>
  <c r="D19" i="8"/>
  <c r="E18" i="8"/>
  <c r="E28" i="8" s="1"/>
  <c r="D18" i="8"/>
  <c r="D28" i="8" s="1"/>
  <c r="E17" i="8"/>
  <c r="D17" i="8"/>
  <c r="E16" i="8"/>
  <c r="D16" i="8"/>
  <c r="E15" i="8"/>
  <c r="D15" i="8"/>
  <c r="E14" i="8"/>
  <c r="D14" i="8"/>
  <c r="E13" i="8"/>
  <c r="D13" i="8"/>
  <c r="E12" i="8"/>
  <c r="D12" i="8"/>
  <c r="E11" i="8"/>
  <c r="D11" i="8"/>
  <c r="E10" i="8"/>
  <c r="D10" i="8"/>
  <c r="E9" i="8"/>
  <c r="D9" i="8"/>
  <c r="E8" i="8"/>
  <c r="D8" i="8"/>
  <c r="E7" i="8"/>
  <c r="D7" i="8"/>
  <c r="E6" i="8"/>
  <c r="D6" i="8"/>
  <c r="E5" i="8"/>
  <c r="D5" i="8"/>
  <c r="C267" i="11"/>
  <c r="D266" i="11"/>
  <c r="C266" i="11"/>
  <c r="C265" i="11"/>
  <c r="C264" i="11"/>
  <c r="C263" i="11"/>
  <c r="F257" i="11"/>
  <c r="C255" i="11"/>
  <c r="D254" i="11"/>
  <c r="C254" i="11"/>
  <c r="E254" i="11" s="1"/>
  <c r="C253" i="11"/>
  <c r="C252" i="11"/>
  <c r="C251" i="11"/>
  <c r="C237" i="11"/>
  <c r="D236" i="11"/>
  <c r="C236" i="11"/>
  <c r="E236" i="11" s="1"/>
  <c r="C235" i="11"/>
  <c r="F229" i="11"/>
  <c r="B244" i="11" s="1"/>
  <c r="D227" i="11"/>
  <c r="C227" i="11"/>
  <c r="E227" i="11" s="1"/>
  <c r="D226" i="11"/>
  <c r="C226" i="11"/>
  <c r="E226" i="11" s="1"/>
  <c r="F225" i="11"/>
  <c r="G225" i="11" s="1"/>
  <c r="E225" i="11"/>
  <c r="D225" i="11"/>
  <c r="C225" i="11"/>
  <c r="B221" i="11"/>
  <c r="D214" i="11"/>
  <c r="C214" i="11"/>
  <c r="E214" i="11" s="1"/>
  <c r="D213" i="11"/>
  <c r="E213" i="11" s="1"/>
  <c r="C213" i="11"/>
  <c r="F207" i="11"/>
  <c r="F216" i="11" s="1"/>
  <c r="D205" i="11"/>
  <c r="C205" i="11"/>
  <c r="D204" i="11"/>
  <c r="C204" i="11"/>
  <c r="B191" i="11"/>
  <c r="J190" i="11"/>
  <c r="I190" i="11"/>
  <c r="H190" i="11"/>
  <c r="G190" i="11"/>
  <c r="F185" i="11"/>
  <c r="E185" i="11"/>
  <c r="D185" i="11"/>
  <c r="D179" i="11"/>
  <c r="F178" i="11"/>
  <c r="F182" i="11" s="1"/>
  <c r="E178" i="11"/>
  <c r="C178" i="11" s="1"/>
  <c r="D178" i="11"/>
  <c r="F174" i="11"/>
  <c r="E174" i="11"/>
  <c r="D174" i="11"/>
  <c r="D182" i="11" s="1"/>
  <c r="C162" i="11"/>
  <c r="J160" i="11"/>
  <c r="J159" i="11"/>
  <c r="I159" i="11"/>
  <c r="F159" i="11"/>
  <c r="I158" i="11"/>
  <c r="J156" i="11"/>
  <c r="I156" i="11"/>
  <c r="G156" i="11"/>
  <c r="H155" i="11"/>
  <c r="E155" i="11"/>
  <c r="B143" i="11"/>
  <c r="J142" i="11"/>
  <c r="I142" i="11"/>
  <c r="H142" i="11"/>
  <c r="G142" i="11"/>
  <c r="C137" i="11"/>
  <c r="F134" i="11"/>
  <c r="F21" i="11" s="1"/>
  <c r="F44" i="11" s="1"/>
  <c r="E134" i="11"/>
  <c r="D134" i="11"/>
  <c r="D131" i="11"/>
  <c r="D132" i="11" s="1"/>
  <c r="C130" i="11"/>
  <c r="C126" i="11"/>
  <c r="J119" i="11"/>
  <c r="I119" i="11"/>
  <c r="H119" i="11"/>
  <c r="C113" i="11"/>
  <c r="J112" i="11"/>
  <c r="I112" i="11"/>
  <c r="H112" i="11"/>
  <c r="G112" i="11"/>
  <c r="F112" i="11"/>
  <c r="E112" i="11"/>
  <c r="D112" i="11"/>
  <c r="C112" i="11" s="1"/>
  <c r="J111" i="11"/>
  <c r="I111" i="11"/>
  <c r="H111" i="11"/>
  <c r="G111" i="11"/>
  <c r="F111" i="11"/>
  <c r="E111" i="11"/>
  <c r="D111" i="11"/>
  <c r="J110" i="11"/>
  <c r="I110" i="11"/>
  <c r="H110" i="11"/>
  <c r="G110" i="11"/>
  <c r="F110" i="11"/>
  <c r="E110" i="11"/>
  <c r="D110" i="11"/>
  <c r="J109" i="11"/>
  <c r="I109" i="11"/>
  <c r="H109" i="11"/>
  <c r="G109" i="11"/>
  <c r="F109" i="11"/>
  <c r="E109" i="11"/>
  <c r="D109" i="11"/>
  <c r="J108" i="11"/>
  <c r="I108" i="11"/>
  <c r="H108" i="11"/>
  <c r="G108" i="11"/>
  <c r="F108" i="11"/>
  <c r="E108" i="11"/>
  <c r="D108" i="11"/>
  <c r="J107" i="11"/>
  <c r="I107" i="11"/>
  <c r="G107" i="11"/>
  <c r="F107" i="11"/>
  <c r="E107" i="11"/>
  <c r="D107" i="11"/>
  <c r="J106" i="11"/>
  <c r="I106" i="11"/>
  <c r="H106" i="11"/>
  <c r="G106" i="11"/>
  <c r="F106" i="11"/>
  <c r="E106" i="11"/>
  <c r="E115" i="11" s="1"/>
  <c r="E118" i="11" s="1"/>
  <c r="D106" i="11"/>
  <c r="F49" i="11"/>
  <c r="F156" i="11" s="1"/>
  <c r="E49" i="11"/>
  <c r="E156" i="11" s="1"/>
  <c r="D49" i="11"/>
  <c r="D156" i="11" s="1"/>
  <c r="C156" i="11" s="1"/>
  <c r="J48" i="11"/>
  <c r="J155" i="11" s="1"/>
  <c r="I48" i="11"/>
  <c r="I155" i="11" s="1"/>
  <c r="H48" i="11"/>
  <c r="G48" i="11"/>
  <c r="G155" i="11" s="1"/>
  <c r="F48" i="11"/>
  <c r="F155" i="11" s="1"/>
  <c r="E48" i="11"/>
  <c r="D48" i="11"/>
  <c r="D155" i="11" s="1"/>
  <c r="J44" i="11"/>
  <c r="J41" i="11"/>
  <c r="J168" i="11" s="1"/>
  <c r="I41" i="11"/>
  <c r="I168" i="11" s="1"/>
  <c r="H41" i="11"/>
  <c r="H168" i="11" s="1"/>
  <c r="G41" i="11"/>
  <c r="F41" i="11"/>
  <c r="E41" i="11"/>
  <c r="D41" i="11"/>
  <c r="J38" i="11"/>
  <c r="I38" i="11"/>
  <c r="H38" i="11"/>
  <c r="G38" i="11"/>
  <c r="F38" i="11"/>
  <c r="E38" i="11"/>
  <c r="D38" i="11"/>
  <c r="J35" i="11"/>
  <c r="J161" i="11" s="1"/>
  <c r="I35" i="11"/>
  <c r="I161" i="11" s="1"/>
  <c r="H35" i="11"/>
  <c r="H161" i="11" s="1"/>
  <c r="G35" i="11"/>
  <c r="G161" i="11" s="1"/>
  <c r="F35" i="11"/>
  <c r="E35" i="11"/>
  <c r="E161" i="11" s="1"/>
  <c r="D35" i="11"/>
  <c r="D161" i="11" s="1"/>
  <c r="J34" i="11"/>
  <c r="I34" i="11"/>
  <c r="I160" i="11" s="1"/>
  <c r="H34" i="11"/>
  <c r="H160" i="11" s="1"/>
  <c r="G34" i="11"/>
  <c r="G160" i="11" s="1"/>
  <c r="F34" i="11"/>
  <c r="F160" i="11" s="1"/>
  <c r="E34" i="11"/>
  <c r="E160" i="11" s="1"/>
  <c r="D34" i="11"/>
  <c r="D160" i="11" s="1"/>
  <c r="J33" i="11"/>
  <c r="I33" i="11"/>
  <c r="H33" i="11"/>
  <c r="H159" i="11" s="1"/>
  <c r="G33" i="11"/>
  <c r="G159" i="11" s="1"/>
  <c r="F33" i="11"/>
  <c r="D265" i="11" s="1"/>
  <c r="E33" i="11"/>
  <c r="D237" i="11" s="1"/>
  <c r="D33" i="11"/>
  <c r="D159" i="11" s="1"/>
  <c r="J32" i="11"/>
  <c r="J158" i="11" s="1"/>
  <c r="I32" i="11"/>
  <c r="H32" i="11"/>
  <c r="H158" i="11" s="1"/>
  <c r="G32" i="11"/>
  <c r="G158" i="11" s="1"/>
  <c r="F32" i="11"/>
  <c r="D264" i="11" s="1"/>
  <c r="E32" i="11"/>
  <c r="E158" i="11" s="1"/>
  <c r="D32" i="11"/>
  <c r="D158" i="11" s="1"/>
  <c r="J31" i="11"/>
  <c r="J157" i="11" s="1"/>
  <c r="I31" i="11"/>
  <c r="I157" i="11" s="1"/>
  <c r="H31" i="11"/>
  <c r="H157" i="11" s="1"/>
  <c r="G31" i="11"/>
  <c r="G157" i="11" s="1"/>
  <c r="F31" i="11"/>
  <c r="E31" i="11"/>
  <c r="D235" i="11" s="1"/>
  <c r="D239" i="11" s="1"/>
  <c r="D31" i="11"/>
  <c r="D157" i="11" s="1"/>
  <c r="J21" i="11"/>
  <c r="I21" i="11"/>
  <c r="I44" i="11" s="1"/>
  <c r="H21" i="11"/>
  <c r="H44" i="11" s="1"/>
  <c r="G21" i="11"/>
  <c r="G44" i="11" s="1"/>
  <c r="E21" i="11"/>
  <c r="E44" i="11" s="1"/>
  <c r="D21" i="11"/>
  <c r="D44" i="11" s="1"/>
  <c r="E20" i="11"/>
  <c r="E23" i="11" s="1"/>
  <c r="C18" i="11"/>
  <c r="J14" i="11"/>
  <c r="J17" i="11" s="1"/>
  <c r="J20" i="11" s="1"/>
  <c r="J23" i="11" s="1"/>
  <c r="I14" i="11"/>
  <c r="I17" i="11" s="1"/>
  <c r="I20" i="11" s="1"/>
  <c r="I23" i="11" s="1"/>
  <c r="H14" i="11"/>
  <c r="H17" i="11" s="1"/>
  <c r="H20" i="11" s="1"/>
  <c r="H23" i="11" s="1"/>
  <c r="G14" i="11"/>
  <c r="G17" i="11" s="1"/>
  <c r="G20" i="11" s="1"/>
  <c r="G23" i="11" s="1"/>
  <c r="F14" i="11"/>
  <c r="F17" i="11" s="1"/>
  <c r="F20" i="11" s="1"/>
  <c r="E14" i="11"/>
  <c r="E17" i="11" s="1"/>
  <c r="D14" i="11"/>
  <c r="T32" i="6"/>
  <c r="F204" i="11" l="1"/>
  <c r="F205" i="11" s="1"/>
  <c r="G205" i="11" s="1"/>
  <c r="I115" i="11"/>
  <c r="I118" i="11" s="1"/>
  <c r="I121" i="11" s="1"/>
  <c r="I143" i="11" s="1"/>
  <c r="I145" i="11" s="1"/>
  <c r="E182" i="11"/>
  <c r="M30" i="8"/>
  <c r="U30" i="8"/>
  <c r="O60" i="8"/>
  <c r="AA60" i="8"/>
  <c r="F115" i="11"/>
  <c r="F118" i="11" s="1"/>
  <c r="N30" i="8"/>
  <c r="V30" i="8"/>
  <c r="Z30" i="8"/>
  <c r="L60" i="8"/>
  <c r="C108" i="11"/>
  <c r="F158" i="11"/>
  <c r="D26" i="8"/>
  <c r="D30" i="8" s="1"/>
  <c r="I30" i="8"/>
  <c r="Q30" i="8"/>
  <c r="Y30" i="8"/>
  <c r="AC30" i="8"/>
  <c r="D56" i="8"/>
  <c r="D57" i="8"/>
  <c r="K60" i="8"/>
  <c r="S60" i="8"/>
  <c r="W60" i="8"/>
  <c r="AE60" i="8"/>
  <c r="J115" i="11"/>
  <c r="J118" i="11" s="1"/>
  <c r="J121" i="11" s="1"/>
  <c r="J143" i="11" s="1"/>
  <c r="C111" i="11"/>
  <c r="D216" i="11"/>
  <c r="E26" i="8"/>
  <c r="E30" i="8" s="1"/>
  <c r="J30" i="8"/>
  <c r="R30" i="8"/>
  <c r="AD30" i="8"/>
  <c r="C185" i="11"/>
  <c r="D207" i="11"/>
  <c r="P60" i="8"/>
  <c r="T60" i="8"/>
  <c r="X60" i="8"/>
  <c r="AB60" i="8"/>
  <c r="AF60" i="8"/>
  <c r="F23" i="11"/>
  <c r="G115" i="11"/>
  <c r="G118" i="11" s="1"/>
  <c r="C107" i="11"/>
  <c r="C110" i="11"/>
  <c r="E216" i="11"/>
  <c r="E217" i="11" s="1"/>
  <c r="D27" i="8"/>
  <c r="C38" i="11"/>
  <c r="D115" i="11"/>
  <c r="H115" i="11"/>
  <c r="H118" i="11" s="1"/>
  <c r="H121" i="11" s="1"/>
  <c r="H143" i="11" s="1"/>
  <c r="H145" i="11" s="1"/>
  <c r="C109" i="11"/>
  <c r="C134" i="11"/>
  <c r="E159" i="11"/>
  <c r="C159" i="11" s="1"/>
  <c r="D180" i="11"/>
  <c r="E205" i="11"/>
  <c r="D229" i="11"/>
  <c r="E235" i="11"/>
  <c r="E266" i="11"/>
  <c r="E27" i="8"/>
  <c r="F157" i="11"/>
  <c r="D263" i="11"/>
  <c r="D251" i="11"/>
  <c r="D267" i="11"/>
  <c r="D255" i="11"/>
  <c r="F161" i="11"/>
  <c r="E65" i="11"/>
  <c r="E264" i="11"/>
  <c r="D118" i="11"/>
  <c r="G65" i="11"/>
  <c r="G119" i="11" s="1"/>
  <c r="G121" i="11" s="1"/>
  <c r="G143" i="11" s="1"/>
  <c r="G145" i="11" s="1"/>
  <c r="F213" i="11"/>
  <c r="G213" i="11" s="1"/>
  <c r="E237" i="11"/>
  <c r="E239" i="11" s="1"/>
  <c r="E240" i="11" s="1"/>
  <c r="F65" i="11"/>
  <c r="G164" i="11"/>
  <c r="G167" i="11" s="1"/>
  <c r="H213" i="11"/>
  <c r="E229" i="11"/>
  <c r="E37" i="11"/>
  <c r="E40" i="11" s="1"/>
  <c r="E43" i="11" s="1"/>
  <c r="E46" i="11" s="1"/>
  <c r="E277" i="11" s="1"/>
  <c r="C160" i="11"/>
  <c r="J164" i="11"/>
  <c r="J167" i="11" s="1"/>
  <c r="J170" i="11" s="1"/>
  <c r="J191" i="11" s="1"/>
  <c r="J192" i="11" s="1"/>
  <c r="D164" i="11"/>
  <c r="C14" i="11"/>
  <c r="C44" i="11"/>
  <c r="J37" i="11"/>
  <c r="J40" i="11" s="1"/>
  <c r="J43" i="11" s="1"/>
  <c r="J46" i="11" s="1"/>
  <c r="I164" i="11"/>
  <c r="I167" i="11" s="1"/>
  <c r="I170" i="11" s="1"/>
  <c r="I191" i="11" s="1"/>
  <c r="I192" i="11" s="1"/>
  <c r="C158" i="11"/>
  <c r="F37" i="11"/>
  <c r="F40" i="11" s="1"/>
  <c r="F43" i="11" s="1"/>
  <c r="F46" i="11" s="1"/>
  <c r="F277" i="11" s="1"/>
  <c r="C41" i="11"/>
  <c r="J145" i="11"/>
  <c r="J193" i="11" s="1"/>
  <c r="H164" i="11"/>
  <c r="H167" i="11" s="1"/>
  <c r="H170" i="11" s="1"/>
  <c r="H191" i="11" s="1"/>
  <c r="H192" i="11"/>
  <c r="E265" i="11"/>
  <c r="I37" i="11"/>
  <c r="I40" i="11" s="1"/>
  <c r="I43" i="11" s="1"/>
  <c r="I46" i="11" s="1"/>
  <c r="C106" i="11"/>
  <c r="E157" i="11"/>
  <c r="E164" i="11" s="1"/>
  <c r="E167" i="11" s="1"/>
  <c r="F226" i="11"/>
  <c r="G226" i="11" s="1"/>
  <c r="D17" i="11"/>
  <c r="C21" i="11"/>
  <c r="D37" i="11"/>
  <c r="H37" i="11"/>
  <c r="H40" i="11" s="1"/>
  <c r="H43" i="11" s="1"/>
  <c r="H46" i="11" s="1"/>
  <c r="H277" i="11" s="1"/>
  <c r="C155" i="11"/>
  <c r="C174" i="11"/>
  <c r="C182" i="11" s="1"/>
  <c r="E204" i="11"/>
  <c r="E207" i="11" s="1"/>
  <c r="E208" i="11" s="1"/>
  <c r="H225" i="11"/>
  <c r="F227" i="11"/>
  <c r="G227" i="11" s="1"/>
  <c r="G229" i="11" s="1"/>
  <c r="G230" i="11" s="1"/>
  <c r="F239" i="11"/>
  <c r="F235" i="11" s="1"/>
  <c r="G235" i="11" s="1"/>
  <c r="D252" i="11"/>
  <c r="B273" i="11"/>
  <c r="F269" i="11"/>
  <c r="G37" i="11"/>
  <c r="G40" i="11" s="1"/>
  <c r="G43" i="11" s="1"/>
  <c r="G46" i="11" s="1"/>
  <c r="G277" i="11" s="1"/>
  <c r="D253" i="11"/>
  <c r="E253" i="11" s="1"/>
  <c r="C157" i="11" l="1"/>
  <c r="C115" i="11"/>
  <c r="H193" i="11"/>
  <c r="H205" i="11"/>
  <c r="I205" i="11" s="1"/>
  <c r="D60" i="8"/>
  <c r="H195" i="11"/>
  <c r="G193" i="11"/>
  <c r="E230" i="11"/>
  <c r="F214" i="11"/>
  <c r="G204" i="11"/>
  <c r="G207" i="11" s="1"/>
  <c r="G208" i="11" s="1"/>
  <c r="I193" i="11"/>
  <c r="I195" i="11" s="1"/>
  <c r="I196" i="11" s="1"/>
  <c r="F164" i="11"/>
  <c r="F167" i="11" s="1"/>
  <c r="H204" i="11"/>
  <c r="F83" i="11"/>
  <c r="E83" i="11"/>
  <c r="G83" i="11"/>
  <c r="G168" i="11" s="1"/>
  <c r="G170" i="11" s="1"/>
  <c r="G191" i="11" s="1"/>
  <c r="G192" i="11" s="1"/>
  <c r="G195" i="11" s="1"/>
  <c r="E127" i="11"/>
  <c r="E128" i="11" s="1"/>
  <c r="E119" i="11"/>
  <c r="E121" i="11" s="1"/>
  <c r="E143" i="11" s="1"/>
  <c r="F236" i="11"/>
  <c r="C17" i="11"/>
  <c r="D20" i="11"/>
  <c r="D167" i="11"/>
  <c r="E255" i="11"/>
  <c r="C161" i="11"/>
  <c r="C164" i="11" s="1"/>
  <c r="H226" i="11"/>
  <c r="I226" i="11" s="1"/>
  <c r="J195" i="11"/>
  <c r="J196" i="11" s="1"/>
  <c r="H235" i="11"/>
  <c r="E252" i="11"/>
  <c r="I225" i="11"/>
  <c r="I213" i="11"/>
  <c r="D269" i="11"/>
  <c r="F263" i="11"/>
  <c r="G263" i="11" s="1"/>
  <c r="H263" i="11"/>
  <c r="E263" i="11"/>
  <c r="C37" i="11"/>
  <c r="D40" i="11"/>
  <c r="H196" i="11"/>
  <c r="H276" i="11"/>
  <c r="F127" i="11"/>
  <c r="F128" i="11" s="1"/>
  <c r="F135" i="11" s="1"/>
  <c r="F119" i="11"/>
  <c r="F121" i="11" s="1"/>
  <c r="F143" i="11" s="1"/>
  <c r="D257" i="11"/>
  <c r="F251" i="11"/>
  <c r="H251" i="11" s="1"/>
  <c r="E251" i="11"/>
  <c r="C118" i="11"/>
  <c r="D65" i="11"/>
  <c r="E267" i="11"/>
  <c r="H227" i="11"/>
  <c r="I227" i="11" s="1"/>
  <c r="U66" i="1"/>
  <c r="H207" i="11" l="1"/>
  <c r="I204" i="11"/>
  <c r="I207" i="11" s="1"/>
  <c r="E269" i="11"/>
  <c r="E270" i="11" s="1"/>
  <c r="F264" i="11"/>
  <c r="F265" i="11" s="1"/>
  <c r="H265" i="11" s="1"/>
  <c r="I265" i="11" s="1"/>
  <c r="G214" i="11"/>
  <c r="G216" i="11" s="1"/>
  <c r="G217" i="11" s="1"/>
  <c r="H214" i="11"/>
  <c r="I251" i="11"/>
  <c r="D83" i="11"/>
  <c r="C167" i="11"/>
  <c r="G236" i="11"/>
  <c r="H236" i="11"/>
  <c r="I236" i="11" s="1"/>
  <c r="G196" i="11"/>
  <c r="G276" i="11"/>
  <c r="D127" i="11"/>
  <c r="D128" i="11" s="1"/>
  <c r="D119" i="11"/>
  <c r="I235" i="11"/>
  <c r="F179" i="11"/>
  <c r="F180" i="11" s="1"/>
  <c r="F175" i="11"/>
  <c r="F176" i="11" s="1"/>
  <c r="F168" i="11"/>
  <c r="F170" i="11" s="1"/>
  <c r="F191" i="11" s="1"/>
  <c r="C40" i="11"/>
  <c r="D43" i="11"/>
  <c r="I229" i="11"/>
  <c r="F237" i="11"/>
  <c r="E257" i="11"/>
  <c r="E258" i="11" s="1"/>
  <c r="H229" i="11"/>
  <c r="G251" i="11"/>
  <c r="F253" i="11"/>
  <c r="F254" i="11" s="1"/>
  <c r="F252" i="11"/>
  <c r="I263" i="11"/>
  <c r="D23" i="11"/>
  <c r="C20" i="11"/>
  <c r="E175" i="11"/>
  <c r="E176" i="11" s="1"/>
  <c r="E168" i="11"/>
  <c r="E170" i="11" s="1"/>
  <c r="E191" i="11" s="1"/>
  <c r="E85" i="5"/>
  <c r="E84" i="5"/>
  <c r="E83" i="5"/>
  <c r="E78" i="5"/>
  <c r="E77" i="5"/>
  <c r="E76" i="5"/>
  <c r="E72" i="5"/>
  <c r="E71" i="5"/>
  <c r="E70" i="5"/>
  <c r="E44" i="5"/>
  <c r="E43" i="5"/>
  <c r="E42" i="5"/>
  <c r="E41" i="5"/>
  <c r="E38" i="5"/>
  <c r="E37" i="5"/>
  <c r="E36" i="5"/>
  <c r="E21" i="5"/>
  <c r="U45" i="1"/>
  <c r="T17" i="6"/>
  <c r="T25" i="6"/>
  <c r="T30" i="6" s="1"/>
  <c r="T64" i="6"/>
  <c r="T68" i="6"/>
  <c r="U15" i="1"/>
  <c r="U22" i="1"/>
  <c r="U28" i="1"/>
  <c r="U34" i="1"/>
  <c r="E64" i="5"/>
  <c r="U81" i="1"/>
  <c r="U100" i="1"/>
  <c r="U102" i="1"/>
  <c r="U103" i="1"/>
  <c r="U104" i="1"/>
  <c r="U105" i="1"/>
  <c r="U106" i="1"/>
  <c r="U117" i="1"/>
  <c r="U118" i="1"/>
  <c r="U119" i="1"/>
  <c r="U125" i="1"/>
  <c r="U129" i="1"/>
  <c r="U130" i="1"/>
  <c r="U131" i="1"/>
  <c r="U132" i="1"/>
  <c r="U147" i="1"/>
  <c r="Q55" i="5"/>
  <c r="P79" i="5"/>
  <c r="P73" i="5"/>
  <c r="T27" i="6" l="1"/>
  <c r="T28" i="6" s="1"/>
  <c r="K13" i="5"/>
  <c r="P80" i="5"/>
  <c r="P82" i="5"/>
  <c r="P87" i="5" s="1"/>
  <c r="F266" i="11"/>
  <c r="F267" i="11" s="1"/>
  <c r="G264" i="11"/>
  <c r="I214" i="11"/>
  <c r="I216" i="11" s="1"/>
  <c r="H216" i="11"/>
  <c r="G265" i="11"/>
  <c r="K204" i="11"/>
  <c r="K205" i="11"/>
  <c r="U150" i="1"/>
  <c r="C23" i="11"/>
  <c r="I208" i="11"/>
  <c r="D138" i="11" s="1"/>
  <c r="D139" i="11" s="1"/>
  <c r="H264" i="11"/>
  <c r="I264" i="11" s="1"/>
  <c r="I269" i="11" s="1"/>
  <c r="G267" i="11"/>
  <c r="H267" i="11"/>
  <c r="I267" i="11" s="1"/>
  <c r="G254" i="11"/>
  <c r="H254" i="11"/>
  <c r="I254" i="11" s="1"/>
  <c r="C128" i="11"/>
  <c r="D135" i="11"/>
  <c r="D142" i="11" s="1"/>
  <c r="C119" i="11"/>
  <c r="D121" i="11"/>
  <c r="D143" i="11" s="1"/>
  <c r="C143" i="11" s="1"/>
  <c r="D175" i="11"/>
  <c r="D176" i="11" s="1"/>
  <c r="D168" i="11"/>
  <c r="G252" i="11"/>
  <c r="H252" i="11"/>
  <c r="I230" i="11"/>
  <c r="F255" i="11"/>
  <c r="F183" i="11"/>
  <c r="G253" i="11"/>
  <c r="H253" i="11"/>
  <c r="I253" i="11" s="1"/>
  <c r="G266" i="11"/>
  <c r="H266" i="11"/>
  <c r="I266" i="11" s="1"/>
  <c r="G237" i="11"/>
  <c r="G239" i="11" s="1"/>
  <c r="G240" i="11" s="1"/>
  <c r="H237" i="11"/>
  <c r="C43" i="11"/>
  <c r="D46" i="11"/>
  <c r="D277" i="11" s="1"/>
  <c r="G257" i="11"/>
  <c r="G258" i="11" s="1"/>
  <c r="U120" i="1"/>
  <c r="U46" i="1"/>
  <c r="U75" i="1"/>
  <c r="T54" i="6"/>
  <c r="U107" i="1"/>
  <c r="U108" i="1" s="1"/>
  <c r="U126" i="1"/>
  <c r="U82" i="1" l="1"/>
  <c r="U84" i="1" s="1"/>
  <c r="U91" i="1" s="1"/>
  <c r="C46" i="11"/>
  <c r="G269" i="11"/>
  <c r="G270" i="11" s="1"/>
  <c r="C121" i="11"/>
  <c r="J3" i="12"/>
  <c r="J5" i="12" s="1"/>
  <c r="D145" i="11"/>
  <c r="J3" i="17"/>
  <c r="J5" i="17" s="1"/>
  <c r="H269" i="11"/>
  <c r="I270" i="11" s="1"/>
  <c r="F186" i="11" s="1"/>
  <c r="F187" i="11" s="1"/>
  <c r="F190" i="11" s="1"/>
  <c r="F192" i="11" s="1"/>
  <c r="I217" i="11"/>
  <c r="D186" i="11" s="1"/>
  <c r="D187" i="11" s="1"/>
  <c r="C168" i="11"/>
  <c r="D170" i="11"/>
  <c r="G255" i="11"/>
  <c r="H255" i="11"/>
  <c r="I255" i="11" s="1"/>
  <c r="I252" i="11"/>
  <c r="D183" i="11"/>
  <c r="D190" i="11" s="1"/>
  <c r="C176" i="11"/>
  <c r="I237" i="11"/>
  <c r="I239" i="11" s="1"/>
  <c r="I240" i="11" s="1"/>
  <c r="H239" i="11"/>
  <c r="E131" i="11"/>
  <c r="E132" i="11" s="1"/>
  <c r="E138" i="11"/>
  <c r="E139" i="11" s="1"/>
  <c r="U56" i="1"/>
  <c r="U142" i="1" l="1"/>
  <c r="D193" i="11"/>
  <c r="U139" i="1"/>
  <c r="C132" i="11"/>
  <c r="E135" i="11"/>
  <c r="E186" i="11"/>
  <c r="E187" i="11" s="1"/>
  <c r="E179" i="11"/>
  <c r="E180" i="11" s="1"/>
  <c r="D191" i="11"/>
  <c r="C191" i="11" s="1"/>
  <c r="C170" i="11"/>
  <c r="I257" i="11"/>
  <c r="H257" i="11"/>
  <c r="J3" i="14" l="1"/>
  <c r="J5" i="14" s="1"/>
  <c r="C180" i="11"/>
  <c r="C183" i="11" s="1"/>
  <c r="E183" i="11"/>
  <c r="E190" i="11" s="1"/>
  <c r="E142" i="11"/>
  <c r="E145" i="11" s="1"/>
  <c r="C135" i="11"/>
  <c r="C187" i="11"/>
  <c r="I258" i="11"/>
  <c r="F138" i="11" s="1"/>
  <c r="F139" i="11" s="1"/>
  <c r="D192" i="11"/>
  <c r="E193" i="11" l="1"/>
  <c r="D195" i="11"/>
  <c r="C192" i="11"/>
  <c r="E192" i="11"/>
  <c r="E195" i="11" s="1"/>
  <c r="C190" i="11"/>
  <c r="F142" i="11"/>
  <c r="F145" i="11" s="1"/>
  <c r="C139" i="11"/>
  <c r="F193" i="11" l="1"/>
  <c r="D196" i="11"/>
  <c r="D276" i="11"/>
  <c r="E196" i="11"/>
  <c r="E276" i="11"/>
  <c r="C142" i="11"/>
  <c r="C145" i="11" s="1"/>
  <c r="P45" i="5"/>
  <c r="P46" i="5" l="1"/>
  <c r="P48" i="5" s="1"/>
  <c r="P61" i="5" s="1"/>
  <c r="F195" i="11"/>
  <c r="C193" i="11"/>
  <c r="N192" i="1"/>
  <c r="F276" i="11" l="1"/>
  <c r="C195" i="11"/>
  <c r="C196" i="11" s="1"/>
  <c r="F196" i="11"/>
  <c r="D11" i="15"/>
  <c r="K12" i="5" l="1"/>
  <c r="T73" i="1"/>
  <c r="T83" i="1"/>
  <c r="S14" i="6" l="1"/>
  <c r="S17" i="6" s="1"/>
  <c r="S27" i="6" s="1"/>
  <c r="AR20" i="2"/>
  <c r="AO20" i="2"/>
  <c r="AR19" i="2"/>
  <c r="AR18" i="2"/>
  <c r="T109" i="1"/>
  <c r="T54" i="1"/>
  <c r="T15" i="1"/>
  <c r="T22" i="1"/>
  <c r="T28" i="1"/>
  <c r="T34" i="1"/>
  <c r="T45" i="1"/>
  <c r="T75" i="1"/>
  <c r="T81" i="1"/>
  <c r="T100" i="1"/>
  <c r="T102" i="1"/>
  <c r="T103" i="1"/>
  <c r="T104" i="1"/>
  <c r="T105" i="1"/>
  <c r="T106" i="1"/>
  <c r="T107" i="1"/>
  <c r="T117" i="1"/>
  <c r="T118" i="1"/>
  <c r="T119" i="1"/>
  <c r="T124" i="1"/>
  <c r="T125" i="1"/>
  <c r="T129" i="1"/>
  <c r="T130" i="1"/>
  <c r="T131" i="1"/>
  <c r="T132" i="1"/>
  <c r="T146" i="1"/>
  <c r="S25" i="6"/>
  <c r="S30" i="6" s="1"/>
  <c r="S38" i="6"/>
  <c r="S44" i="6"/>
  <c r="S64" i="6"/>
  <c r="T87" i="1" s="1"/>
  <c r="S68" i="6"/>
  <c r="AR27" i="2"/>
  <c r="AQ27" i="2"/>
  <c r="AP27" i="2"/>
  <c r="AQ21" i="2"/>
  <c r="AP21" i="2"/>
  <c r="AR13" i="2"/>
  <c r="T147" i="1" s="1"/>
  <c r="T150" i="1" s="1"/>
  <c r="T120" i="1" l="1"/>
  <c r="I3" i="17"/>
  <c r="I5" i="17" s="1"/>
  <c r="U151" i="1"/>
  <c r="T126" i="1"/>
  <c r="S45" i="6"/>
  <c r="S47" i="6" s="1"/>
  <c r="S54" i="6" s="1"/>
  <c r="S28" i="6"/>
  <c r="AR21" i="2"/>
  <c r="T82" i="1"/>
  <c r="T84" i="1" s="1"/>
  <c r="T46" i="1"/>
  <c r="T48" i="1" s="1"/>
  <c r="T56" i="1" s="1"/>
  <c r="T108" i="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J45" i="6"/>
  <c r="Q44" i="6"/>
  <c r="P44" i="6"/>
  <c r="O44" i="6"/>
  <c r="N44" i="6"/>
  <c r="M44" i="6"/>
  <c r="L44" i="6"/>
  <c r="K44" i="6"/>
  <c r="J44" i="6"/>
  <c r="I44" i="6"/>
  <c r="H44" i="6"/>
  <c r="G44" i="6"/>
  <c r="F44" i="6"/>
  <c r="E44" i="6"/>
  <c r="R43" i="6"/>
  <c r="R41" i="6"/>
  <c r="R38" i="6"/>
  <c r="Q38" i="6"/>
  <c r="Q45" i="6" s="1"/>
  <c r="P38" i="6"/>
  <c r="P45" i="6" s="1"/>
  <c r="O38" i="6"/>
  <c r="O45" i="6" s="1"/>
  <c r="N38" i="6"/>
  <c r="N45" i="6" s="1"/>
  <c r="M38" i="6"/>
  <c r="M45" i="6" s="1"/>
  <c r="L38" i="6"/>
  <c r="L45" i="6" s="1"/>
  <c r="K38" i="6"/>
  <c r="K45" i="6" s="1"/>
  <c r="J38" i="6"/>
  <c r="I38" i="6"/>
  <c r="I45" i="6" s="1"/>
  <c r="H38" i="6"/>
  <c r="H45" i="6" s="1"/>
  <c r="G38" i="6"/>
  <c r="G45" i="6" s="1"/>
  <c r="F38" i="6"/>
  <c r="F45" i="6" s="1"/>
  <c r="E38" i="6"/>
  <c r="E45" i="6" s="1"/>
  <c r="R44" i="6" l="1"/>
  <c r="R45" i="6" s="1"/>
  <c r="U178" i="1"/>
  <c r="U194" i="1" s="1"/>
  <c r="I3" i="12"/>
  <c r="I5" i="12" s="1"/>
  <c r="U162" i="1"/>
  <c r="U121" i="1"/>
  <c r="U182" i="1"/>
  <c r="U198" i="1" s="1"/>
  <c r="U166" i="1"/>
  <c r="R47" i="6"/>
  <c r="Q47" i="6" s="1"/>
  <c r="P47" i="6" s="1"/>
  <c r="O47" i="6" s="1"/>
  <c r="N47" i="6" s="1"/>
  <c r="M47" i="6" s="1"/>
  <c r="L47" i="6" s="1"/>
  <c r="K47" i="6" s="1"/>
  <c r="J47" i="6" s="1"/>
  <c r="I47" i="6" s="1"/>
  <c r="H47" i="6" s="1"/>
  <c r="G47" i="6" s="1"/>
  <c r="F47" i="6" s="1"/>
  <c r="E47" i="6" s="1"/>
  <c r="AR65" i="2"/>
  <c r="T91" i="1"/>
  <c r="T139" i="1"/>
  <c r="R25" i="6"/>
  <c r="R30" i="6" s="1"/>
  <c r="Q25" i="6"/>
  <c r="P25" i="6"/>
  <c r="O25" i="6"/>
  <c r="N25" i="6"/>
  <c r="M25" i="6"/>
  <c r="L25" i="6"/>
  <c r="K25" i="6"/>
  <c r="J25" i="6"/>
  <c r="I25" i="6"/>
  <c r="H25" i="6"/>
  <c r="G25" i="6"/>
  <c r="F25" i="6"/>
  <c r="E25" i="6"/>
  <c r="I3" i="14" l="1"/>
  <c r="I5" i="14" s="1"/>
  <c r="U140" i="1"/>
  <c r="U184" i="1"/>
  <c r="U200" i="1" s="1"/>
  <c r="U168" i="1"/>
  <c r="Q30" i="6"/>
  <c r="P30" i="6" s="1"/>
  <c r="O30" i="6" s="1"/>
  <c r="N30" i="6" s="1"/>
  <c r="M30" i="6" s="1"/>
  <c r="L30" i="6" s="1"/>
  <c r="K30" i="6" s="1"/>
  <c r="J30" i="6" s="1"/>
  <c r="I30" i="6" s="1"/>
  <c r="H30" i="6" s="1"/>
  <c r="G30" i="6" s="1"/>
  <c r="F30" i="6" s="1"/>
  <c r="E30" i="6" s="1"/>
  <c r="T142" i="1"/>
  <c r="U143" i="1" s="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Q28" i="6" s="1"/>
  <c r="P28" i="6" s="1"/>
  <c r="J14" i="6"/>
  <c r="I14" i="6"/>
  <c r="AL63" i="2"/>
  <c r="AI63" i="2"/>
  <c r="AF63" i="2"/>
  <c r="R63" i="2"/>
  <c r="P63" i="2"/>
  <c r="N63" i="2"/>
  <c r="L63" i="2"/>
  <c r="J63" i="2"/>
  <c r="H63" i="2"/>
  <c r="AL61" i="2"/>
  <c r="AI61" i="2"/>
  <c r="AF61" i="2"/>
  <c r="AC61" i="2"/>
  <c r="Z61" i="2"/>
  <c r="W61" i="2"/>
  <c r="T61" i="2"/>
  <c r="R61" i="2"/>
  <c r="AK41" i="2"/>
  <c r="M17" i="6" l="1"/>
  <c r="N27" i="6"/>
  <c r="N28" i="6" s="1"/>
  <c r="J17" i="6"/>
  <c r="K27" i="6"/>
  <c r="G17" i="6"/>
  <c r="H27" i="6"/>
  <c r="E40" i="2"/>
  <c r="AJ36" i="2"/>
  <c r="E35" i="2"/>
  <c r="I17" i="6" l="1"/>
  <c r="I27" i="6" s="1"/>
  <c r="J27" i="6"/>
  <c r="F17" i="6"/>
  <c r="G27" i="6"/>
  <c r="L17" i="6"/>
  <c r="L27" i="6" s="1"/>
  <c r="M27" i="6"/>
  <c r="M28" i="6" s="1"/>
  <c r="E32"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L28" i="6" l="1"/>
  <c r="K28" i="6" s="1"/>
  <c r="J28" i="6" s="1"/>
  <c r="I28" i="6" s="1"/>
  <c r="H28" i="6" s="1"/>
  <c r="G28" i="6" s="1"/>
  <c r="E17" i="6"/>
  <c r="E27" i="6" s="1"/>
  <c r="F27" i="6"/>
  <c r="F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AI19" i="2"/>
  <c r="AF19" i="2"/>
  <c r="AC19" i="2"/>
  <c r="Z19" i="2"/>
  <c r="W19" i="2"/>
  <c r="T19" i="2"/>
  <c r="R19" i="2"/>
  <c r="P19" i="2"/>
  <c r="N19" i="2"/>
  <c r="L19" i="2"/>
  <c r="J19" i="2"/>
  <c r="H19" i="2"/>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E28" i="6" l="1"/>
  <c r="W21" i="2"/>
  <c r="AC21" i="2"/>
  <c r="N21" i="2"/>
  <c r="AI21" i="2"/>
  <c r="AO21" i="2"/>
  <c r="H21" i="2"/>
  <c r="P21" i="2"/>
  <c r="Z21" i="2"/>
  <c r="AL21" i="2"/>
  <c r="L21" i="2"/>
  <c r="T21" i="2"/>
  <c r="AF21" i="2"/>
  <c r="J21" i="2"/>
  <c r="R21" i="2"/>
  <c r="G186" i="1" l="1"/>
  <c r="G202" i="1" s="1"/>
  <c r="S147" i="1" l="1"/>
  <c r="R147" i="1"/>
  <c r="Q147" i="1"/>
  <c r="P147" i="1"/>
  <c r="O147" i="1"/>
  <c r="N147" i="1"/>
  <c r="M147" i="1" s="1"/>
  <c r="L147" i="1"/>
  <c r="K147" i="1" s="1"/>
  <c r="J147" i="1"/>
  <c r="I147" i="1"/>
  <c r="H147" i="1"/>
  <c r="G147" i="1"/>
  <c r="F147" i="1"/>
  <c r="S146" i="1"/>
  <c r="S150" i="1" s="1"/>
  <c r="R146" i="1"/>
  <c r="Q146" i="1"/>
  <c r="P146" i="1"/>
  <c r="O146" i="1"/>
  <c r="N146" i="1"/>
  <c r="M146" i="1"/>
  <c r="K146" i="1"/>
  <c r="J146" i="1"/>
  <c r="H146" i="1"/>
  <c r="G146" i="1"/>
  <c r="F146" i="1"/>
  <c r="T151" i="1" l="1"/>
  <c r="H3" i="17"/>
  <c r="H5" i="17" s="1"/>
  <c r="H150" i="1"/>
  <c r="G150" i="1"/>
  <c r="Q150" i="1"/>
  <c r="F3" i="17" s="1"/>
  <c r="F5" i="17" s="1"/>
  <c r="O150" i="1"/>
  <c r="D3" i="17" s="1"/>
  <c r="D5" i="17" s="1"/>
  <c r="C36" i="17" s="1" a="1"/>
  <c r="R150" i="1"/>
  <c r="G3" i="17" s="1"/>
  <c r="G5" i="17" s="1"/>
  <c r="F150" i="1"/>
  <c r="J150" i="1"/>
  <c r="P150" i="1"/>
  <c r="E3" i="17" s="1"/>
  <c r="E5" i="17" s="1"/>
  <c r="N150" i="1"/>
  <c r="C36" i="17" l="1"/>
  <c r="C38" i="17"/>
  <c r="C39" i="17"/>
  <c r="C43" i="17"/>
  <c r="C44" i="17"/>
  <c r="C41" i="17"/>
  <c r="C40" i="17"/>
  <c r="C37" i="17"/>
  <c r="C42" i="17"/>
  <c r="O151" i="1"/>
  <c r="G151" i="1"/>
  <c r="R151" i="1"/>
  <c r="H151" i="1"/>
  <c r="P151" i="1"/>
  <c r="Q151" i="1"/>
  <c r="M150" i="1"/>
  <c r="K150" i="1"/>
  <c r="K151" i="1" s="1"/>
  <c r="N151"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L108" i="1" s="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Q83" i="1"/>
  <c r="P83" i="1"/>
  <c r="O83" i="1"/>
  <c r="N83" i="1"/>
  <c r="M83" i="1"/>
  <c r="L83" i="1"/>
  <c r="K83" i="1"/>
  <c r="J83" i="1"/>
  <c r="I83" i="1"/>
  <c r="H83" i="1"/>
  <c r="G83" i="1"/>
  <c r="F83" i="1"/>
  <c r="I108" i="1" l="1"/>
  <c r="M108" i="1"/>
  <c r="Q108" i="1"/>
  <c r="G108" i="1"/>
  <c r="K108" i="1"/>
  <c r="O108" i="1"/>
  <c r="S108" i="1"/>
  <c r="Q120" i="1"/>
  <c r="F3" i="12" s="1"/>
  <c r="F5" i="12" s="1"/>
  <c r="F108" i="1"/>
  <c r="J108" i="1"/>
  <c r="N108" i="1"/>
  <c r="R108" i="1"/>
  <c r="S120" i="1"/>
  <c r="H3" i="12" s="1"/>
  <c r="H5" i="12" s="1"/>
  <c r="R120" i="1"/>
  <c r="G3" i="12" s="1"/>
  <c r="G5" i="12" s="1"/>
  <c r="R178" i="1" l="1"/>
  <c r="R194" i="1" s="1"/>
  <c r="R162" i="1"/>
  <c r="S178" i="1"/>
  <c r="S194" i="1" s="1"/>
  <c r="S121" i="1"/>
  <c r="T178" i="1"/>
  <c r="T194" i="1" s="1"/>
  <c r="T121" i="1"/>
  <c r="T162" i="1"/>
  <c r="R121" i="1"/>
  <c r="S162" i="1"/>
  <c r="S81" i="1"/>
  <c r="R81" i="1"/>
  <c r="Q81" i="1"/>
  <c r="P81" i="1"/>
  <c r="O81" i="1"/>
  <c r="N81" i="1"/>
  <c r="M81" i="1"/>
  <c r="L81" i="1"/>
  <c r="K81" i="1"/>
  <c r="J81" i="1"/>
  <c r="I81" i="1"/>
  <c r="H81" i="1"/>
  <c r="G81" i="1"/>
  <c r="F81" i="1"/>
  <c r="S73" i="1"/>
  <c r="R73" i="1"/>
  <c r="R75" i="1" s="1"/>
  <c r="Q73" i="1"/>
  <c r="Q75" i="1" s="1"/>
  <c r="P73" i="1"/>
  <c r="P75" i="1" s="1"/>
  <c r="O73" i="1"/>
  <c r="O75" i="1" s="1"/>
  <c r="N73" i="1"/>
  <c r="N75" i="1" s="1"/>
  <c r="M73" i="1"/>
  <c r="M75" i="1" s="1"/>
  <c r="L73" i="1"/>
  <c r="L75" i="1" s="1"/>
  <c r="K73" i="1"/>
  <c r="K75" i="1" s="1"/>
  <c r="J73" i="1"/>
  <c r="J75" i="1" s="1"/>
  <c r="I73" i="1"/>
  <c r="I75" i="1" s="1"/>
  <c r="H73" i="1"/>
  <c r="H75" i="1" s="1"/>
  <c r="G73" i="1"/>
  <c r="G75" i="1" s="1"/>
  <c r="F73" i="1"/>
  <c r="F75" i="1" s="1"/>
  <c r="E61" i="1"/>
  <c r="S45" i="1"/>
  <c r="R45" i="1"/>
  <c r="Q45" i="1"/>
  <c r="P43" i="1"/>
  <c r="P124" i="1" s="1"/>
  <c r="O43" i="1"/>
  <c r="N43" i="1"/>
  <c r="M43" i="1"/>
  <c r="L43" i="1"/>
  <c r="K43" i="1"/>
  <c r="J43" i="1"/>
  <c r="I43" i="1"/>
  <c r="H43" i="1"/>
  <c r="G43" i="1"/>
  <c r="F43" i="1"/>
  <c r="P42" i="1"/>
  <c r="P119" i="1" s="1"/>
  <c r="O42" i="1"/>
  <c r="N42" i="1"/>
  <c r="M42" i="1"/>
  <c r="L42" i="1"/>
  <c r="K42" i="1"/>
  <c r="J42" i="1"/>
  <c r="I42" i="1"/>
  <c r="H42" i="1"/>
  <c r="G42" i="1"/>
  <c r="F42" i="1"/>
  <c r="S34" i="1"/>
  <c r="R34" i="1"/>
  <c r="Q34" i="1"/>
  <c r="P34" i="1"/>
  <c r="O34" i="1"/>
  <c r="N34" i="1"/>
  <c r="M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50" i="1" s="1"/>
  <c r="I14" i="1"/>
  <c r="I146" i="1" s="1"/>
  <c r="I150" i="1" s="1"/>
  <c r="J151" i="1" s="1"/>
  <c r="I151" i="1" s="1"/>
  <c r="L13" i="1"/>
  <c r="I13" i="1"/>
  <c r="I86" i="5"/>
  <c r="L86" i="5" s="1"/>
  <c r="I85" i="5"/>
  <c r="L85" i="5" s="1"/>
  <c r="I84" i="5"/>
  <c r="I83" i="5"/>
  <c r="I81" i="5"/>
  <c r="S46" i="1" l="1"/>
  <c r="I82" i="1"/>
  <c r="M82" i="1"/>
  <c r="Q82" i="1"/>
  <c r="AF65" i="2"/>
  <c r="AC65" i="2" s="1"/>
  <c r="L83" i="5"/>
  <c r="M83" i="5" s="1"/>
  <c r="Q83" i="5" s="1"/>
  <c r="L84" i="5"/>
  <c r="M84" i="5" s="1"/>
  <c r="Q84" i="5" s="1"/>
  <c r="M85" i="5"/>
  <c r="Q85" i="5"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1" i="1"/>
  <c r="L151" i="1"/>
  <c r="G82" i="1"/>
  <c r="K82" i="1"/>
  <c r="O82" i="1"/>
  <c r="I15" i="1"/>
  <c r="I45" i="1"/>
  <c r="I46" i="1" s="1"/>
  <c r="M45" i="1"/>
  <c r="M46" i="1" s="1"/>
  <c r="S75" i="1"/>
  <c r="O119" i="1"/>
  <c r="P120" i="1"/>
  <c r="O124" i="1"/>
  <c r="P126" i="1"/>
  <c r="S82" i="1" l="1"/>
  <c r="E3" i="12"/>
  <c r="E5" i="12" s="1"/>
  <c r="Q178" i="1"/>
  <c r="Q194" i="1" s="1"/>
  <c r="N119" i="1"/>
  <c r="O120" i="1"/>
  <c r="D3" i="12" s="1"/>
  <c r="D5" i="12" s="1"/>
  <c r="N124" i="1"/>
  <c r="O126" i="1"/>
  <c r="Q162" i="1"/>
  <c r="Q121" i="1"/>
  <c r="N79" i="5"/>
  <c r="H79" i="5"/>
  <c r="G79" i="5"/>
  <c r="F79" i="5"/>
  <c r="E79" i="5"/>
  <c r="I78" i="5"/>
  <c r="I77" i="5"/>
  <c r="I76" i="5"/>
  <c r="J73" i="5"/>
  <c r="H73" i="5"/>
  <c r="H80" i="5" s="1"/>
  <c r="G73" i="5"/>
  <c r="E73" i="5"/>
  <c r="P162" i="1" l="1"/>
  <c r="P178" i="1"/>
  <c r="P194" i="1" s="1"/>
  <c r="I79" i="5"/>
  <c r="G80" i="5"/>
  <c r="E80" i="5"/>
  <c r="M119" i="1"/>
  <c r="N120" i="1"/>
  <c r="C3" i="12" s="1"/>
  <c r="C5" i="12" s="1"/>
  <c r="P121" i="1"/>
  <c r="M124" i="1"/>
  <c r="N126" i="1"/>
  <c r="I71" i="5"/>
  <c r="I70" i="5"/>
  <c r="O162" i="1" l="1"/>
  <c r="O178" i="1"/>
  <c r="O194" i="1" s="1"/>
  <c r="F73" i="5"/>
  <c r="F80" i="5" s="1"/>
  <c r="F82" i="5" s="1"/>
  <c r="E82" i="5" s="1"/>
  <c r="I72" i="5"/>
  <c r="I73" i="5" s="1"/>
  <c r="I80" i="5" s="1"/>
  <c r="O121" i="1"/>
  <c r="L124" i="1"/>
  <c r="M126" i="1"/>
  <c r="L119" i="1"/>
  <c r="M120" i="1"/>
  <c r="B3" i="12" s="1"/>
  <c r="B5" i="12" s="1"/>
  <c r="N162" i="1" l="1"/>
  <c r="N178" i="1"/>
  <c r="N194" i="1" s="1"/>
  <c r="N121" i="1"/>
  <c r="K124" i="1"/>
  <c r="L126" i="1"/>
  <c r="K119" i="1"/>
  <c r="L120" i="1"/>
  <c r="M162" i="1" l="1"/>
  <c r="M178" i="1"/>
  <c r="M194" i="1" s="1"/>
  <c r="M121" i="1"/>
  <c r="J124" i="1"/>
  <c r="K126" i="1"/>
  <c r="J119" i="1"/>
  <c r="K120" i="1"/>
  <c r="I64" i="5"/>
  <c r="I63" i="5"/>
  <c r="L162" i="1" l="1"/>
  <c r="L178" i="1"/>
  <c r="L194" i="1" s="1"/>
  <c r="L121" i="1"/>
  <c r="I124" i="1"/>
  <c r="J126" i="1"/>
  <c r="I119" i="1"/>
  <c r="J120" i="1"/>
  <c r="K178" i="1" s="1"/>
  <c r="K194" i="1" s="1"/>
  <c r="H124" i="1" l="1"/>
  <c r="I126" i="1"/>
  <c r="H119" i="1"/>
  <c r="I120" i="1"/>
  <c r="K162" i="1"/>
  <c r="K121" i="1"/>
  <c r="Q59" i="5"/>
  <c r="O59" i="5"/>
  <c r="M59" i="5"/>
  <c r="L59" i="5"/>
  <c r="K59" i="5"/>
  <c r="I59" i="5"/>
  <c r="H59" i="5"/>
  <c r="G59" i="5"/>
  <c r="F59" i="5"/>
  <c r="E59" i="5"/>
  <c r="O55" i="5"/>
  <c r="M55" i="5"/>
  <c r="L55" i="5"/>
  <c r="K55" i="5"/>
  <c r="I55" i="5"/>
  <c r="H55" i="5"/>
  <c r="G55" i="5"/>
  <c r="F55" i="5"/>
  <c r="A51" i="5"/>
  <c r="J162" i="1" l="1"/>
  <c r="J178" i="1"/>
  <c r="J194" i="1" s="1"/>
  <c r="J121" i="1"/>
  <c r="G119" i="1"/>
  <c r="H120" i="1"/>
  <c r="I178" i="1" s="1"/>
  <c r="I194" i="1" s="1"/>
  <c r="G124" i="1"/>
  <c r="H126" i="1"/>
  <c r="I121" i="1"/>
  <c r="I162" i="1" l="1"/>
  <c r="F119" i="1"/>
  <c r="F120" i="1" s="1"/>
  <c r="G120" i="1"/>
  <c r="F124" i="1"/>
  <c r="F126" i="1" s="1"/>
  <c r="G126" i="1"/>
  <c r="H121" i="1" l="1"/>
  <c r="H178" i="1"/>
  <c r="H194" i="1" s="1"/>
  <c r="H162" i="1"/>
  <c r="G121" i="1"/>
  <c r="N45" i="5" l="1"/>
  <c r="J45" i="5"/>
  <c r="E45" i="5"/>
  <c r="I44" i="5"/>
  <c r="I43" i="5"/>
  <c r="L43" i="5" s="1"/>
  <c r="I42" i="5"/>
  <c r="F45" i="5"/>
  <c r="M43" i="5" l="1"/>
  <c r="Q43" i="5" s="1"/>
  <c r="I38" i="5"/>
  <c r="I37" i="5"/>
  <c r="N34" i="5" l="1"/>
  <c r="F34" i="5"/>
  <c r="E34" i="5"/>
  <c r="I32" i="5" l="1"/>
  <c r="I31" i="5"/>
  <c r="O28" i="5"/>
  <c r="N28" i="5"/>
  <c r="H28" i="5"/>
  <c r="G28" i="5"/>
  <c r="F28" i="5"/>
  <c r="E28" i="5"/>
  <c r="I27" i="5"/>
  <c r="I26" i="5"/>
  <c r="I25" i="5"/>
  <c r="I28" i="5" l="1"/>
  <c r="N22" i="5"/>
  <c r="N46" i="5" s="1"/>
  <c r="H22" i="5"/>
  <c r="G22" i="5"/>
  <c r="F22" i="5"/>
  <c r="F46" i="5" s="1"/>
  <c r="E22" i="5"/>
  <c r="I21" i="5"/>
  <c r="L21" i="5" s="1"/>
  <c r="M21" i="5" s="1"/>
  <c r="Q21" i="5" s="1"/>
  <c r="E46" i="5" l="1"/>
  <c r="I20" i="5"/>
  <c r="I19" i="5"/>
  <c r="M19" i="5" s="1"/>
  <c r="Q19" i="5" s="1"/>
  <c r="N15" i="5"/>
  <c r="L15" i="5"/>
  <c r="G15" i="5"/>
  <c r="F15" i="5"/>
  <c r="E15" i="5"/>
  <c r="I22" i="5" l="1"/>
  <c r="I14" i="5"/>
  <c r="I13" i="5"/>
  <c r="F40" i="7" l="1"/>
  <c r="D38" i="7"/>
  <c r="F38" i="7" s="1"/>
  <c r="F42" i="7" s="1"/>
  <c r="D42" i="7" l="1"/>
  <c r="N18" i="7"/>
  <c r="N20" i="7" s="1"/>
  <c r="N22" i="7" s="1"/>
  <c r="N24" i="7" l="1"/>
  <c r="F13" i="7"/>
  <c r="D11" i="7"/>
  <c r="D15" i="7" l="1"/>
  <c r="F11" i="7"/>
  <c r="P62" i="5" s="1"/>
  <c r="P66" i="5" s="1"/>
  <c r="G34" i="5"/>
  <c r="G45" i="5"/>
  <c r="J46" i="5"/>
  <c r="J48" i="5" s="1"/>
  <c r="M13" i="5"/>
  <c r="N48" i="5"/>
  <c r="N66" i="5" s="1"/>
  <c r="F48" i="5"/>
  <c r="F61" i="5" s="1"/>
  <c r="E48" i="5"/>
  <c r="S83" i="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I82" i="5"/>
  <c r="H82" i="5"/>
  <c r="G82" i="5"/>
  <c r="N80" i="5"/>
  <c r="G84" i="1"/>
  <c r="F84" i="1"/>
  <c r="F91" i="1" s="1"/>
  <c r="L84" i="1"/>
  <c r="K84" i="1"/>
  <c r="J84" i="1"/>
  <c r="I84" i="1"/>
  <c r="H84" i="1"/>
  <c r="R84" i="1"/>
  <c r="S182" i="1" s="1"/>
  <c r="S198" i="1" s="1"/>
  <c r="N84" i="1"/>
  <c r="M84" i="1"/>
  <c r="N182" i="1" s="1"/>
  <c r="N198" i="1" s="1"/>
  <c r="Q84" i="1"/>
  <c r="R182" i="1" s="1"/>
  <c r="R198" i="1" s="1"/>
  <c r="O84" i="1"/>
  <c r="P84" i="1"/>
  <c r="S151" i="1"/>
  <c r="R54" i="6"/>
  <c r="Q54" i="6"/>
  <c r="P54" i="6"/>
  <c r="O54" i="6"/>
  <c r="N54" i="6"/>
  <c r="M54" i="6"/>
  <c r="L54" i="6"/>
  <c r="K54" i="6"/>
  <c r="J54" i="6"/>
  <c r="I54" i="6"/>
  <c r="H54" i="6"/>
  <c r="G54" i="6"/>
  <c r="F54" i="6"/>
  <c r="E54" i="6"/>
  <c r="O13" i="5" l="1"/>
  <c r="Q13" i="5" s="1"/>
  <c r="S84" i="1"/>
  <c r="F15" i="7"/>
  <c r="E92" i="5" s="1"/>
  <c r="Q92" i="5" s="1"/>
  <c r="H139" i="1"/>
  <c r="I182" i="1"/>
  <c r="I198" i="1" s="1"/>
  <c r="I91" i="1"/>
  <c r="J182" i="1"/>
  <c r="J198" i="1" s="1"/>
  <c r="J139" i="1"/>
  <c r="K182" i="1"/>
  <c r="K198" i="1" s="1"/>
  <c r="P91" i="1"/>
  <c r="Q184" i="1" s="1"/>
  <c r="Q200" i="1" s="1"/>
  <c r="Q182" i="1"/>
  <c r="Q198" i="1" s="1"/>
  <c r="N139" i="1"/>
  <c r="C3" i="14" s="1"/>
  <c r="C5" i="14" s="1"/>
  <c r="O182" i="1"/>
  <c r="O198" i="1" s="1"/>
  <c r="G91" i="1"/>
  <c r="G142" i="1" s="1"/>
  <c r="H182" i="1"/>
  <c r="H198" i="1" s="1"/>
  <c r="T182" i="1"/>
  <c r="T198" i="1" s="1"/>
  <c r="T166" i="1"/>
  <c r="O139" i="1"/>
  <c r="D3" i="14" s="1"/>
  <c r="D5" i="14" s="1"/>
  <c r="P182" i="1"/>
  <c r="P198" i="1" s="1"/>
  <c r="K139" i="1"/>
  <c r="L182" i="1"/>
  <c r="L198" i="1" s="1"/>
  <c r="I87" i="5"/>
  <c r="H87" i="5" s="1"/>
  <c r="H62" i="5" s="1"/>
  <c r="L139" i="1"/>
  <c r="M182" i="1"/>
  <c r="M198" i="1" s="1"/>
  <c r="L32" i="5"/>
  <c r="G46" i="5"/>
  <c r="G48" i="5" s="1"/>
  <c r="G61" i="5" s="1"/>
  <c r="G87" i="5"/>
  <c r="R56" i="1"/>
  <c r="N166" i="1"/>
  <c r="L91" i="1"/>
  <c r="M184" i="1" s="1"/>
  <c r="M200" i="1" s="1"/>
  <c r="M166" i="1"/>
  <c r="P166" i="1"/>
  <c r="P139" i="1"/>
  <c r="E3" i="14" s="1"/>
  <c r="E5" i="14" s="1"/>
  <c r="O91" i="1"/>
  <c r="I139" i="1"/>
  <c r="M91" i="1"/>
  <c r="N184" i="1" s="1"/>
  <c r="N200" i="1" s="1"/>
  <c r="G139" i="1"/>
  <c r="R139" i="1"/>
  <c r="G3" i="14" s="1"/>
  <c r="G5" i="14" s="1"/>
  <c r="L166" i="1"/>
  <c r="K91" i="1"/>
  <c r="H91" i="1"/>
  <c r="M139" i="1"/>
  <c r="B3" i="14" s="1"/>
  <c r="B5" i="14" s="1"/>
  <c r="Q166" i="1"/>
  <c r="H56" i="6"/>
  <c r="J91" i="1"/>
  <c r="Q139" i="1"/>
  <c r="F3" i="14" s="1"/>
  <c r="F5" i="14" s="1"/>
  <c r="I166" i="1"/>
  <c r="H166" i="1"/>
  <c r="Q91" i="1"/>
  <c r="O166" i="1"/>
  <c r="E56" i="6"/>
  <c r="F142" i="1"/>
  <c r="S91" i="1"/>
  <c r="S166" i="1"/>
  <c r="S139" i="1"/>
  <c r="H3" i="14" s="1"/>
  <c r="H5" i="14" s="1"/>
  <c r="L140" i="1"/>
  <c r="R166" i="1"/>
  <c r="R91" i="1"/>
  <c r="S184" i="1" s="1"/>
  <c r="S200" i="1" s="1"/>
  <c r="J166" i="1"/>
  <c r="F139" i="1"/>
  <c r="K166" i="1"/>
  <c r="N91" i="1"/>
  <c r="O184" i="1" s="1"/>
  <c r="O200" i="1" s="1"/>
  <c r="Q56" i="1"/>
  <c r="M32" i="5" l="1"/>
  <c r="Q32" i="5" s="1"/>
  <c r="P89" i="5"/>
  <c r="H140" i="1"/>
  <c r="O56" i="6"/>
  <c r="O140" i="1"/>
  <c r="P142" i="1"/>
  <c r="H12" i="9"/>
  <c r="J140" i="1"/>
  <c r="M140" i="1"/>
  <c r="P140" i="1"/>
  <c r="T140" i="1"/>
  <c r="T184" i="1"/>
  <c r="T200" i="1" s="1"/>
  <c r="T168" i="1"/>
  <c r="Q168" i="1"/>
  <c r="R184" i="1"/>
  <c r="R200" i="1" s="1"/>
  <c r="N56" i="6"/>
  <c r="P184" i="1"/>
  <c r="P200" i="1" s="1"/>
  <c r="J168" i="1"/>
  <c r="K184" i="1"/>
  <c r="K200" i="1" s="1"/>
  <c r="H142" i="1"/>
  <c r="I184" i="1"/>
  <c r="I200" i="1" s="1"/>
  <c r="K140" i="1"/>
  <c r="H184" i="1"/>
  <c r="H200" i="1" s="1"/>
  <c r="F56" i="6"/>
  <c r="K142" i="1"/>
  <c r="L184" i="1"/>
  <c r="L200" i="1" s="1"/>
  <c r="L71" i="5"/>
  <c r="M71" i="5" s="1"/>
  <c r="Q71" i="5" s="1"/>
  <c r="I142" i="1"/>
  <c r="J184" i="1"/>
  <c r="J200" i="1" s="1"/>
  <c r="L81" i="5"/>
  <c r="M81" i="5" s="1"/>
  <c r="Q81" i="5" s="1"/>
  <c r="L70" i="5"/>
  <c r="M70" i="5" s="1"/>
  <c r="Q70" i="5" s="1"/>
  <c r="L72" i="5"/>
  <c r="M72" i="5" s="1"/>
  <c r="Q72" i="5" s="1"/>
  <c r="L76" i="5"/>
  <c r="M76" i="5" s="1"/>
  <c r="Q76" i="5" s="1"/>
  <c r="L78" i="5"/>
  <c r="M78" i="5" s="1"/>
  <c r="Q78" i="5" s="1"/>
  <c r="L26" i="5"/>
  <c r="M26" i="5" s="1"/>
  <c r="Q26" i="5" s="1"/>
  <c r="L42" i="5"/>
  <c r="M42" i="5" s="1"/>
  <c r="Q42" i="5" s="1"/>
  <c r="O22" i="5"/>
  <c r="M168" i="1"/>
  <c r="F87" i="5"/>
  <c r="E87" i="5" s="1"/>
  <c r="G62" i="5"/>
  <c r="P168" i="1"/>
  <c r="G56" i="6"/>
  <c r="M142" i="1"/>
  <c r="H168" i="1"/>
  <c r="L142" i="1"/>
  <c r="K56" i="6"/>
  <c r="J56" i="6"/>
  <c r="K168" i="1"/>
  <c r="L168" i="1"/>
  <c r="I56" i="6"/>
  <c r="J142" i="1"/>
  <c r="J143" i="1" s="1"/>
  <c r="Q140" i="1"/>
  <c r="G140" i="1"/>
  <c r="O142" i="1"/>
  <c r="I168" i="1"/>
  <c r="N140" i="1"/>
  <c r="L56" i="6"/>
  <c r="I140" i="1"/>
  <c r="R140" i="1"/>
  <c r="G143" i="1"/>
  <c r="S140" i="1"/>
  <c r="Q142" i="1"/>
  <c r="P56" i="6"/>
  <c r="R142" i="1"/>
  <c r="Q56" i="6"/>
  <c r="R168" i="1"/>
  <c r="S142" i="1"/>
  <c r="T143" i="1" s="1"/>
  <c r="S168" i="1"/>
  <c r="N142" i="1"/>
  <c r="N168" i="1"/>
  <c r="M56" i="6"/>
  <c r="O168" i="1"/>
  <c r="Q143" i="1" l="1"/>
  <c r="P143" i="1"/>
  <c r="I143" i="1"/>
  <c r="L143" i="1"/>
  <c r="H143" i="1"/>
  <c r="L77" i="5"/>
  <c r="M77" i="5" s="1"/>
  <c r="Q77" i="5" s="1"/>
  <c r="L73" i="5"/>
  <c r="F62" i="5"/>
  <c r="G66" i="5"/>
  <c r="E93" i="5"/>
  <c r="N143" i="1"/>
  <c r="R143" i="1"/>
  <c r="O143" i="1"/>
  <c r="K143" i="1"/>
  <c r="M143" i="1"/>
  <c r="Q73" i="5"/>
  <c r="M73" i="5"/>
  <c r="S143" i="1"/>
  <c r="Q79" i="5" l="1"/>
  <c r="Q80" i="5" s="1"/>
  <c r="Q82" i="5" s="1"/>
  <c r="M79" i="5"/>
  <c r="M80" i="5" s="1"/>
  <c r="M82" i="5" s="1"/>
  <c r="L79" i="5"/>
  <c r="L80" i="5" s="1"/>
  <c r="L82" i="5" s="1"/>
  <c r="L87" i="5" s="1"/>
  <c r="L62" i="5" s="1"/>
  <c r="I62" i="5"/>
  <c r="F66" i="5"/>
  <c r="E66" i="5" s="1"/>
  <c r="M62" i="5" l="1"/>
  <c r="Q62" i="5" s="1"/>
  <c r="E89" i="5"/>
  <c r="E94" i="5"/>
  <c r="E95" i="5" s="1"/>
  <c r="M86" i="5"/>
  <c r="Q86" i="5" s="1"/>
  <c r="Q87" i="5" s="1"/>
  <c r="E11" i="2"/>
  <c r="M14" i="5"/>
  <c r="M63" i="5"/>
  <c r="Q63" i="5" s="1"/>
  <c r="M64" i="5"/>
  <c r="Q64" i="5" s="1"/>
  <c r="O14" i="5" l="1"/>
  <c r="Q14" i="5" s="1"/>
  <c r="F10" i="9"/>
  <c r="M87" i="5"/>
  <c r="AE11" i="2"/>
  <c r="AH11" i="2"/>
  <c r="AA11" i="2"/>
  <c r="AQ11" i="2"/>
  <c r="AP11" i="2"/>
  <c r="AF11" i="2"/>
  <c r="AI11" i="2"/>
  <c r="AC11" i="2"/>
  <c r="T11" i="2"/>
  <c r="R11" i="2"/>
  <c r="N11" i="2"/>
  <c r="E96" i="5"/>
  <c r="Q96" i="5" s="1"/>
  <c r="U11" i="2"/>
  <c r="AL11" i="2"/>
  <c r="AJ11" i="2"/>
  <c r="AK11" i="2"/>
  <c r="AB11" i="2"/>
  <c r="AN11" i="2"/>
  <c r="M11" i="2"/>
  <c r="X11" i="2"/>
  <c r="H11" i="2"/>
  <c r="O11" i="2"/>
  <c r="AM11" i="2"/>
  <c r="J11" i="2"/>
  <c r="G11" i="2"/>
  <c r="Q11" i="2"/>
  <c r="S11" i="2"/>
  <c r="I11" i="2"/>
  <c r="Q93" i="5"/>
  <c r="H22" i="9" l="1"/>
  <c r="AQ32" i="2"/>
  <c r="AQ40" i="2"/>
  <c r="AQ44" i="2" s="1"/>
  <c r="AQ14" i="2"/>
  <c r="AQ35" i="2"/>
  <c r="AR40" i="2"/>
  <c r="AR44" i="2" s="1"/>
  <c r="AR35" i="2"/>
  <c r="AR32" i="2"/>
  <c r="AR14" i="2"/>
  <c r="AP40" i="2"/>
  <c r="AP44" i="2" s="1"/>
  <c r="AP14" i="2"/>
  <c r="AP35" i="2"/>
  <c r="AP32" i="2"/>
  <c r="E97" i="5"/>
  <c r="I35" i="2"/>
  <c r="I32" i="2"/>
  <c r="I40" i="2"/>
  <c r="I44" i="2" s="1"/>
  <c r="I14" i="2"/>
  <c r="AD32" i="2"/>
  <c r="AD40" i="2"/>
  <c r="AD44" i="2" s="1"/>
  <c r="AD14" i="2"/>
  <c r="AD35" i="2"/>
  <c r="AO32" i="2"/>
  <c r="AO35" i="2"/>
  <c r="AO40" i="2"/>
  <c r="AO44" i="2" s="1"/>
  <c r="AO14" i="2"/>
  <c r="AH40" i="2"/>
  <c r="AH44" i="2" s="1"/>
  <c r="AH35" i="2"/>
  <c r="AH14" i="2"/>
  <c r="AH32" i="2"/>
  <c r="AL35" i="2"/>
  <c r="AL32" i="2"/>
  <c r="AL14" i="2"/>
  <c r="AL40" i="2"/>
  <c r="AL44" i="2" s="1"/>
  <c r="L40" i="2"/>
  <c r="L44" i="2" s="1"/>
  <c r="L32" i="2"/>
  <c r="L35" i="2"/>
  <c r="L14" i="2"/>
  <c r="AM40" i="2"/>
  <c r="AM44" i="2" s="1"/>
  <c r="AM14" i="2"/>
  <c r="AM32" i="2"/>
  <c r="AM35" i="2"/>
  <c r="N35" i="2"/>
  <c r="N32" i="2"/>
  <c r="N40" i="2"/>
  <c r="N44" i="2" s="1"/>
  <c r="N14" i="2"/>
  <c r="K35" i="2"/>
  <c r="K14" i="2"/>
  <c r="K32" i="2"/>
  <c r="K40" i="2"/>
  <c r="K44" i="2" s="1"/>
  <c r="T35" i="2"/>
  <c r="T40" i="2"/>
  <c r="T44" i="2" s="1"/>
  <c r="T32" i="2"/>
  <c r="T14" i="2"/>
  <c r="Y40" i="2"/>
  <c r="Y44" i="2" s="1"/>
  <c r="Y14" i="2"/>
  <c r="Y32" i="2"/>
  <c r="Y35" i="2"/>
  <c r="O35" i="2"/>
  <c r="O32" i="2"/>
  <c r="O40" i="2"/>
  <c r="O44" i="2" s="1"/>
  <c r="O14" i="2"/>
  <c r="M35" i="2"/>
  <c r="M32" i="2"/>
  <c r="M14" i="2"/>
  <c r="M40" i="2"/>
  <c r="M44" i="2" s="1"/>
  <c r="AA40" i="2"/>
  <c r="AA44" i="2" s="1"/>
  <c r="AA14" i="2"/>
  <c r="AA35" i="2"/>
  <c r="AA32" i="2"/>
  <c r="AC35" i="2"/>
  <c r="AC32" i="2"/>
  <c r="AC14" i="2"/>
  <c r="AC40" i="2"/>
  <c r="AC44" i="2" s="1"/>
  <c r="AI14" i="2"/>
  <c r="AI40" i="2"/>
  <c r="AI44" i="2" s="1"/>
  <c r="AI35" i="2"/>
  <c r="AI32" i="2"/>
  <c r="AK40" i="2"/>
  <c r="AK44" i="2" s="1"/>
  <c r="AK14" i="2"/>
  <c r="AK35" i="2"/>
  <c r="AK32" i="2"/>
  <c r="I12" i="5"/>
  <c r="M12" i="5" s="1"/>
  <c r="H26" i="9" s="1"/>
  <c r="H15" i="5"/>
  <c r="G40" i="2"/>
  <c r="G44" i="2" s="1"/>
  <c r="G32" i="2"/>
  <c r="G35" i="2"/>
  <c r="G14" i="2"/>
  <c r="H32" i="2"/>
  <c r="H35" i="2"/>
  <c r="H14" i="2"/>
  <c r="H40" i="2"/>
  <c r="H44" i="2" s="1"/>
  <c r="W40" i="2"/>
  <c r="W44" i="2" s="1"/>
  <c r="W35" i="2"/>
  <c r="W14" i="2"/>
  <c r="W32" i="2"/>
  <c r="Z40" i="2"/>
  <c r="Z44" i="2" s="1"/>
  <c r="Z14" i="2"/>
  <c r="Z35" i="2"/>
  <c r="Z32" i="2"/>
  <c r="Q14" i="2"/>
  <c r="Q40" i="2"/>
  <c r="Q44" i="2" s="1"/>
  <c r="Q32" i="2"/>
  <c r="Q35" i="2"/>
  <c r="P35" i="2"/>
  <c r="P14" i="2"/>
  <c r="P32" i="2"/>
  <c r="P40" i="2"/>
  <c r="P44" i="2" s="1"/>
  <c r="AN14" i="2"/>
  <c r="AN40" i="2"/>
  <c r="AN44" i="2" s="1"/>
  <c r="AN32" i="2"/>
  <c r="AN35" i="2"/>
  <c r="AF35" i="2"/>
  <c r="AF40" i="2"/>
  <c r="AF44" i="2" s="1"/>
  <c r="AF32" i="2"/>
  <c r="AF14" i="2"/>
  <c r="AJ32" i="2"/>
  <c r="AJ40" i="2"/>
  <c r="AJ44" i="2" s="1"/>
  <c r="AJ14" i="2"/>
  <c r="AJ35" i="2"/>
  <c r="S35" i="2"/>
  <c r="S40" i="2"/>
  <c r="S44" i="2" s="1"/>
  <c r="S32" i="2"/>
  <c r="S14" i="2"/>
  <c r="J14" i="2"/>
  <c r="J40" i="2"/>
  <c r="J44" i="2" s="1"/>
  <c r="J32" i="2"/>
  <c r="J35" i="2"/>
  <c r="R32" i="2"/>
  <c r="R35" i="2"/>
  <c r="R40" i="2"/>
  <c r="R44" i="2" s="1"/>
  <c r="R14" i="2"/>
  <c r="X32" i="2"/>
  <c r="X14" i="2"/>
  <c r="X40" i="2"/>
  <c r="X44" i="2" s="1"/>
  <c r="X35" i="2"/>
  <c r="V32" i="2"/>
  <c r="V40" i="2"/>
  <c r="V44" i="2" s="1"/>
  <c r="V14" i="2"/>
  <c r="V35" i="2"/>
  <c r="AE35" i="2"/>
  <c r="AE32" i="2"/>
  <c r="AE14" i="2"/>
  <c r="AE40" i="2"/>
  <c r="AE44" i="2" s="1"/>
  <c r="AG32" i="2"/>
  <c r="AG40" i="2"/>
  <c r="AG44" i="2" s="1"/>
  <c r="AG35" i="2"/>
  <c r="AG14" i="2"/>
  <c r="AB14" i="2"/>
  <c r="AB35" i="2"/>
  <c r="AB40" i="2"/>
  <c r="AB44" i="2" s="1"/>
  <c r="AB32" i="2"/>
  <c r="U35" i="2"/>
  <c r="U40" i="2"/>
  <c r="U44" i="2" s="1"/>
  <c r="U32" i="2"/>
  <c r="U14" i="2"/>
  <c r="O12" i="5" l="1"/>
  <c r="O33" i="5" s="1"/>
  <c r="M111" i="1"/>
  <c r="L111" i="1"/>
  <c r="T112" i="1"/>
  <c r="U136" i="1"/>
  <c r="H34" i="5"/>
  <c r="P110" i="1"/>
  <c r="T110" i="1"/>
  <c r="H110" i="1"/>
  <c r="R112" i="1"/>
  <c r="N111" i="1"/>
  <c r="AP33" i="2"/>
  <c r="AP45" i="2" s="1"/>
  <c r="AP47" i="2" s="1"/>
  <c r="AP55" i="2" s="1"/>
  <c r="T134" i="1"/>
  <c r="AQ33" i="2"/>
  <c r="AQ45" i="2" s="1"/>
  <c r="AQ47" i="2" s="1"/>
  <c r="AQ55" i="2" s="1"/>
  <c r="T135" i="1"/>
  <c r="T111" i="1"/>
  <c r="O112" i="1"/>
  <c r="K110" i="1"/>
  <c r="N112" i="1"/>
  <c r="S111" i="1"/>
  <c r="T133" i="1"/>
  <c r="AR33" i="2"/>
  <c r="AR45" i="2" s="1"/>
  <c r="AR47" i="2" s="1"/>
  <c r="AR55" i="2" s="1"/>
  <c r="Q112" i="1"/>
  <c r="O111" i="1"/>
  <c r="M112" i="1"/>
  <c r="G110" i="1"/>
  <c r="R111" i="1"/>
  <c r="S112" i="1"/>
  <c r="K111" i="1"/>
  <c r="S110" i="1"/>
  <c r="N133" i="1"/>
  <c r="Z33" i="2"/>
  <c r="Z45" i="2" s="1"/>
  <c r="Z47" i="2" s="1"/>
  <c r="Z55" i="2" s="1"/>
  <c r="W33" i="2"/>
  <c r="W45" i="2" s="1"/>
  <c r="W47" i="2" s="1"/>
  <c r="W55" i="2" s="1"/>
  <c r="M133" i="1"/>
  <c r="I33" i="5"/>
  <c r="O133" i="1"/>
  <c r="AC33" i="2"/>
  <c r="AC45" i="2" s="1"/>
  <c r="AC47" i="2" s="1"/>
  <c r="AC55" i="2" s="1"/>
  <c r="O33" i="2"/>
  <c r="O45" i="2" s="1"/>
  <c r="O47" i="2" s="1"/>
  <c r="O55" i="2" s="1"/>
  <c r="J134" i="1"/>
  <c r="AL33" i="2"/>
  <c r="AL45" i="2" s="1"/>
  <c r="AL47" i="2" s="1"/>
  <c r="AL55" i="2" s="1"/>
  <c r="R133" i="1"/>
  <c r="I33" i="2"/>
  <c r="I45" i="2" s="1"/>
  <c r="I47" i="2" s="1"/>
  <c r="I55" i="2" s="1"/>
  <c r="G134" i="1"/>
  <c r="N134" i="1"/>
  <c r="X33" i="2"/>
  <c r="X45" i="2" s="1"/>
  <c r="X47" i="2" s="1"/>
  <c r="X55" i="2" s="1"/>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U45" i="2" s="1"/>
  <c r="U47" i="2" s="1"/>
  <c r="U55" i="2" s="1"/>
  <c r="M134" i="1"/>
  <c r="G133" i="1"/>
  <c r="J33" i="2"/>
  <c r="J45" i="2" s="1"/>
  <c r="J47" i="2" s="1"/>
  <c r="J55" i="2" s="1"/>
  <c r="L134" i="1"/>
  <c r="S33" i="2"/>
  <c r="S45" i="2" s="1"/>
  <c r="S47" i="2" s="1"/>
  <c r="S55" i="2" s="1"/>
  <c r="AF33" i="2"/>
  <c r="AF45" i="2" s="1"/>
  <c r="AF47" i="2" s="1"/>
  <c r="AF55" i="2" s="1"/>
  <c r="P133" i="1"/>
  <c r="S135" i="1"/>
  <c r="AN33" i="2"/>
  <c r="AN45" i="2" s="1"/>
  <c r="AN47" i="2" s="1"/>
  <c r="AN55" i="2" s="1"/>
  <c r="J133" i="1"/>
  <c r="P33" i="2"/>
  <c r="P45" i="2" s="1"/>
  <c r="P47" i="2" s="1"/>
  <c r="P55" i="2" s="1"/>
  <c r="K134" i="1"/>
  <c r="Q33" i="2"/>
  <c r="Q45" i="2" s="1"/>
  <c r="Q47" i="2" s="1"/>
  <c r="Q55" i="2" s="1"/>
  <c r="H45" i="5"/>
  <c r="I41" i="5"/>
  <c r="I36" i="5"/>
  <c r="AO33" i="2"/>
  <c r="AO45" i="2" s="1"/>
  <c r="AO47" i="2" s="1"/>
  <c r="AO55" i="2" s="1"/>
  <c r="S133" i="1"/>
  <c r="AD33" i="2"/>
  <c r="AD45" i="2" s="1"/>
  <c r="AD47" i="2" s="1"/>
  <c r="AD55" i="2" s="1"/>
  <c r="P134" i="1"/>
  <c r="P112" i="1"/>
  <c r="Q110" i="1"/>
  <c r="Q111" i="1"/>
  <c r="N110" i="1"/>
  <c r="F111" i="1"/>
  <c r="O110" i="1"/>
  <c r="I111" i="1"/>
  <c r="J111" i="1"/>
  <c r="L110" i="1"/>
  <c r="H111" i="1"/>
  <c r="I110" i="1"/>
  <c r="I113" i="1" s="1"/>
  <c r="R110" i="1"/>
  <c r="G111" i="1"/>
  <c r="O135" i="1"/>
  <c r="AB33" i="2"/>
  <c r="AB45" i="2" s="1"/>
  <c r="AB47" i="2" s="1"/>
  <c r="AB55" i="2" s="1"/>
  <c r="M33" i="2"/>
  <c r="M45" i="2" s="1"/>
  <c r="M47" i="2" s="1"/>
  <c r="M55" i="2" s="1"/>
  <c r="I134" i="1"/>
  <c r="I133" i="1"/>
  <c r="N33" i="2"/>
  <c r="N45" i="2" s="1"/>
  <c r="N47" i="2" s="1"/>
  <c r="N55" i="2" s="1"/>
  <c r="H133" i="1"/>
  <c r="L33" i="2"/>
  <c r="L45" i="2" s="1"/>
  <c r="L47" i="2" s="1"/>
  <c r="L55" i="2" s="1"/>
  <c r="Q134" i="1"/>
  <c r="AG33" i="2"/>
  <c r="AG45" i="2" s="1"/>
  <c r="AG47" i="2" s="1"/>
  <c r="AG55" i="2" s="1"/>
  <c r="M135" i="1"/>
  <c r="V33" i="2"/>
  <c r="V45" i="2" s="1"/>
  <c r="V47" i="2" s="1"/>
  <c r="V55" i="2" s="1"/>
  <c r="R33" i="2"/>
  <c r="R45" i="2" s="1"/>
  <c r="R47" i="2" s="1"/>
  <c r="R55" i="2" s="1"/>
  <c r="K133" i="1"/>
  <c r="R134" i="1"/>
  <c r="AJ33" i="2"/>
  <c r="AJ45" i="2" s="1"/>
  <c r="AJ47" i="2" s="1"/>
  <c r="AJ55" i="2" s="1"/>
  <c r="H134" i="1"/>
  <c r="K33" i="2"/>
  <c r="K45" i="2" s="1"/>
  <c r="K47" i="2" s="1"/>
  <c r="K55" i="2" s="1"/>
  <c r="F134" i="1"/>
  <c r="G33" i="2"/>
  <c r="G45" i="2" s="1"/>
  <c r="G47" i="2" s="1"/>
  <c r="G55" i="2" s="1"/>
  <c r="I15" i="5"/>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Q12" i="5" l="1"/>
  <c r="S136" i="1"/>
  <c r="H4" i="13" s="1"/>
  <c r="H6" i="13" s="1"/>
  <c r="L113" i="1"/>
  <c r="N113" i="1"/>
  <c r="K113" i="1"/>
  <c r="U113" i="1"/>
  <c r="S113" i="1"/>
  <c r="T113" i="1"/>
  <c r="J4" i="13"/>
  <c r="J6" i="13" s="1"/>
  <c r="B29" i="13" s="1"/>
  <c r="B30" i="13" s="1"/>
  <c r="K27" i="5" s="1"/>
  <c r="H113" i="1"/>
  <c r="J136" i="1"/>
  <c r="G136" i="1"/>
  <c r="M113" i="1"/>
  <c r="T136" i="1"/>
  <c r="U164" i="1" s="1"/>
  <c r="L174" i="1"/>
  <c r="L190" i="1" s="1"/>
  <c r="R113" i="1"/>
  <c r="H136" i="1"/>
  <c r="O113" i="1"/>
  <c r="G113" i="1"/>
  <c r="P113" i="1"/>
  <c r="K136" i="1"/>
  <c r="L136" i="1"/>
  <c r="I34" i="5"/>
  <c r="M15" i="5"/>
  <c r="F113" i="1"/>
  <c r="J113" i="1"/>
  <c r="Q136" i="1"/>
  <c r="I136" i="1"/>
  <c r="Q113" i="1"/>
  <c r="R136" i="1"/>
  <c r="G4" i="13" s="1"/>
  <c r="G6" i="13" s="1"/>
  <c r="N136" i="1"/>
  <c r="C4" i="13" s="1"/>
  <c r="C6" i="13" s="1"/>
  <c r="I45" i="5"/>
  <c r="P136" i="1"/>
  <c r="F136" i="1"/>
  <c r="H46" i="5"/>
  <c r="H48" i="5" s="1"/>
  <c r="O136" i="1"/>
  <c r="D4" i="13" s="1"/>
  <c r="D6" i="13" s="1"/>
  <c r="M136" i="1"/>
  <c r="B4" i="13" s="1"/>
  <c r="B6" i="13" s="1"/>
  <c r="T114" i="1" l="1"/>
  <c r="U114" i="1"/>
  <c r="L160" i="1"/>
  <c r="B5" i="15"/>
  <c r="D3" i="19"/>
  <c r="C3" i="19"/>
  <c r="C5" i="15"/>
  <c r="E3" i="19"/>
  <c r="D5" i="15"/>
  <c r="F3" i="19"/>
  <c r="E6" i="15"/>
  <c r="G3" i="19"/>
  <c r="B3" i="19"/>
  <c r="F5" i="15"/>
  <c r="F7" i="15" s="1"/>
  <c r="H3" i="19"/>
  <c r="I3" i="19"/>
  <c r="H5" i="15"/>
  <c r="H7" i="15" s="1"/>
  <c r="J3" i="19"/>
  <c r="L114" i="1"/>
  <c r="I174" i="1"/>
  <c r="I190" i="1" s="1"/>
  <c r="T174" i="1"/>
  <c r="T190" i="1" s="1"/>
  <c r="I4" i="13"/>
  <c r="I6" i="13" s="1"/>
  <c r="U180" i="1"/>
  <c r="U196" i="1" s="1"/>
  <c r="J174" i="1"/>
  <c r="J190" i="1" s="1"/>
  <c r="I160" i="1"/>
  <c r="H114" i="1"/>
  <c r="M174" i="1"/>
  <c r="M190" i="1" s="1"/>
  <c r="I114" i="1"/>
  <c r="T160" i="1"/>
  <c r="O174" i="1"/>
  <c r="O190" i="1" s="1"/>
  <c r="U137" i="1"/>
  <c r="F4" i="13"/>
  <c r="F6" i="13" s="1"/>
  <c r="G5" i="15"/>
  <c r="U174" i="1"/>
  <c r="U190" i="1" s="1"/>
  <c r="E4" i="13"/>
  <c r="E6" i="13" s="1"/>
  <c r="C34" i="13" s="1" a="1"/>
  <c r="U160" i="1"/>
  <c r="M114" i="1"/>
  <c r="S137" i="1"/>
  <c r="S160" i="1"/>
  <c r="T180" i="1"/>
  <c r="T196" i="1" s="1"/>
  <c r="H164" i="1"/>
  <c r="H180" i="1"/>
  <c r="H196" i="1" s="1"/>
  <c r="N114" i="1"/>
  <c r="O160" i="1"/>
  <c r="M160" i="1"/>
  <c r="T164" i="1"/>
  <c r="I180" i="1"/>
  <c r="I196" i="1" s="1"/>
  <c r="M180" i="1"/>
  <c r="M196" i="1" s="1"/>
  <c r="N174" i="1"/>
  <c r="N190" i="1" s="1"/>
  <c r="K180" i="1"/>
  <c r="K196" i="1" s="1"/>
  <c r="G137" i="1"/>
  <c r="N160" i="1"/>
  <c r="T137" i="1"/>
  <c r="Q174" i="1"/>
  <c r="Q190" i="1" s="1"/>
  <c r="S174" i="1"/>
  <c r="S190" i="1" s="1"/>
  <c r="N180" i="1"/>
  <c r="N196" i="1" s="1"/>
  <c r="Q180" i="1"/>
  <c r="Q196" i="1" s="1"/>
  <c r="L137" i="1"/>
  <c r="S114" i="1"/>
  <c r="R180" i="1"/>
  <c r="R196" i="1" s="1"/>
  <c r="P180" i="1"/>
  <c r="P196" i="1" s="1"/>
  <c r="H137" i="1"/>
  <c r="O180" i="1"/>
  <c r="O196" i="1" s="1"/>
  <c r="P174" i="1"/>
  <c r="P190" i="1" s="1"/>
  <c r="S164" i="1"/>
  <c r="S180" i="1"/>
  <c r="S196" i="1" s="1"/>
  <c r="K114" i="1"/>
  <c r="K174" i="1"/>
  <c r="K190" i="1" s="1"/>
  <c r="K160" i="1"/>
  <c r="R114" i="1"/>
  <c r="R174" i="1"/>
  <c r="R190" i="1" s="1"/>
  <c r="K164" i="1"/>
  <c r="L180" i="1"/>
  <c r="L196" i="1" s="1"/>
  <c r="J164" i="1"/>
  <c r="J180" i="1"/>
  <c r="J196" i="1" s="1"/>
  <c r="L164" i="1"/>
  <c r="K137" i="1"/>
  <c r="G114" i="1"/>
  <c r="H174" i="1"/>
  <c r="H190" i="1" s="1"/>
  <c r="O114" i="1"/>
  <c r="P160" i="1"/>
  <c r="J137" i="1"/>
  <c r="H160" i="1"/>
  <c r="I46" i="5"/>
  <c r="I48" i="5" s="1"/>
  <c r="P114" i="1"/>
  <c r="Q137" i="1"/>
  <c r="Q164" i="1"/>
  <c r="N164" i="1"/>
  <c r="N137" i="1"/>
  <c r="Q114" i="1"/>
  <c r="Q160" i="1"/>
  <c r="O164" i="1"/>
  <c r="O137" i="1"/>
  <c r="R164" i="1"/>
  <c r="R137" i="1"/>
  <c r="J114" i="1"/>
  <c r="J160" i="1"/>
  <c r="R160" i="1"/>
  <c r="M164" i="1"/>
  <c r="M137" i="1"/>
  <c r="P137" i="1"/>
  <c r="P164" i="1"/>
  <c r="I137" i="1"/>
  <c r="I164" i="1"/>
  <c r="H61" i="5"/>
  <c r="I61" i="5" s="1"/>
  <c r="C34" i="13" l="1"/>
  <c r="C39" i="13"/>
  <c r="C38" i="13"/>
  <c r="C41" i="13"/>
  <c r="C35" i="13"/>
  <c r="C37" i="13"/>
  <c r="C40" i="13"/>
  <c r="C36" i="13"/>
  <c r="C42" i="13"/>
  <c r="J5" i="19"/>
  <c r="B28" i="19" s="1"/>
  <c r="B5" i="19"/>
  <c r="E5" i="19"/>
  <c r="H5" i="19"/>
  <c r="F5" i="19"/>
  <c r="D5" i="19"/>
  <c r="G5" i="19"/>
  <c r="I5" i="19"/>
  <c r="C5" i="19"/>
  <c r="G7" i="15"/>
  <c r="B11" i="15"/>
  <c r="C10" i="15"/>
  <c r="K44" i="5"/>
  <c r="L44" i="5" s="1"/>
  <c r="I66" i="5"/>
  <c r="H66" i="5"/>
  <c r="C34" i="19" l="1" a="1"/>
  <c r="I39" i="19"/>
  <c r="I40" i="19" s="1"/>
  <c r="B30" i="19" s="1"/>
  <c r="K20" i="5" s="1"/>
  <c r="B29" i="19"/>
  <c r="C12" i="15"/>
  <c r="D10" i="15"/>
  <c r="D12" i="15" s="1"/>
  <c r="K33" i="5"/>
  <c r="L33" i="5" s="1"/>
  <c r="L27" i="5"/>
  <c r="M44" i="5"/>
  <c r="Q44" i="5" s="1"/>
  <c r="C34" i="19" l="1"/>
  <c r="C35" i="19"/>
  <c r="C38" i="19"/>
  <c r="C41" i="19"/>
  <c r="C37" i="19"/>
  <c r="C36" i="19"/>
  <c r="C40" i="19"/>
  <c r="C39" i="19"/>
  <c r="C42" i="19"/>
  <c r="M33" i="5"/>
  <c r="Q33" i="5" s="1"/>
  <c r="K37" i="5"/>
  <c r="L37" i="5" s="1"/>
  <c r="M37" i="5" s="1"/>
  <c r="Q37" i="5" s="1"/>
  <c r="M27" i="5"/>
  <c r="Q27" i="5" s="1"/>
  <c r="K25" i="5" l="1"/>
  <c r="L25" i="5" s="1"/>
  <c r="M25" i="5" s="1"/>
  <c r="Q25" i="5" s="1"/>
  <c r="Q28" i="5" s="1"/>
  <c r="K31" i="5"/>
  <c r="L31" i="5" s="1"/>
  <c r="L34" i="5" s="1"/>
  <c r="K36" i="5"/>
  <c r="L36" i="5" s="1"/>
  <c r="M36" i="5" s="1"/>
  <c r="K38" i="5"/>
  <c r="L38" i="5" s="1"/>
  <c r="M38" i="5" s="1"/>
  <c r="Q38" i="5" s="1"/>
  <c r="K41" i="5"/>
  <c r="L41" i="5" s="1"/>
  <c r="L45" i="5" s="1"/>
  <c r="L20" i="5"/>
  <c r="L22" i="5" s="1"/>
  <c r="M28" i="5" l="1"/>
  <c r="L28" i="5"/>
  <c r="L46" i="5" s="1"/>
  <c r="L48" i="5" s="1"/>
  <c r="L61" i="5" s="1"/>
  <c r="M61" i="5" s="1"/>
  <c r="M31" i="5"/>
  <c r="Q31" i="5" s="1"/>
  <c r="M20" i="5"/>
  <c r="Q20" i="5" s="1"/>
  <c r="Q22" i="5" s="1"/>
  <c r="M41" i="5"/>
  <c r="M45" i="5" s="1"/>
  <c r="M34" i="5" l="1"/>
  <c r="M22" i="5"/>
  <c r="L66" i="5"/>
  <c r="M46" i="5" l="1"/>
  <c r="M48" i="5" s="1"/>
  <c r="M66" i="5" s="1"/>
  <c r="O41" i="5"/>
  <c r="Q41" i="5" s="1"/>
  <c r="O36" i="5"/>
  <c r="Q36" i="5" s="1"/>
  <c r="O15" i="5"/>
  <c r="Q45" i="5" l="1"/>
  <c r="O45" i="5"/>
  <c r="Q34" i="5"/>
  <c r="O34" i="5"/>
  <c r="Q98" i="5"/>
  <c r="R87" i="5" s="1"/>
  <c r="Q15" i="5"/>
  <c r="Q46" i="5" l="1"/>
  <c r="Q48" i="5" s="1"/>
  <c r="O46" i="5"/>
  <c r="O48" i="5" s="1"/>
  <c r="G10" i="9"/>
  <c r="G16" i="9" s="1"/>
  <c r="H10" i="9" l="1"/>
  <c r="H14" i="9" s="1"/>
  <c r="O61" i="5"/>
  <c r="Q61" i="5" s="1"/>
  <c r="Q66" i="5" l="1"/>
  <c r="O66" i="5"/>
  <c r="Q94" i="5" l="1"/>
  <c r="Q95" i="5" s="1"/>
  <c r="Q97" i="5" s="1"/>
  <c r="Q99" i="5" s="1"/>
  <c r="F16" i="9"/>
  <c r="H16" i="9" s="1"/>
  <c r="H20" i="9" s="1"/>
  <c r="H24" i="9" s="1"/>
  <c r="Q89" i="5"/>
  <c r="L24" i="9" l="1"/>
  <c r="H18" i="9"/>
  <c r="L34" i="9" l="1"/>
  <c r="L30" i="9"/>
  <c r="L28" i="9"/>
  <c r="H28" i="9"/>
  <c r="H34" i="9"/>
  <c r="H30" i="9"/>
</calcChain>
</file>

<file path=xl/comments1.xml><?xml version="1.0" encoding="utf-8"?>
<comments xmlns="http://schemas.openxmlformats.org/spreadsheetml/2006/main">
  <authors>
    <author>gzhkw6</author>
  </authors>
  <commentList>
    <comment ref="G33" authorId="0" shapeId="0">
      <text>
        <r>
          <rPr>
            <b/>
            <sz val="9"/>
            <color indexed="81"/>
            <rFont val="Tahoma"/>
            <family val="2"/>
          </rPr>
          <t>tlk:
Conversion factor rates do not tie to December CB conversion factor items</t>
        </r>
      </text>
    </comment>
    <comment ref="G36" authorId="0" shapeId="0">
      <text>
        <r>
          <rPr>
            <b/>
            <sz val="9"/>
            <color indexed="81"/>
            <rFont val="Tahoma"/>
            <family val="2"/>
          </rPr>
          <t>tlk:
Conversion factor rates do not tie to December CB conversion factor items</t>
        </r>
      </text>
    </comment>
    <comment ref="G41" authorId="0" shapeId="0">
      <text>
        <r>
          <rPr>
            <b/>
            <sz val="9"/>
            <color indexed="81"/>
            <rFont val="Tahoma"/>
            <family val="2"/>
          </rPr>
          <t>tlk:
Conversion factor rates do not tie to December CB conversion factor items</t>
        </r>
      </text>
    </comment>
  </commentList>
</comments>
</file>

<file path=xl/comments2.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50"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3.xml><?xml version="1.0" encoding="utf-8"?>
<comments xmlns="http://schemas.openxmlformats.org/spreadsheetml/2006/main">
  <authors>
    <author>KZX5DR</author>
    <author>Joe Miller</author>
  </authors>
  <commentList>
    <comment ref="J8" authorId="0" shapeId="0">
      <text>
        <r>
          <rPr>
            <sz val="9"/>
            <color indexed="81"/>
            <rFont val="Tahoma"/>
            <family val="2"/>
          </rPr>
          <t>WSU, 8 million annual minimum</t>
        </r>
      </text>
    </comment>
    <comment ref="J56" authorId="0" shapeId="0">
      <text>
        <r>
          <rPr>
            <sz val="9"/>
            <color indexed="81"/>
            <rFont val="Tahoma"/>
            <family val="2"/>
          </rPr>
          <t>WSU
Fixed Charge - $200/mo.
Capital Charge - $26,132/mo.
Total - $26,332/mo.
Collected over 20 yrs; effective 8/1/2003</t>
        </r>
      </text>
    </comment>
    <comment ref="J59" authorId="1" shapeId="0">
      <text>
        <r>
          <rPr>
            <b/>
            <sz val="8"/>
            <color indexed="81"/>
            <rFont val="Tahoma"/>
            <family val="2"/>
          </rPr>
          <t>Joe Miller:</t>
        </r>
        <r>
          <rPr>
            <sz val="8"/>
            <color indexed="81"/>
            <rFont val="Tahoma"/>
            <family val="2"/>
          </rPr>
          <t xml:space="preserve">
$.01 for first 10 million therms/year; $.005 for all therms over 10 million</t>
        </r>
      </text>
    </comment>
    <comment ref="B90" authorId="1" shapeId="0">
      <text>
        <r>
          <rPr>
            <b/>
            <sz val="8"/>
            <color indexed="81"/>
            <rFont val="Tahoma"/>
            <family val="2"/>
          </rPr>
          <t>Joe Miller:</t>
        </r>
        <r>
          <rPr>
            <sz val="8"/>
            <color indexed="81"/>
            <rFont val="Tahoma"/>
            <family val="2"/>
          </rPr>
          <t xml:space="preserve">
Rate dependent upon prior year usage</t>
        </r>
      </text>
    </comment>
  </commentList>
</comments>
</file>

<file path=xl/comments4.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5.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<sst xmlns="http://schemas.openxmlformats.org/spreadsheetml/2006/main" count="2150" uniqueCount="609">
  <si>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</si>
  <si>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</si>
  <si>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</si>
  <si>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</si>
  <si>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</si>
  <si>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</si>
  <si>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</si>
  <si>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</si>
  <si>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</si>
  <si>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</si>
  <si>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</si>
  <si>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</si>
  <si>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</si>
  <si>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</si>
  <si>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</si>
  <si>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</si>
  <si>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</si>
  <si>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</si>
  <si>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</si>
  <si>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</si>
  <si>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</si>
  <si>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</si>
  <si>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</si>
  <si>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</si>
  <si>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</si>
  <si>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</si>
  <si>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</si>
  <si>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</si>
  <si>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</si>
  <si>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</si>
  <si>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</si>
  <si>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</si>
  <si>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</si>
  <si>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</si>
  <si>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</si>
  <si>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</si>
  <si>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</si>
  <si>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</si>
  <si>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</si>
  <si>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</si>
  <si>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</si>
  <si>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</si>
  <si>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</si>
  <si>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</si>
  <si>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</si>
  <si>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</si>
  <si>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</si>
  <si>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</si>
  <si>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</si>
  <si>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</si>
  <si>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</si>
  <si>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</si>
  <si>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</si>
  <si>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</si>
  <si>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</si>
  <si>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</si>
  <si>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</si>
  <si>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</si>
  <si>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</si>
  <si>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</si>
  <si>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</si>
  <si>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</si>
  <si>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</si>
  <si>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</si>
  <si>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</si>
  <si>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</si>
  <si>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</si>
  <si>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</si>
  <si>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</si>
  <si>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</si>
  <si>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</si>
  <si>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</si>
  <si>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</si>
  <si>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</si>
  <si>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</si>
  <si>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</si>
  <si>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</si>
  <si>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</si>
  <si>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</si>
  <si>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</si>
  <si>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</si>
  <si>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</si>
  <si>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</si>
  <si>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</si>
  <si>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</si>
  <si>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</si>
  <si>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</si>
  <si>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</si>
  <si>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</si>
  <si>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</si>
  <si>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</si>
  <si>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</si>
  <si>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</si>
  <si>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</si>
  <si>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</si>
  <si>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</si>
  <si>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</si>
  <si>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</si>
  <si>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</si>
  <si>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</si>
  <si>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</si>
  <si>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</si>
  <si>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</si>
  <si>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</si>
  <si>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</si>
  <si>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</si>
  <si>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</si>
  <si>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</si>
  <si>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</si>
  <si>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</si>
  <si>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</si>
  <si>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</si>
  <si>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</si>
  <si>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</si>
  <si>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</si>
  <si>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</si>
  <si>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</si>
  <si>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</si>
  <si>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</si>
  <si>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</si>
  <si>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</si>
  <si>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</si>
  <si>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</si>
  <si>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</si>
  <si>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</si>
  <si>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</si>
  <si>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</si>
  <si>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</si>
  <si>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</si>
  <si>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</si>
  <si>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</si>
  <si>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</si>
  <si>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</si>
  <si>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</si>
  <si>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</si>
  <si>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</si>
  <si>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</si>
  <si>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</si>
  <si>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</si>
  <si>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</si>
  <si>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</si>
  <si>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</si>
  <si>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</si>
  <si>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</si>
  <si>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</si>
  <si>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</si>
  <si>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</si>
  <si>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</si>
  <si>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</si>
  <si>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</si>
  <si>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</si>
  <si>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</si>
  <si>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</si>
  <si>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</si>
  <si>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</si>
  <si>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</si>
  <si>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</si>
  <si>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</si>
  <si>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</si>
  <si>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</si>
  <si>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</si>
  <si>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</si>
  <si>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</si>
  <si>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</si>
  <si>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</si>
  <si>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</si>
  <si>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</si>
  <si>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</si>
  <si>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</si>
  <si>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</si>
  <si>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</si>
  <si>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</si>
  <si>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</si>
  <si>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</si>
  <si>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</si>
  <si>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</si>
  <si>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</si>
  <si>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</si>
  <si>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</si>
  <si>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</si>
  <si>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</si>
  <si>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</si>
  <si>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</si>
  <si>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</si>
  <si>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</si>
  <si>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Bill Determ Tab</t>
  </si>
  <si>
    <t>Escalation Factor</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</si>
  <si>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</si>
  <si>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</si>
  <si>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</si>
  <si>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</si>
  <si>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</si>
  <si>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</si>
  <si>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</si>
  <si>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</si>
  <si>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</si>
  <si>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</si>
  <si>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</si>
  <si>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</si>
  <si>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</si>
  <si>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</si>
  <si>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</si>
  <si>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</si>
  <si>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</si>
  <si>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</si>
  <si>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</si>
  <si>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</si>
  <si>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Washington - Natural Gas System</t>
  </si>
  <si>
    <t>Washington -Natural Gas System</t>
  </si>
  <si>
    <t>$000s</t>
  </si>
  <si>
    <t>CBR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</si>
  <si>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</si>
  <si>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</si>
  <si>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</si>
  <si>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</si>
  <si>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</si>
  <si>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</si>
  <si>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</si>
  <si>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</si>
  <si>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</si>
  <si>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</si>
  <si>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</si>
  <si>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(000's of Dollars)</t>
  </si>
  <si>
    <t>(a)</t>
  </si>
  <si>
    <t>(b)</t>
  </si>
  <si>
    <t xml:space="preserve">(c) </t>
  </si>
  <si>
    <t>Natural Gas Data for Escalators</t>
  </si>
  <si>
    <t>Natural Gas Growth  Rate Analysis and Escalation Factor Calculation</t>
  </si>
  <si>
    <t>7A</t>
  </si>
  <si>
    <t>14A</t>
  </si>
  <si>
    <t>Determine Base Cost and Revenue to Escalate</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</si>
  <si>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</si>
  <si>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</si>
  <si>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</si>
  <si>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</si>
  <si>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</si>
  <si>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</si>
  <si>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</si>
  <si>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</si>
  <si>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</si>
  <si>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</si>
  <si>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</si>
  <si>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</si>
  <si>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</si>
  <si>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</si>
  <si>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</si>
  <si>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</si>
  <si>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</si>
  <si>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</si>
  <si>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</si>
  <si>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</si>
  <si>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</si>
  <si>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</si>
  <si>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</si>
  <si>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</si>
  <si>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</si>
  <si>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</si>
  <si>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</si>
  <si>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</si>
  <si>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</si>
  <si>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</si>
  <si>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</si>
  <si>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</si>
  <si>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</si>
  <si>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</si>
  <si>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</si>
  <si>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</si>
  <si>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</si>
  <si>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</si>
  <si>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</si>
  <si>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</si>
  <si>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</si>
  <si>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</si>
  <si>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</si>
  <si>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</si>
  <si>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</si>
  <si>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</si>
  <si>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(plus) Revenue Growth</t>
  </si>
  <si>
    <t>Not used due to deminimus values that resulted in extraordinary variablility</t>
  </si>
  <si>
    <t>TRANSPORT</t>
  </si>
  <si>
    <t>WORK PAPER</t>
  </si>
  <si>
    <t xml:space="preserve"> </t>
  </si>
  <si>
    <t>GEN SERVICE</t>
  </si>
  <si>
    <t>LRG GEN SVC</t>
  </si>
  <si>
    <t>EX LRG GEN SVC</t>
  </si>
  <si>
    <t>INTERRUPTIBLE</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</si>
  <si>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</si>
  <si>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</si>
  <si>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</si>
  <si>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</si>
  <si>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</si>
  <si>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</si>
  <si>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</si>
  <si>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</si>
  <si>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</si>
  <si>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</si>
  <si>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</si>
  <si>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</si>
  <si>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</si>
  <si>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</si>
  <si>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</si>
  <si>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</si>
  <si>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</si>
  <si>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</si>
  <si>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</si>
  <si>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</si>
  <si>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</si>
  <si>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</si>
  <si>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</si>
  <si>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</si>
  <si>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</si>
  <si>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</si>
  <si>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</si>
  <si>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</si>
  <si>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</si>
  <si>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</si>
  <si>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</si>
  <si>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</si>
  <si>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</si>
  <si>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</si>
  <si>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</si>
  <si>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</si>
  <si>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</si>
  <si>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</si>
  <si>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</si>
  <si>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</si>
  <si>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</si>
  <si>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</si>
  <si>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</si>
  <si>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</si>
  <si>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</si>
  <si>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</si>
  <si>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</si>
  <si>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</si>
  <si>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</si>
  <si>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</si>
  <si>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</si>
  <si>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</si>
  <si>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</si>
  <si>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</si>
  <si>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</si>
  <si>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</si>
  <si>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</si>
  <si>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</si>
  <si>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</si>
  <si>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</si>
  <si>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</si>
  <si>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</si>
  <si>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</si>
  <si>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</si>
  <si>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</si>
  <si>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</si>
  <si>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</si>
  <si>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</si>
  <si>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</si>
  <si>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</si>
  <si>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</si>
  <si>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</si>
  <si>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</si>
  <si>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</si>
  <si>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</si>
  <si>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</si>
  <si>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</si>
  <si>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</si>
  <si>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</si>
  <si>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</si>
  <si>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</si>
  <si>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</si>
  <si>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</si>
  <si>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</si>
  <si>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</si>
  <si>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</si>
  <si>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</si>
  <si>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2012-2013</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</si>
  <si>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</si>
  <si>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</si>
  <si>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</si>
  <si>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</si>
  <si>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</si>
  <si>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</si>
  <si>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</si>
  <si>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</si>
  <si>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</si>
  <si>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</si>
  <si>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</si>
  <si>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</si>
  <si>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</si>
  <si>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</si>
  <si>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</si>
  <si>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</si>
  <si>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</si>
  <si>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</si>
  <si>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</si>
  <si>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</si>
  <si>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</si>
  <si>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</si>
  <si>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</si>
  <si>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</si>
  <si>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</si>
  <si>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</si>
  <si>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</si>
  <si>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</si>
  <si>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r>
      <t xml:space="preserve">Escalation Amount      </t>
    </r>
    <r>
      <rPr>
        <sz val="8"/>
        <color theme="1"/>
        <rFont val="Times New Roman"/>
        <family val="1"/>
      </rPr>
      <t>[E] *[F]=[G]</t>
    </r>
  </si>
  <si>
    <t>*Per 09.2014 Commission Basis Report data, See page 5, line 42</t>
  </si>
  <si>
    <t>**Per Pro Forma Cross Check Study - See Exhibit No. _(JSS-3)</t>
  </si>
  <si>
    <t>Adjusted Depreciation/Amortization</t>
  </si>
  <si>
    <t>Net Plant After Deferred Income Taxes</t>
  </si>
  <si>
    <t>Adjusted Taxes Other than Income</t>
  </si>
  <si>
    <t>Adopted Operating Expense</t>
  </si>
  <si>
    <t xml:space="preserve">       2014  **     </t>
  </si>
  <si>
    <t>2012-2014</t>
  </si>
  <si>
    <t>2013-2014</t>
  </si>
  <si>
    <t>2001-2014</t>
  </si>
  <si>
    <t>2002-2014</t>
  </si>
  <si>
    <t>2003-2014</t>
  </si>
  <si>
    <t>2004-2014</t>
  </si>
  <si>
    <t>2005-2014</t>
  </si>
  <si>
    <t>2006-2014</t>
  </si>
  <si>
    <t>2007-2014</t>
  </si>
  <si>
    <t>2008-2014</t>
  </si>
  <si>
    <t>2009-2014</t>
  </si>
  <si>
    <t>2010-2014</t>
  </si>
  <si>
    <t>2011-2014</t>
  </si>
  <si>
    <t>2 years</t>
  </si>
  <si>
    <t>ADDED</t>
  </si>
  <si>
    <t>Gross-up Conversion Factor</t>
  </si>
  <si>
    <t>Taxes (other than income)</t>
  </si>
  <si>
    <t>Adj. Operating Expense (2012)</t>
  </si>
  <si>
    <t>Adj. Operating Expense (2013-2014)</t>
  </si>
  <si>
    <t>Slope</t>
  </si>
  <si>
    <t>Rate (1yr)</t>
  </si>
  <si>
    <t>Escalation</t>
  </si>
  <si>
    <t>Rate (2013-2014, linear)</t>
  </si>
  <si>
    <t>Average</t>
  </si>
  <si>
    <t>Adj. Other Revenue</t>
  </si>
  <si>
    <t>rate (1-yr)</t>
  </si>
  <si>
    <t>Avista-proposed Operating Expense</t>
  </si>
  <si>
    <t>2-year Growth Rate (Linear)</t>
  </si>
  <si>
    <t>Compound Growth Rates to 2014</t>
  </si>
  <si>
    <t>Company-proposed (2007-2014, linear)</t>
  </si>
  <si>
    <t>rate (1-year)</t>
  </si>
  <si>
    <t>x</t>
  </si>
  <si>
    <t>rate (2-year)</t>
  </si>
  <si>
    <t>Sum (x and C)</t>
  </si>
  <si>
    <t>Derivative of Quadratic (below)</t>
  </si>
  <si>
    <t xml:space="preserve">Net Plant after DFIT </t>
  </si>
  <si>
    <t>Total Accumulated Depr/Amort</t>
  </si>
  <si>
    <t>ACCUMULATED DEPR/AMORT</t>
  </si>
  <si>
    <t>Adj. Operating Expense (2009-2014, excl. 2012)</t>
  </si>
  <si>
    <t>Avista accepts UTC Staff’s proposed 2.17% for natural gas operations, because that is a reasonable expectation of increases in costs for natural gas given the expectations in the 2016 rate year, and the overall operations of the natural gas business.  Use of an average based on actual 2007-2014 linear trend plus revised 2013-2014 linear trend (removing impact of benefits) consistant with electric, would result in a significant increase in O&amp;M expenses above 2014 levels.</t>
  </si>
  <si>
    <t>x = 8 (2015 is year 8)</t>
  </si>
  <si>
    <t>TWELVE MONTHS ENDED DECEMBER 31, 2000 - 2015</t>
  </si>
  <si>
    <t>Actual Cost of Capital AMA 09/30/2015</t>
  </si>
  <si>
    <t>.</t>
  </si>
  <si>
    <t>Eliminate Decoupling Deferred Revenue and Provision for Rate Refund</t>
  </si>
  <si>
    <t>Sept 2015</t>
  </si>
  <si>
    <t>SCH 148 - WSU</t>
  </si>
  <si>
    <t>AVISTA UTILITIES
WASHINGTON GAS
PRO FORMA REVENUE UNDER PRESENT AND PROPOSED BASE TARIFF RATES
12 MONTHS ENDED SEPTEMBER 30, 2015</t>
  </si>
  <si>
    <t>Base</t>
  </si>
  <si>
    <t>selected in cell $O$8:</t>
  </si>
  <si>
    <t>Rates_Base_Present</t>
  </si>
  <si>
    <t>Rates_Base_Proposed</t>
  </si>
  <si>
    <t>Note: Rates exclude Sch. 150 (Purch. Gas Cost Adj.)</t>
  </si>
  <si>
    <t>GSFM v3 12 02 Dec Mid-month (12-16-2015 pricing).xlsm</t>
  </si>
  <si>
    <t>12ME 06.2018</t>
  </si>
  <si>
    <t>Total Loads by Rate Sched:</t>
  </si>
  <si>
    <t>Therms</t>
  </si>
  <si>
    <t>AD - BA 219</t>
  </si>
  <si>
    <t>AD - BA 220</t>
  </si>
  <si>
    <t>AD - BA 221</t>
  </si>
  <si>
    <t>AD - BA 222</t>
  </si>
  <si>
    <t>AD - BA 223</t>
  </si>
  <si>
    <t>AD - BA 224</t>
  </si>
  <si>
    <t>AD - BA 225</t>
  </si>
  <si>
    <t>AD - BA 226</t>
  </si>
  <si>
    <t>AD - BA 227</t>
  </si>
  <si>
    <t>AD - BA 228</t>
  </si>
  <si>
    <t>AD - BA 229</t>
  </si>
  <si>
    <t>AD - BA 230</t>
  </si>
  <si>
    <t>AD - BA 231</t>
  </si>
  <si>
    <t>AD - BA 232</t>
  </si>
  <si>
    <t>AD - BA 233</t>
  </si>
  <si>
    <t>AD - BA 234</t>
  </si>
  <si>
    <t>AD - BA 235</t>
  </si>
  <si>
    <t>AD - BA 236</t>
  </si>
  <si>
    <t>AD - BA 237</t>
  </si>
  <si>
    <t>Total Loads by State:</t>
  </si>
  <si>
    <t>AD - BA 240</t>
  </si>
  <si>
    <t>AD - BA 241</t>
  </si>
  <si>
    <t>AD - BA 242</t>
  </si>
  <si>
    <t>AD - BA 244</t>
  </si>
  <si>
    <t>Total Customers by Rate Sched:</t>
  </si>
  <si>
    <t>Bills</t>
  </si>
  <si>
    <t>AD - BA 66</t>
  </si>
  <si>
    <t>AD - BA 67</t>
  </si>
  <si>
    <t>AD - BA 68</t>
  </si>
  <si>
    <t>AD - BA 69</t>
  </si>
  <si>
    <t>AD - BA 70</t>
  </si>
  <si>
    <t>AD - BA 71</t>
  </si>
  <si>
    <t>AD - BA 72</t>
  </si>
  <si>
    <t>AD - BA 73</t>
  </si>
  <si>
    <t>AD - BA 74</t>
  </si>
  <si>
    <t>AD - BA 75</t>
  </si>
  <si>
    <t>AD - BA 76</t>
  </si>
  <si>
    <t>AD - BA 77</t>
  </si>
  <si>
    <t>AD - BA 78</t>
  </si>
  <si>
    <t>AD - BA 79</t>
  </si>
  <si>
    <t>AD - BA 80</t>
  </si>
  <si>
    <t>AD - BA 81</t>
  </si>
  <si>
    <t>AD - BA 82</t>
  </si>
  <si>
    <t>AD - BA 83</t>
  </si>
  <si>
    <t>AD - BA 84</t>
  </si>
  <si>
    <t>Total Customers by State:</t>
  </si>
  <si>
    <t>AD - BA 87</t>
  </si>
  <si>
    <t>AD - BA 88</t>
  </si>
  <si>
    <t>AD - BA 89</t>
  </si>
  <si>
    <t>AD - BA 91</t>
  </si>
  <si>
    <t>Add 12.2015 Plant</t>
  </si>
  <si>
    <t>Regulatory Amorts &amp; Misc Adjs</t>
  </si>
  <si>
    <t>12ME 12.2015 AMA Escalation Base</t>
  </si>
  <si>
    <t>Proposed Cost of Capital</t>
  </si>
  <si>
    <t xml:space="preserve">AVISTA </t>
  </si>
  <si>
    <t>NATURAL GAS COST AND REVENUE TREND CALCULATIONS 2007-2015</t>
  </si>
  <si>
    <t>Calculation of General Revenue Requirement</t>
  </si>
  <si>
    <t>Percent Base Revenue Requirement Change (vs. 2016)</t>
  </si>
  <si>
    <t>Percentage Billed Revenue Increase</t>
  </si>
  <si>
    <t>*Based on 2017 estimated capital structure and cost of debt.</t>
  </si>
  <si>
    <t xml:space="preserve"> Proposed Capital Structure</t>
  </si>
  <si>
    <t>Avista Proposed Based on Commission Order No. 05, Docket No. UG-150205</t>
  </si>
  <si>
    <r>
      <t>12ME 12.2015 AMA Commission Basis Report Totals</t>
    </r>
    <r>
      <rPr>
        <vertAlign val="superscript"/>
        <sz val="9"/>
        <color theme="1"/>
        <rFont val="Times New Roman"/>
        <family val="1"/>
      </rPr>
      <t>1</t>
    </r>
  </si>
  <si>
    <t>UPDATED 3/18/2016  LMA</t>
  </si>
  <si>
    <t xml:space="preserve">       2015  **     </t>
  </si>
  <si>
    <t>12.2015</t>
  </si>
  <si>
    <t>Project Compass Deferral</t>
  </si>
  <si>
    <t>REVISED</t>
  </si>
  <si>
    <t>Twelve Months Ended December 31, 2015</t>
  </si>
  <si>
    <t>(d)</t>
  </si>
  <si>
    <t>(e)</t>
  </si>
  <si>
    <t>2017 Attrition Results</t>
  </si>
  <si>
    <t>6 Months - 06.2018 Revenue Requirement</t>
  </si>
  <si>
    <t>(1)</t>
  </si>
  <si>
    <t>Attrition Balances</t>
  </si>
  <si>
    <t>Attrition Study Results</t>
  </si>
  <si>
    <t>2018 Rate Base</t>
  </si>
  <si>
    <t>2018 Net Operating Income (at 2016 rates)</t>
  </si>
  <si>
    <t>2018 Rate of Return (at 2016 rates)</t>
  </si>
  <si>
    <t xml:space="preserve">2018 Net Operating Income Deficiency </t>
  </si>
  <si>
    <t>2018 Attrition Revenue Deficiency</t>
  </si>
  <si>
    <t>2018 Total General Business Revenues (at 2016 rates)</t>
  </si>
  <si>
    <t>Attrition-based 2018 revenue requirement</t>
  </si>
  <si>
    <t>2018 Total Present Billed Revenue</t>
  </si>
  <si>
    <r>
      <t xml:space="preserve">Trended 12ME 06.2018 Non-Energy Cost </t>
    </r>
    <r>
      <rPr>
        <sz val="8"/>
        <color theme="1"/>
        <rFont val="Times New Roman"/>
        <family val="1"/>
      </rPr>
      <t>[E]+[G]=[H]</t>
    </r>
  </si>
  <si>
    <t>After Attrition Adj AMI Capital Project 2017</t>
  </si>
  <si>
    <r>
      <t>12ME 06.2018 Revenue and Cost</t>
    </r>
    <r>
      <rPr>
        <sz val="8"/>
        <color theme="1"/>
        <rFont val="Times New Roman"/>
        <family val="1"/>
      </rPr>
      <t xml:space="preserve"> [H]+[I]+[J] = [K]</t>
    </r>
  </si>
  <si>
    <t>2018 WASHINGTON NATURAL GAS ATTRITION STUDY</t>
  </si>
  <si>
    <t>Escalation factor (to 06.2018)</t>
  </si>
  <si>
    <t>09.2015 TO 2018 WEIGHTED REVENUE GROWTH</t>
  </si>
  <si>
    <t>REMOVED</t>
  </si>
  <si>
    <r>
      <rPr>
        <vertAlign val="superscript"/>
        <sz val="10"/>
        <color theme="1"/>
        <rFont val="Times New Roman"/>
        <family val="1"/>
      </rPr>
      <t>1</t>
    </r>
    <r>
      <rPr>
        <sz val="10"/>
        <color theme="1"/>
        <rFont val="Times New Roman"/>
        <family val="1"/>
      </rPr>
      <t>Workpapers for 12.2015 Commission Basis Reports provided with Avista's response to Staff_DR_030 - Attachment G.</t>
    </r>
  </si>
  <si>
    <t>(1) For illustrative purposes only. The company is not requesting the revised 2017/2018 Attrition Study revenue requirement produced using the 12.2015 CB adjusted results.</t>
  </si>
  <si>
    <t>Year</t>
  </si>
  <si>
    <t>Year^2</t>
  </si>
  <si>
    <t>Quadratic model</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</si>
  <si>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</si>
  <si>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</si>
  <si>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</si>
  <si>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</si>
  <si>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</si>
  <si>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</si>
  <si>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</si>
  <si>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</si>
  <si>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</si>
  <si>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</si>
  <si>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</si>
  <si>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</si>
  <si>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</si>
  <si>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</si>
  <si>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</si>
  <si>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</si>
  <si>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</si>
  <si>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</si>
  <si>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</si>
  <si>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</si>
  <si>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</si>
  <si>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Lower 95.0%</t>
  </si>
  <si>
    <t>Upper 95.0%</t>
  </si>
  <si>
    <t>Linear model</t>
  </si>
  <si>
    <t>Underground Storage Plant</t>
  </si>
  <si>
    <t>Rate (Annual)</t>
  </si>
  <si>
    <t>Rate (2-year, to 2017)</t>
  </si>
  <si>
    <t>(Escalation Factor)</t>
  </si>
  <si>
    <t>UG Stor Accum Depr/Amort</t>
  </si>
  <si>
    <t>Distribution Accum. Depr. &amp; Amort.</t>
  </si>
  <si>
    <t>General Accum. Depr. &amp; Amort.</t>
  </si>
  <si>
    <t>Deferred Taxes</t>
  </si>
  <si>
    <t>rate (2.5-yr), to Jun 2018</t>
  </si>
  <si>
    <t>UG Stor Depr/Amort Expense</t>
  </si>
  <si>
    <t>Rate (2.5-year, to Jun 2018)</t>
  </si>
  <si>
    <t>Distribution Depr/Amort Expense</t>
  </si>
  <si>
    <t>General Depr/Amort Expense</t>
  </si>
  <si>
    <t>ECI</t>
  </si>
  <si>
    <t>PPI Util</t>
  </si>
  <si>
    <t>Op Exp</t>
  </si>
  <si>
    <t>WeightAvg</t>
  </si>
  <si>
    <t>Adjusted per CSH-1T pg 52</t>
  </si>
  <si>
    <t>12 ME Jun 2018 NATURAL GAS ATTRITION STUDY</t>
  </si>
  <si>
    <t>Annual Increase (slope)</t>
  </si>
  <si>
    <t>Staff Proposed Based on Commission Order No. 05, Docket No. UG-150205</t>
  </si>
  <si>
    <t>Annual growth (slope)</t>
  </si>
</sst>
</file>

<file path=xl/styles.xml><?xml version="1.0" encoding="utf-8"?>
<styleSheet xmlns="http://schemas.openxmlformats.org/spreadsheetml/2006/main" xmlns:mc="http://schemas.openxmlformats.org/markup-compatibility/2006" xmlns:x14ac="http://schemas.microsoft.com/office/spreadsheetml/2009/9/ac" mc:Ignorable="x14ac">
  <numFmts count="7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_(* #,##0_);_(* \(#,##0\);_(* &quot;-&quot;??_);_(@_)"/>
    <numFmt numFmtId="167" formatCode="0.0000"/>
    <numFmt numFmtId="168" formatCode="0.000000"/>
    <numFmt numFmtId="169" formatCode="0.000%"/>
    <numFmt numFmtId="170" formatCode="0.00000"/>
    <numFmt numFmtId="171" formatCode="_(* #,##0.000000_);_(* \(#,##0.000000\);_(* &quot;-&quot;??_);_(@_)"/>
    <numFmt numFmtId="172" formatCode="#,##0_);\(#,##0\);"/>
    <numFmt numFmtId="173" formatCode=";;;"/>
    <numFmt numFmtId="174" formatCode="0_);\(0\)"/>
    <numFmt numFmtId="175" formatCode="&quot;$&quot;#,##0.00;\-&quot;$&quot;#,##0.00;"/>
    <numFmt numFmtId="176" formatCode="#,##0.000\¢\ ;\(#,##0.000\¢\);"/>
    <numFmt numFmtId="177" formatCode="#,##0.000\¢\ ;\(#,##0.000\¢\)"/>
    <numFmt numFmtId="178" formatCode="&quot;$&quot;#,##0_);\(&quot;$&quot;#,##0\);"/>
    <numFmt numFmtId="179" formatCode="#,##0.000"/>
    <numFmt numFmtId="180" formatCode="&quot;$&quot;#,##0.0;\-&quot;$&quot;#,##0;"/>
    <numFmt numFmtId="181" formatCode="[$-409]mmm\-yy;@"/>
    <numFmt numFmtId="182" formatCode="0.0%"/>
    <numFmt numFmtId="183" formatCode="[$-F800]dddd\,\ mmmm\ dd\,\ yyyy"/>
    <numFmt numFmtId="184" formatCode="mmmm\ d\,\ yyyy"/>
    <numFmt numFmtId="185" formatCode="[$-409]mmmm\-yy;@"/>
    <numFmt numFmtId="186" formatCode="#,##0_%_);\(#,##0\)_%;#,##0_%_);@_%_)"/>
    <numFmt numFmtId="187" formatCode="_._.* #,##0.0_)_%;_._.* \(#,##0.0\)_%"/>
    <numFmt numFmtId="188" formatCode="_._.* #,##0.00_)_%;_._.* \(#,##0.00\)_%"/>
    <numFmt numFmtId="189" formatCode="_._.* #,##0.000_)_%;_._.* \(#,##0.000\)_%"/>
    <numFmt numFmtId="190" formatCode="_(* #,##0.00_);_(* \(\ #,##0.00\ \);_(* &quot;-&quot;??_);_(\ @_ \)"/>
    <numFmt numFmtId="191" formatCode="_._.* #,##0_)_%;_._.* #,##0_)_%;_._.* 0_)_%;_._.@_)_%"/>
    <numFmt numFmtId="192" formatCode="_._.&quot;$&quot;* #,##0.0_)_%;_._.&quot;$&quot;* \(#,##0.0\)_%"/>
    <numFmt numFmtId="193" formatCode="_._.&quot;$&quot;* #,##0.00_)_%;_._.&quot;$&quot;* \(#,##0.00\)_%"/>
    <numFmt numFmtId="194" formatCode="_._.&quot;$&quot;* #,##0.000_)_%;_._.&quot;$&quot;* \(#,##0.000\)_%"/>
    <numFmt numFmtId="195" formatCode="_._.&quot;$&quot;* #,###_)_%;_._.&quot;$&quot;* #,###_)_%;_._.&quot;$&quot;* 0_)_%;_._.@_)_%"/>
    <numFmt numFmtId="196" formatCode="#,###,##0.00;\(#,###,##0.00\)"/>
    <numFmt numFmtId="197" formatCode="#,###,##0;\(#,###,##0\)"/>
    <numFmt numFmtId="198" formatCode="0.0"/>
    <numFmt numFmtId="199" formatCode="_(&quot;$&quot;* #,##0.0_);_(&quot;$&quot;* \(#,##0.0\);_(&quot;$&quot;* &quot;-&quot;??_);_(@_)"/>
    <numFmt numFmtId="200" formatCode="&quot;$&quot;#,###,##0.00;\(&quot;$&quot;#,###,##0.00\)"/>
    <numFmt numFmtId="201" formatCode="&quot;$&quot;#,###,##0;\(&quot;$&quot;#,###,##0\)"/>
    <numFmt numFmtId="202" formatCode="#,##0.00%;\(#,##0.00%\)"/>
    <numFmt numFmtId="203" formatCode="_(0_)%;\(0\)%"/>
    <numFmt numFmtId="204" formatCode="_._._(* 0_)%;_._.* \(0\)%"/>
    <numFmt numFmtId="205" formatCode="_(0.0_)%;\(0.0\)%"/>
    <numFmt numFmtId="206" formatCode="_._._(* 0.0_)%;_._.* \(0.0\)%"/>
    <numFmt numFmtId="207" formatCode="_(0.00_)%;\(0.00\)%"/>
    <numFmt numFmtId="208" formatCode="_._._(* 0.00_)%;_._.* \(0.00\)%"/>
    <numFmt numFmtId="209" formatCode="_(0.000_)%;\(0.000\)%"/>
    <numFmt numFmtId="210" formatCode="_._._(* 0.000_)%;_._.* \(0.000\)%"/>
    <numFmt numFmtId="211" formatCode="_(0.0000_)%;\(0.0000\)%"/>
    <numFmt numFmtId="212" formatCode="_._._(* 0.0000_)%;_._.* \(0.0000\)%"/>
    <numFmt numFmtId="213" formatCode="_(* #,##0_);_(* \(#,##0\);_(* 0_);_(@_)"/>
    <numFmt numFmtId="214" formatCode="_(* #,##0.0_);_(* \(#,##0.0\)"/>
    <numFmt numFmtId="215" formatCode="_(* #,##0.00_);_(* \(#,##0.00\)"/>
    <numFmt numFmtId="216" formatCode="_(* #,##0.000_);_(* \(#,##0.000\)"/>
    <numFmt numFmtId="217" formatCode="_(&quot;$&quot;* #,##0_);_(&quot;$&quot;* \(#,##0\);_(&quot;$&quot;* 0_);_(@_)"/>
    <numFmt numFmtId="218" formatCode="_(&quot;$&quot;* #,##0.0_);_(&quot;$&quot;* \(#,##0.0\)"/>
    <numFmt numFmtId="219" formatCode="_(&quot;$&quot;* #,##0.00_);_(&quot;$&quot;* \(#,##0.00\)"/>
    <numFmt numFmtId="220" formatCode="_(&quot;$&quot;* #,##0.000_);_(&quot;$&quot;* \(#,##0.000\)"/>
    <numFmt numFmtId="221" formatCode="#,##0.0_x_x"/>
    <numFmt numFmtId="222" formatCode="&quot;$&quot;#,##0\ ;\(&quot;$&quot;#,##0\)"/>
    <numFmt numFmtId="223" formatCode="_(* #,##0.00000_);_(* \(#,##0.00000\);_(* &quot;-&quot;??_);_(@_)"/>
    <numFmt numFmtId="224" formatCode="#,##0.00;[Red]\(#,##0.00\)"/>
    <numFmt numFmtId="225" formatCode="#,##0.0"/>
    <numFmt numFmtId="226" formatCode="_(* #,##0.000000_);_(* \(#,##0.000000\);_(* &quot;-&quot;?????_);_(@_)"/>
    <numFmt numFmtId="227" formatCode="mmm\ yy"/>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8"/>
      <color theme="1"/>
      <name val="Times New Roman"/>
      <family val="1"/>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8"/>
      <name val="Times New Roman"/>
      <family val="1"/>
    </font>
    <font>
      <b/>
      <u/>
      <sz val="10"/>
      <name val="Arial"/>
      <family val="2"/>
    </font>
    <font>
      <vertAlign val="superscript"/>
      <sz val="9"/>
      <color theme="1"/>
      <name val="Times New Roman"/>
      <family val="1"/>
    </font>
    <font>
      <sz val="10"/>
      <color rgb="FF0000FF"/>
      <name val="Arial"/>
      <family val="2"/>
    </font>
    <font>
      <vertAlign val="superscript"/>
      <sz val="10"/>
      <color theme="1"/>
      <name val="Times New Roman"/>
      <family val="1"/>
    </font>
    <font>
      <i/>
      <sz val="10"/>
      <name val="Arial"/>
      <family val="2"/>
    </font>
  </fonts>
  <fills count="7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42084">
    <xf numFmtId="0" fontId="0" fillId="0" borderId="0"/>
    <xf numFmtId="0" fontId="9" fillId="0" borderId="0"/>
    <xf numFmtId="0" fontId="9"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0" fontId="16" fillId="2" borderId="0"/>
    <xf numFmtId="0" fontId="11" fillId="0" borderId="0"/>
    <xf numFmtId="0" fontId="8" fillId="0" borderId="0"/>
    <xf numFmtId="0" fontId="8" fillId="0" borderId="0"/>
    <xf numFmtId="9" fontId="8" fillId="0" borderId="0" applyFont="0" applyFill="0" applyBorder="0" applyAlignment="0" applyProtection="0"/>
    <xf numFmtId="43" fontId="21" fillId="0" borderId="0" applyFont="0" applyFill="0" applyBorder="0" applyAlignment="0" applyProtection="0"/>
    <xf numFmtId="0" fontId="22" fillId="0" borderId="0"/>
    <xf numFmtId="9" fontId="26" fillId="0" borderId="0" applyFont="0" applyFill="0" applyBorder="0" applyAlignment="0" applyProtection="0"/>
    <xf numFmtId="0" fontId="7" fillId="0" borderId="0"/>
    <xf numFmtId="9" fontId="31" fillId="0" borderId="0" applyFont="0" applyFill="0" applyBorder="0" applyAlignment="0" applyProtection="0"/>
    <xf numFmtId="43" fontId="31" fillId="0" borderId="0" applyFont="0" applyFill="0" applyBorder="0" applyAlignment="0" applyProtection="0"/>
    <xf numFmtId="0" fontId="9"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xf numFmtId="0" fontId="6" fillId="0" borderId="0"/>
    <xf numFmtId="0" fontId="8" fillId="0" borderId="0">
      <alignment readingOrder="1"/>
    </xf>
    <xf numFmtId="0" fontId="6" fillId="0" borderId="0"/>
    <xf numFmtId="0" fontId="8" fillId="0" borderId="0"/>
    <xf numFmtId="0" fontId="8" fillId="0" borderId="0">
      <alignment readingOrder="1"/>
    </xf>
    <xf numFmtId="0" fontId="8" fillId="0" borderId="0"/>
    <xf numFmtId="0" fontId="8" fillId="0" borderId="0">
      <alignment readingOrder="1"/>
    </xf>
    <xf numFmtId="0" fontId="9"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0" fontId="28" fillId="0" borderId="0"/>
    <xf numFmtId="9" fontId="11" fillId="0" borderId="0" applyFont="0" applyFill="0" applyBorder="0" applyAlignment="0" applyProtection="0"/>
    <xf numFmtId="9" fontId="28" fillId="0" borderId="0" applyFont="0" applyFill="0" applyBorder="0" applyAlignment="0" applyProtection="0"/>
    <xf numFmtId="38" fontId="37" fillId="0" borderId="0" applyNumberFormat="0" applyFont="0" applyFill="0" applyBorder="0">
      <alignment horizontal="left" indent="4"/>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0" borderId="26">
      <alignment horizontal="center"/>
    </xf>
    <xf numFmtId="3" fontId="38" fillId="0" borderId="0" applyFont="0" applyFill="0" applyBorder="0" applyAlignment="0" applyProtection="0"/>
    <xf numFmtId="0" fontId="38" fillId="4" borderId="0" applyNumberFormat="0" applyFont="0" applyBorder="0" applyAlignment="0" applyProtection="0"/>
    <xf numFmtId="166" fontId="36" fillId="3" borderId="0" applyFont="0" applyFill="0" applyBorder="0" applyAlignment="0" applyProtection="0">
      <alignment wrapText="1"/>
    </xf>
    <xf numFmtId="0" fontId="8" fillId="5" borderId="0" applyNumberFormat="0" applyFont="0" applyFill="0" applyBorder="0" applyAlignment="0" applyProtection="0"/>
    <xf numFmtId="0" fontId="6" fillId="0" borderId="0"/>
    <xf numFmtId="3" fontId="22" fillId="0" borderId="0"/>
    <xf numFmtId="3" fontId="22" fillId="0" borderId="0"/>
    <xf numFmtId="0" fontId="8" fillId="0" borderId="0"/>
    <xf numFmtId="43" fontId="8" fillId="0" borderId="0" applyFont="0" applyFill="0" applyBorder="0" applyAlignment="0" applyProtection="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2" fillId="0" borderId="0"/>
    <xf numFmtId="3" fontId="22" fillId="0" borderId="0"/>
    <xf numFmtId="0" fontId="76" fillId="0" borderId="30" applyNumberFormat="0" applyFill="0" applyAlignment="0" applyProtection="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alignment vertical="top"/>
      <protection locked="0"/>
    </xf>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0" fontId="78" fillId="0" borderId="0" applyBorder="0">
      <alignment horizontal="centerContinuous"/>
    </xf>
    <xf numFmtId="0" fontId="79" fillId="0" borderId="0" applyBorder="0">
      <alignment horizontal="centerContinuous"/>
    </xf>
    <xf numFmtId="0" fontId="80" fillId="39" borderId="0">
      <alignment horizontal="right"/>
    </xf>
    <xf numFmtId="0" fontId="79" fillId="39" borderId="7"/>
    <xf numFmtId="9" fontId="22" fillId="0" borderId="0" applyFont="0" applyFill="0" applyBorder="0" applyAlignment="0" applyProtection="0"/>
    <xf numFmtId="42" fontId="8" fillId="0" borderId="0" applyFont="0" applyFill="0" applyBorder="0" applyAlignment="0" applyProtection="0"/>
    <xf numFmtId="0" fontId="81" fillId="40" borderId="0">
      <alignment horizontal="left"/>
    </xf>
    <xf numFmtId="0" fontId="83" fillId="40" borderId="0">
      <alignment horizontal="right"/>
    </xf>
    <xf numFmtId="0" fontId="83" fillId="40" borderId="0">
      <alignment horizontal="center"/>
    </xf>
    <xf numFmtId="0" fontId="83" fillId="40" borderId="0">
      <alignment horizontal="right"/>
    </xf>
    <xf numFmtId="0" fontId="84" fillId="40" borderId="0">
      <alignment horizontal="left"/>
    </xf>
    <xf numFmtId="41"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1" fillId="40" borderId="0">
      <alignment horizontal="left"/>
    </xf>
    <xf numFmtId="0" fontId="81" fillId="40" borderId="0">
      <alignment horizontal="left"/>
    </xf>
    <xf numFmtId="44"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86" fillId="39"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1" fillId="40" borderId="0">
      <alignment horizontal="center"/>
    </xf>
    <xf numFmtId="49" fontId="87" fillId="40" borderId="0">
      <alignment horizontal="center"/>
    </xf>
    <xf numFmtId="0" fontId="83" fillId="40" borderId="0">
      <alignment horizontal="center"/>
    </xf>
    <xf numFmtId="0" fontId="83" fillId="40" borderId="0">
      <alignment horizontal="centerContinuous"/>
    </xf>
    <xf numFmtId="0" fontId="88" fillId="40" borderId="0">
      <alignment horizontal="left"/>
    </xf>
    <xf numFmtId="49" fontId="88" fillId="40" borderId="0">
      <alignment horizontal="center"/>
    </xf>
    <xf numFmtId="0" fontId="81" fillId="40" borderId="0">
      <alignment horizontal="left"/>
    </xf>
    <xf numFmtId="49" fontId="88" fillId="40" borderId="0">
      <alignment horizontal="left"/>
    </xf>
    <xf numFmtId="0" fontId="81" fillId="40" borderId="0">
      <alignment horizontal="centerContinuous"/>
    </xf>
    <xf numFmtId="0" fontId="81" fillId="40" borderId="0">
      <alignment horizontal="right"/>
    </xf>
    <xf numFmtId="49" fontId="81" fillId="40" borderId="0">
      <alignment horizontal="left"/>
    </xf>
    <xf numFmtId="0" fontId="83" fillId="40" borderId="0">
      <alignment horizontal="right"/>
    </xf>
    <xf numFmtId="0" fontId="88" fillId="41" borderId="0">
      <alignment horizontal="center"/>
    </xf>
    <xf numFmtId="0" fontId="57" fillId="41" borderId="0">
      <alignment horizontal="center"/>
    </xf>
    <xf numFmtId="0" fontId="89" fillId="40" borderId="0">
      <alignment horizontal="center"/>
    </xf>
    <xf numFmtId="0" fontId="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3" fillId="0" borderId="30" applyNumberFormat="0" applyFill="0" applyAlignment="0" applyProtection="0"/>
    <xf numFmtId="43" fontId="3" fillId="0" borderId="0" applyFont="0" applyFill="0" applyBorder="0" applyAlignment="0" applyProtection="0"/>
    <xf numFmtId="181" fontId="28" fillId="42" borderId="0" applyFont="0" applyFill="0" applyBorder="0" applyAlignment="0" applyProtection="0"/>
    <xf numFmtId="0" fontId="3" fillId="0" borderId="0"/>
    <xf numFmtId="0" fontId="22" fillId="0" borderId="0"/>
    <xf numFmtId="0" fontId="76" fillId="0" borderId="30"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 fillId="0" borderId="0"/>
    <xf numFmtId="0" fontId="82"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1"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1"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1"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1"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1"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1"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1"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31" fillId="52"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53" borderId="0" applyNumberFormat="0" applyBorder="0" applyAlignment="0" applyProtection="0"/>
    <xf numFmtId="0" fontId="90" fillId="5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90" fillId="50"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51" borderId="0" applyNumberFormat="0" applyBorder="0" applyAlignment="0" applyProtection="0"/>
    <xf numFmtId="0" fontId="90" fillId="5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90" fillId="55"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56" borderId="0" applyNumberFormat="0" applyBorder="0" applyAlignment="0" applyProtection="0"/>
    <xf numFmtId="0" fontId="90" fillId="5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57" borderId="0" applyNumberFormat="0" applyBorder="0" applyAlignment="0" applyProtection="0"/>
    <xf numFmtId="0" fontId="90" fillId="5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58" borderId="0" applyNumberFormat="0" applyBorder="0" applyAlignment="0" applyProtection="0"/>
    <xf numFmtId="0" fontId="90" fillId="58"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59" borderId="0" applyNumberFormat="0" applyBorder="0" applyAlignment="0" applyProtection="0"/>
    <xf numFmtId="0" fontId="90" fillId="59"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90" fillId="5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90" fillId="60" borderId="0" applyNumberFormat="0" applyBorder="0" applyAlignment="0" applyProtection="0"/>
    <xf numFmtId="185" fontId="91" fillId="61" borderId="0" applyNumberFormat="0" applyBorder="0" applyAlignment="0" applyProtection="0"/>
    <xf numFmtId="185" fontId="92" fillId="62" borderId="0" applyNumberFormat="0" applyBorder="0" applyAlignment="0" applyProtection="0"/>
    <xf numFmtId="185" fontId="92" fillId="6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93" fillId="9" borderId="0" applyNumberFormat="0" applyBorder="0" applyAlignment="0" applyProtection="0"/>
    <xf numFmtId="0" fontId="94" fillId="44" borderId="0" applyNumberFormat="0" applyBorder="0" applyAlignment="0" applyProtection="0"/>
    <xf numFmtId="0" fontId="28" fillId="0" borderId="0" applyFill="0" applyBorder="0" applyAlignment="0" applyProtection="0"/>
    <xf numFmtId="0" fontId="69" fillId="12" borderId="31" applyNumberFormat="0" applyAlignment="0" applyProtection="0"/>
    <xf numFmtId="0" fontId="69" fillId="12" borderId="31" applyNumberFormat="0" applyAlignment="0" applyProtection="0"/>
    <xf numFmtId="0" fontId="69" fillId="12" borderId="31" applyNumberFormat="0" applyAlignment="0" applyProtection="0"/>
    <xf numFmtId="0" fontId="69" fillId="63" borderId="31" applyNumberFormat="0" applyAlignment="0" applyProtection="0"/>
    <xf numFmtId="0" fontId="95" fillId="63" borderId="37" applyNumberFormat="0" applyAlignment="0" applyProtection="0"/>
    <xf numFmtId="0" fontId="50" fillId="0" borderId="0" applyFill="0" applyBorder="0" applyProtection="0">
      <alignment horizontal="center" vertical="center"/>
    </xf>
    <xf numFmtId="0" fontId="52" fillId="0" borderId="0" applyFill="0" applyBorder="0" applyProtection="0">
      <alignment horizontal="center"/>
      <protection locked="0"/>
    </xf>
    <xf numFmtId="0" fontId="50" fillId="0" borderId="0" applyFill="0" applyBorder="0" applyProtection="0">
      <alignment horizontal="center" vertical="center"/>
    </xf>
    <xf numFmtId="0" fontId="71" fillId="13" borderId="34" applyNumberFormat="0" applyAlignment="0" applyProtection="0"/>
    <xf numFmtId="0" fontId="71" fillId="13" borderId="34" applyNumberFormat="0" applyAlignment="0" applyProtection="0"/>
    <xf numFmtId="0" fontId="71" fillId="13" borderId="34" applyNumberFormat="0" applyAlignment="0" applyProtection="0"/>
    <xf numFmtId="0" fontId="96" fillId="64" borderId="38" applyNumberFormat="0" applyAlignment="0" applyProtection="0"/>
    <xf numFmtId="0" fontId="97" fillId="0" borderId="26">
      <alignment horizontal="center"/>
    </xf>
    <xf numFmtId="186" fontId="98" fillId="0" borderId="0" applyFont="0" applyFill="0" applyBorder="0" applyAlignment="0" applyProtection="0">
      <alignment horizontal="right"/>
    </xf>
    <xf numFmtId="187" fontId="10" fillId="0" borderId="0" applyFont="0" applyFill="0" applyBorder="0" applyAlignment="0" applyProtection="0"/>
    <xf numFmtId="188" fontId="99" fillId="0" borderId="0" applyFont="0" applyFill="0" applyBorder="0" applyAlignment="0" applyProtection="0"/>
    <xf numFmtId="189"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1" fillId="0" borderId="0" applyFont="0" applyFill="0" applyBorder="0" applyAlignment="0" applyProtection="0"/>
    <xf numFmtId="43" fontId="8"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0" fontId="10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0" fontId="103"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0"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1" fontId="10" fillId="0" borderId="0">
      <protection locked="0"/>
    </xf>
    <xf numFmtId="0" fontId="104" fillId="0" borderId="0" applyFill="0" applyBorder="0" applyAlignment="0" applyProtection="0"/>
    <xf numFmtId="0" fontId="105" fillId="0" borderId="0" applyFill="0" applyBorder="0" applyAlignment="0" applyProtection="0">
      <protection locked="0"/>
    </xf>
    <xf numFmtId="0" fontId="104" fillId="0" borderId="0" applyFill="0" applyBorder="0" applyAlignment="0" applyProtection="0"/>
    <xf numFmtId="192" fontId="99" fillId="0" borderId="0" applyFont="0" applyFill="0" applyBorder="0" applyAlignment="0" applyProtection="0"/>
    <xf numFmtId="193" fontId="99" fillId="0" borderId="0" applyFont="0" applyFill="0" applyBorder="0" applyAlignment="0" applyProtection="0"/>
    <xf numFmtId="194" fontId="9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01"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5" fontId="10" fillId="0" borderId="0">
      <protection locked="0"/>
    </xf>
    <xf numFmtId="184" fontId="106" fillId="0" borderId="0" applyFont="0" applyFill="0" applyBorder="0" applyAlignment="0" applyProtection="0"/>
    <xf numFmtId="185" fontId="107" fillId="0"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8" fillId="0" borderId="0" applyNumberFormat="0" applyFill="0" applyBorder="0" applyAlignment="0" applyProtection="0"/>
    <xf numFmtId="196" fontId="109" fillId="0" borderId="0"/>
    <xf numFmtId="197" fontId="109" fillId="0" borderId="0"/>
    <xf numFmtId="166" fontId="109" fillId="0" borderId="0"/>
    <xf numFmtId="197" fontId="109" fillId="0" borderId="0"/>
    <xf numFmtId="198" fontId="109" fillId="0" borderId="0"/>
    <xf numFmtId="198" fontId="109" fillId="0" borderId="0"/>
    <xf numFmtId="196" fontId="109" fillId="0" borderId="0"/>
    <xf numFmtId="199" fontId="109" fillId="0" borderId="0"/>
    <xf numFmtId="200" fontId="109" fillId="0" borderId="0"/>
    <xf numFmtId="201" fontId="109" fillId="0" borderId="0"/>
    <xf numFmtId="202" fontId="109" fillId="0" borderId="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10" fillId="45" borderId="0" applyNumberFormat="0" applyBorder="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111" fillId="0" borderId="39" applyNumberFormat="0" applyFill="0" applyAlignment="0" applyProtection="0"/>
    <xf numFmtId="0" fontId="112" fillId="0" borderId="3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62" fillId="0" borderId="29" applyNumberFormat="0" applyFill="0" applyAlignment="0" applyProtection="0"/>
    <xf numFmtId="0" fontId="113" fillId="0" borderId="29" applyNumberFormat="0" applyFill="0" applyAlignment="0" applyProtection="0"/>
    <xf numFmtId="0" fontId="114" fillId="0" borderId="4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115" fillId="0" borderId="41" applyNumberFormat="0" applyFill="0" applyAlignment="0" applyProtection="0"/>
    <xf numFmtId="0" fontId="116" fillId="0" borderId="41"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23" fillId="0" borderId="0" applyFill="0" applyAlignment="0" applyProtection="0"/>
    <xf numFmtId="0" fontId="52" fillId="0" borderId="0" applyFill="0" applyAlignment="0" applyProtection="0">
      <protection locked="0"/>
    </xf>
    <xf numFmtId="0" fontId="23" fillId="0" borderId="0" applyFill="0" applyAlignment="0" applyProtection="0"/>
    <xf numFmtId="0" fontId="23" fillId="0" borderId="10" applyFill="0" applyAlignment="0" applyProtection="0"/>
    <xf numFmtId="0" fontId="52" fillId="0" borderId="10" applyFill="0" applyAlignment="0" applyProtection="0">
      <protection locked="0"/>
    </xf>
    <xf numFmtId="0" fontId="23" fillId="0" borderId="10" applyFill="0" applyAlignment="0" applyProtection="0"/>
    <xf numFmtId="0" fontId="52" fillId="0" borderId="0" applyFill="0" applyAlignment="0" applyProtection="0"/>
    <xf numFmtId="185" fontId="117" fillId="39" borderId="0" applyNumberFormat="0" applyBorder="0" applyAlignment="0" applyProtection="0"/>
    <xf numFmtId="0" fontId="67" fillId="11" borderId="31" applyNumberFormat="0" applyAlignment="0" applyProtection="0"/>
    <xf numFmtId="0" fontId="67" fillId="11" borderId="31" applyNumberFormat="0" applyAlignment="0" applyProtection="0"/>
    <xf numFmtId="0" fontId="67" fillId="11" borderId="31" applyNumberFormat="0" applyAlignment="0" applyProtection="0"/>
    <xf numFmtId="0" fontId="118" fillId="48" borderId="37" applyNumberFormat="0" applyAlignment="0" applyProtection="0"/>
    <xf numFmtId="185" fontId="92" fillId="3" borderId="0" applyNumberFormat="0" applyBorder="0" applyAlignment="0" applyProtection="0"/>
    <xf numFmtId="185" fontId="92" fillId="3" borderId="0" applyNumberFormat="0" applyBorder="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119" fillId="0" borderId="42" applyNumberFormat="0" applyFill="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20" fillId="65" borderId="0" applyNumberFormat="0" applyBorder="0" applyAlignment="0" applyProtection="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185" fontId="22" fillId="0" borderId="0"/>
    <xf numFmtId="185" fontId="22" fillId="0" borderId="0"/>
    <xf numFmtId="185" fontId="22" fillId="0" borderId="0"/>
    <xf numFmtId="185"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183" fontId="22" fillId="0" borderId="0"/>
    <xf numFmtId="183" fontId="22" fillId="0" borderId="0"/>
    <xf numFmtId="183" fontId="22" fillId="0" borderId="0"/>
    <xf numFmtId="183" fontId="22"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00" fillId="0" borderId="0"/>
    <xf numFmtId="185" fontId="8" fillId="0" borderId="0"/>
    <xf numFmtId="0" fontId="100"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8" fillId="0" borderId="0"/>
    <xf numFmtId="0" fontId="3" fillId="0" borderId="0"/>
    <xf numFmtId="0" fontId="3" fillId="0" borderId="0"/>
    <xf numFmtId="185" fontId="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8" fillId="0" borderId="0"/>
    <xf numFmtId="0" fontId="8" fillId="0" borderId="0"/>
    <xf numFmtId="0" fontId="2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1" fillId="0" borderId="0"/>
    <xf numFmtId="0" fontId="8" fillId="0" borderId="0"/>
    <xf numFmtId="0" fontId="82" fillId="0" borderId="0">
      <alignment vertical="top"/>
    </xf>
    <xf numFmtId="0" fontId="8" fillId="0" borderId="0"/>
    <xf numFmtId="0" fontId="8" fillId="0" borderId="0"/>
    <xf numFmtId="185" fontId="8" fillId="0" borderId="0"/>
    <xf numFmtId="0" fontId="3" fillId="0" borderId="0"/>
    <xf numFmtId="0" fontId="3" fillId="0" borderId="0"/>
    <xf numFmtId="0" fontId="3" fillId="0" borderId="0"/>
    <xf numFmtId="185"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28" fillId="0" borderId="0"/>
    <xf numFmtId="0" fontId="8" fillId="0" borderId="0"/>
    <xf numFmtId="0" fontId="28" fillId="0" borderId="0"/>
    <xf numFmtId="185" fontId="22" fillId="0" borderId="0"/>
    <xf numFmtId="185" fontId="22" fillId="0" borderId="0"/>
    <xf numFmtId="185" fontId="22" fillId="0" borderId="0"/>
    <xf numFmtId="185" fontId="22"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183" fontId="22" fillId="0" borderId="0"/>
    <xf numFmtId="183" fontId="22" fillId="0" borderId="0"/>
    <xf numFmtId="183" fontId="22" fillId="0" borderId="0"/>
    <xf numFmtId="183"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3" fillId="0" borderId="0"/>
    <xf numFmtId="0" fontId="3" fillId="0" borderId="0"/>
    <xf numFmtId="183" fontId="8" fillId="0" borderId="0"/>
    <xf numFmtId="0" fontId="82" fillId="0" borderId="0">
      <alignment vertical="top"/>
    </xf>
    <xf numFmtId="0" fontId="82" fillId="0" borderId="0">
      <alignment vertical="top"/>
    </xf>
    <xf numFmtId="0" fontId="22" fillId="0" borderId="0"/>
    <xf numFmtId="0" fontId="3" fillId="0" borderId="0"/>
    <xf numFmtId="0" fontId="22" fillId="0" borderId="0"/>
    <xf numFmtId="0" fontId="22" fillId="0" borderId="0"/>
    <xf numFmtId="0" fontId="22" fillId="0" borderId="0"/>
    <xf numFmtId="185" fontId="22" fillId="0" borderId="0"/>
    <xf numFmtId="185" fontId="22" fillId="0" borderId="0"/>
    <xf numFmtId="0" fontId="82" fillId="0" borderId="0">
      <alignment vertical="top"/>
    </xf>
    <xf numFmtId="185" fontId="22" fillId="0" borderId="0"/>
    <xf numFmtId="185" fontId="22" fillId="0" borderId="0"/>
    <xf numFmtId="0" fontId="8" fillId="0" borderId="0"/>
    <xf numFmtId="0" fontId="3" fillId="0" borderId="0"/>
    <xf numFmtId="0" fontId="22" fillId="0" borderId="0"/>
    <xf numFmtId="0" fontId="82" fillId="0" borderId="0">
      <alignment vertical="top"/>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5"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5" fontId="22" fillId="0" borderId="0"/>
    <xf numFmtId="185" fontId="22" fillId="0" borderId="0"/>
    <xf numFmtId="185" fontId="2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1" fillId="14" borderId="35" applyNumberFormat="0" applyFont="0" applyAlignment="0" applyProtection="0"/>
    <xf numFmtId="0" fontId="8" fillId="66" borderId="43" applyNumberFormat="0" applyFont="0" applyAlignment="0" applyProtection="0"/>
    <xf numFmtId="0" fontId="3" fillId="14" borderId="35" applyNumberFormat="0" applyFont="0" applyAlignment="0" applyProtection="0"/>
    <xf numFmtId="0" fontId="68" fillId="12" borderId="32" applyNumberFormat="0" applyAlignment="0" applyProtection="0"/>
    <xf numFmtId="0" fontId="68" fillId="12" borderId="32" applyNumberFormat="0" applyAlignment="0" applyProtection="0"/>
    <xf numFmtId="0" fontId="68" fillId="12" borderId="32" applyNumberFormat="0" applyAlignment="0" applyProtection="0"/>
    <xf numFmtId="0" fontId="68" fillId="63" borderId="32" applyNumberFormat="0" applyAlignment="0" applyProtection="0"/>
    <xf numFmtId="0" fontId="122" fillId="63" borderId="44" applyNumberFormat="0" applyAlignment="0" applyProtection="0"/>
    <xf numFmtId="185" fontId="8" fillId="42" borderId="0" applyNumberFormat="0" applyBorder="0" applyAlignment="0" applyProtection="0"/>
    <xf numFmtId="185" fontId="8" fillId="42" borderId="0" applyNumberFormat="0" applyBorder="0" applyAlignment="0" applyProtection="0"/>
    <xf numFmtId="203" fontId="99" fillId="0" borderId="0" applyFont="0" applyFill="0" applyBorder="0" applyAlignment="0" applyProtection="0"/>
    <xf numFmtId="204" fontId="10" fillId="0" borderId="0" applyFont="0" applyFill="0" applyBorder="0" applyAlignment="0" applyProtection="0"/>
    <xf numFmtId="205" fontId="99" fillId="0" borderId="0" applyFont="0" applyFill="0" applyBorder="0" applyAlignment="0" applyProtection="0"/>
    <xf numFmtId="206" fontId="10" fillId="0" borderId="0" applyFont="0" applyFill="0" applyBorder="0" applyAlignment="0" applyProtection="0"/>
    <xf numFmtId="207" fontId="99" fillId="0" borderId="0" applyFont="0" applyFill="0" applyBorder="0" applyAlignment="0" applyProtection="0"/>
    <xf numFmtId="208" fontId="10" fillId="0" borderId="0" applyFont="0" applyFill="0" applyBorder="0" applyAlignment="0" applyProtection="0"/>
    <xf numFmtId="209" fontId="99" fillId="0" borderId="0" applyFont="0" applyFill="0" applyBorder="0" applyAlignment="0" applyProtection="0"/>
    <xf numFmtId="210" fontId="10" fillId="0" borderId="0" applyFont="0" applyFill="0" applyBorder="0" applyAlignment="0" applyProtection="0"/>
    <xf numFmtId="211" fontId="10" fillId="0" borderId="0" applyFont="0" applyFill="0" applyBorder="0" applyAlignment="0" applyProtection="0"/>
    <xf numFmtId="212"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10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91" fillId="61" borderId="0" applyNumberFormat="0" applyBorder="0" applyAlignment="0" applyProtection="0"/>
    <xf numFmtId="0" fontId="123" fillId="0" borderId="0">
      <alignment horizontal="right"/>
    </xf>
    <xf numFmtId="0" fontId="124" fillId="0" borderId="0">
      <alignment horizontal="right"/>
    </xf>
    <xf numFmtId="0" fontId="109" fillId="0" borderId="0"/>
    <xf numFmtId="0" fontId="125" fillId="0" borderId="0" applyNumberFormat="0" applyBorder="0" applyAlignment="0"/>
    <xf numFmtId="0" fontId="125" fillId="0" borderId="0" applyNumberFormat="0" applyBorder="0" applyAlignment="0"/>
    <xf numFmtId="0" fontId="82" fillId="0" borderId="0" applyNumberFormat="0" applyBorder="0" applyAlignment="0"/>
    <xf numFmtId="185" fontId="82" fillId="0" borderId="0" applyNumberFormat="0" applyBorder="0" applyAlignment="0"/>
    <xf numFmtId="0" fontId="109" fillId="0" borderId="0"/>
    <xf numFmtId="185" fontId="82" fillId="0" borderId="0" applyNumberFormat="0" applyBorder="0" applyAlignment="0"/>
    <xf numFmtId="0" fontId="126" fillId="0" borderId="0"/>
    <xf numFmtId="0" fontId="127" fillId="0" borderId="0" applyNumberFormat="0" applyBorder="0" applyAlignment="0"/>
    <xf numFmtId="0" fontId="127" fillId="0" borderId="0" applyNumberFormat="0" applyBorder="0" applyAlignment="0"/>
    <xf numFmtId="0" fontId="126" fillId="0" borderId="0"/>
    <xf numFmtId="0" fontId="128" fillId="0" borderId="0"/>
    <xf numFmtId="185" fontId="129" fillId="0" borderId="0"/>
    <xf numFmtId="0" fontId="130" fillId="0" borderId="0"/>
    <xf numFmtId="0" fontId="131" fillId="0" borderId="0" applyNumberFormat="0" applyBorder="0" applyAlignment="0"/>
    <xf numFmtId="0" fontId="131" fillId="0" borderId="0" applyNumberFormat="0" applyBorder="0" applyAlignment="0"/>
    <xf numFmtId="0" fontId="130" fillId="0" borderId="0"/>
    <xf numFmtId="0" fontId="132" fillId="0" borderId="0" applyNumberFormat="0" applyBorder="0" applyAlignment="0"/>
    <xf numFmtId="0" fontId="133" fillId="0" borderId="0"/>
    <xf numFmtId="185" fontId="134" fillId="0" borderId="0"/>
    <xf numFmtId="0" fontId="135" fillId="0" borderId="0"/>
    <xf numFmtId="0" fontId="131" fillId="67" borderId="0" applyNumberFormat="0" applyBorder="0" applyAlignment="0"/>
    <xf numFmtId="0" fontId="136" fillId="0" borderId="0"/>
    <xf numFmtId="0" fontId="137" fillId="0" borderId="0"/>
    <xf numFmtId="0" fontId="138" fillId="0" borderId="0"/>
    <xf numFmtId="0" fontId="137" fillId="68" borderId="0"/>
    <xf numFmtId="0" fontId="60" fillId="0" borderId="0" applyNumberFormat="0" applyFill="0" applyBorder="0" applyAlignment="0" applyProtection="0"/>
    <xf numFmtId="0" fontId="139" fillId="69" borderId="45" applyNumberFormat="0">
      <alignment horizontal="left"/>
    </xf>
    <xf numFmtId="0" fontId="60" fillId="0" borderId="0" applyNumberFormat="0" applyFill="0" applyBorder="0" applyAlignment="0" applyProtection="0"/>
    <xf numFmtId="0" fontId="6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39" fillId="69" borderId="46">
      <alignment horizontal="left"/>
    </xf>
    <xf numFmtId="0" fontId="74" fillId="0" borderId="36" applyNumberFormat="0" applyFill="0" applyAlignment="0" applyProtection="0"/>
    <xf numFmtId="0" fontId="74" fillId="0" borderId="36" applyNumberFormat="0" applyFill="0" applyAlignment="0" applyProtection="0"/>
    <xf numFmtId="0" fontId="74" fillId="0" borderId="36" applyNumberFormat="0" applyFill="0" applyAlignment="0" applyProtection="0"/>
    <xf numFmtId="0" fontId="74" fillId="0" borderId="47" applyNumberFormat="0" applyFill="0" applyAlignment="0" applyProtection="0"/>
    <xf numFmtId="0" fontId="142" fillId="0" borderId="47"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3" fillId="0" borderId="0" applyNumberFormat="0" applyFill="0" applyBorder="0" applyAlignment="0" applyProtection="0"/>
    <xf numFmtId="185" fontId="23" fillId="70" borderId="0" applyNumberFormat="0" applyBorder="0" applyAlignment="0" applyProtection="0"/>
    <xf numFmtId="213"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7" fontId="10" fillId="0" borderId="0" applyFont="0" applyFill="0" applyBorder="0" applyAlignment="0" applyProtection="0"/>
    <xf numFmtId="218"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28" fillId="0" borderId="0" applyFont="0" applyFill="0" applyBorder="0" applyAlignment="0" applyProtection="0">
      <alignment horizontal="right"/>
    </xf>
    <xf numFmtId="3" fontId="22" fillId="0" borderId="0"/>
    <xf numFmtId="0" fontId="76" fillId="0" borderId="30" applyNumberFormat="0" applyFill="0" applyAlignment="0" applyProtection="0"/>
    <xf numFmtId="3" fontId="22" fillId="0" borderId="0"/>
    <xf numFmtId="3" fontId="22" fillId="0" borderId="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6" fillId="0" borderId="30"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6" fillId="0" borderId="30" applyNumberFormat="0" applyFill="0" applyAlignment="0" applyProtection="0"/>
    <xf numFmtId="0" fontId="22"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22" fillId="63" borderId="44" applyNumberFormat="0" applyAlignment="0" applyProtection="0"/>
    <xf numFmtId="0" fontId="95" fillId="63" borderId="37" applyNumberFormat="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95" fillId="63" borderId="37" applyNumberFormat="0" applyAlignment="0" applyProtection="0"/>
    <xf numFmtId="43" fontId="22" fillId="0" borderId="0" applyFont="0" applyFill="0" applyBorder="0" applyAlignment="0" applyProtection="0"/>
    <xf numFmtId="0" fontId="8" fillId="66" borderId="43" applyNumberFormat="0" applyFont="0" applyAlignment="0" applyProtection="0"/>
    <xf numFmtId="9" fontId="22" fillId="0" borderId="0" applyFont="0" applyFill="0" applyBorder="0" applyAlignment="0" applyProtection="0"/>
    <xf numFmtId="0" fontId="142" fillId="0" borderId="47" applyNumberFormat="0" applyFill="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142" fillId="0" borderId="47"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0" fontId="95" fillId="63" borderId="37"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7" applyNumberFormat="0" applyAlignment="0" applyProtection="0"/>
    <xf numFmtId="0" fontId="118" fillId="48" borderId="37" applyNumberFormat="0" applyAlignment="0" applyProtection="0"/>
    <xf numFmtId="0" fontId="118" fillId="48" borderId="37" applyNumberFormat="0" applyAlignment="0" applyProtection="0"/>
    <xf numFmtId="0" fontId="8" fillId="66" borderId="43" applyNumberFormat="0" applyFont="0" applyAlignment="0" applyProtection="0"/>
    <xf numFmtId="0" fontId="74" fillId="0" borderId="47"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8" fillId="66" borderId="43" applyNumberFormat="0" applyFont="0" applyAlignment="0" applyProtection="0"/>
    <xf numFmtId="0" fontId="122" fillId="63" borderId="44" applyNumberFormat="0" applyAlignment="0" applyProtection="0"/>
    <xf numFmtId="44" fontId="22" fillId="0" borderId="0" applyFont="0" applyFill="0" applyBorder="0" applyAlignment="0" applyProtection="0"/>
    <xf numFmtId="0" fontId="74" fillId="0" borderId="47"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0" fontId="142" fillId="0" borderId="47" applyNumberFormat="0" applyFill="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8" fillId="66" borderId="43" applyNumberFormat="0" applyFont="0" applyAlignment="0" applyProtection="0"/>
    <xf numFmtId="0" fontId="122" fillId="63" borderId="44" applyNumberFormat="0" applyAlignment="0" applyProtection="0"/>
    <xf numFmtId="0" fontId="95" fillId="63" borderId="37" applyNumberFormat="0" applyAlignment="0" applyProtection="0"/>
    <xf numFmtId="9" fontId="22" fillId="0" borderId="0" applyFont="0" applyFill="0" applyBorder="0" applyAlignment="0" applyProtection="0"/>
    <xf numFmtId="0" fontId="122" fillId="63" borderId="44" applyNumberFormat="0" applyAlignment="0" applyProtection="0"/>
    <xf numFmtId="0" fontId="74" fillId="0" borderId="47"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74" fillId="0" borderId="47" applyNumberFormat="0" applyFill="0" applyAlignment="0" applyProtection="0"/>
    <xf numFmtId="0" fontId="142" fillId="0" borderId="47"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7" applyNumberFormat="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7" applyNumberFormat="0" applyFill="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66" borderId="43" applyNumberFormat="0" applyFont="0" applyAlignment="0" applyProtection="0"/>
    <xf numFmtId="0" fontId="122" fillId="63" borderId="44"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2" fillId="0" borderId="47"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63" borderId="37" applyNumberFormat="0" applyAlignment="0" applyProtection="0"/>
    <xf numFmtId="0" fontId="142" fillId="0" borderId="47" applyNumberFormat="0" applyFill="0" applyAlignment="0" applyProtection="0"/>
    <xf numFmtId="0" fontId="142" fillId="0" borderId="47" applyNumberFormat="0" applyFill="0" applyAlignment="0" applyProtection="0"/>
    <xf numFmtId="0" fontId="95" fillId="63" borderId="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7"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3" applyNumberFormat="0" applyFont="0" applyAlignment="0" applyProtection="0"/>
    <xf numFmtId="0" fontId="95" fillId="63" borderId="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7"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2" fillId="0" borderId="47"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 fillId="66" borderId="4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7" applyNumberFormat="0" applyFill="0" applyAlignment="0" applyProtection="0"/>
    <xf numFmtId="0" fontId="122" fillId="63" borderId="44" applyNumberFormat="0" applyAlignment="0" applyProtection="0"/>
    <xf numFmtId="0" fontId="122" fillId="63" borderId="44" applyNumberFormat="0" applyAlignment="0" applyProtection="0"/>
    <xf numFmtId="0" fontId="142" fillId="0" borderId="47" applyNumberFormat="0" applyFill="0" applyAlignment="0" applyProtection="0"/>
    <xf numFmtId="0" fontId="74" fillId="0" borderId="47" applyNumberFormat="0" applyFill="0" applyAlignment="0" applyProtection="0"/>
    <xf numFmtId="0" fontId="122" fillId="63" borderId="44" applyNumberFormat="0" applyAlignment="0" applyProtection="0"/>
    <xf numFmtId="0" fontId="118" fillId="48" borderId="37" applyNumberFormat="0" applyAlignment="0" applyProtection="0"/>
    <xf numFmtId="0" fontId="118" fillId="48" borderId="37" applyNumberFormat="0" applyAlignment="0" applyProtection="0"/>
    <xf numFmtId="0" fontId="95" fillId="63" borderId="37" applyNumberFormat="0" applyAlignment="0" applyProtection="0"/>
    <xf numFmtId="0" fontId="122" fillId="63" borderId="44" applyNumberFormat="0" applyAlignment="0" applyProtection="0"/>
    <xf numFmtId="0" fontId="118" fillId="48" borderId="37" applyNumberFormat="0" applyAlignment="0" applyProtection="0"/>
    <xf numFmtId="0" fontId="95" fillId="63" borderId="37" applyNumberFormat="0" applyAlignment="0" applyProtection="0"/>
    <xf numFmtId="0" fontId="3" fillId="0" borderId="0"/>
    <xf numFmtId="0" fontId="22" fillId="0" borderId="0"/>
    <xf numFmtId="0" fontId="76" fillId="0" borderId="30"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39" fontId="144" fillId="0" borderId="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0" fontId="145" fillId="0" borderId="0"/>
    <xf numFmtId="44" fontId="145" fillId="0" borderId="0" applyFont="0" applyFill="0" applyBorder="0" applyAlignment="0" applyProtection="0"/>
    <xf numFmtId="43" fontId="145" fillId="0" borderId="0" applyFont="0" applyFill="0" applyBorder="0" applyAlignment="0" applyProtection="0"/>
    <xf numFmtId="43" fontId="3"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2" fontId="45" fillId="0" borderId="0" applyFont="0" applyFill="0" applyBorder="0" applyAlignment="0" applyProtection="0"/>
    <xf numFmtId="0"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3" fillId="0" borderId="0"/>
    <xf numFmtId="10" fontId="45"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0" fontId="9"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43"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0" fontId="22" fillId="0" borderId="0"/>
    <xf numFmtId="9" fontId="22"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3" fontId="3" fillId="0" borderId="0" applyFont="0" applyFill="0" applyBorder="0" applyAlignment="0" applyProtection="0"/>
    <xf numFmtId="44" fontId="145" fillId="0" borderId="0" applyFont="0" applyFill="0" applyBorder="0" applyAlignment="0" applyProtection="0"/>
    <xf numFmtId="9" fontId="145" fillId="0" borderId="0" applyFont="0" applyFill="0" applyBorder="0" applyAlignment="0" applyProtection="0"/>
    <xf numFmtId="43" fontId="3" fillId="0" borderId="0" applyFont="0" applyFill="0" applyBorder="0" applyAlignment="0" applyProtection="0"/>
    <xf numFmtId="0" fontId="3" fillId="0" borderId="0"/>
    <xf numFmtId="0" fontId="22" fillId="0" borderId="0"/>
    <xf numFmtId="0" fontId="76" fillId="0" borderId="30"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1" fillId="0" borderId="28" applyNumberFormat="0" applyFill="0" applyAlignment="0" applyProtection="0"/>
    <xf numFmtId="0" fontId="62" fillId="0" borderId="29" applyNumberFormat="0" applyFill="0" applyAlignment="0" applyProtection="0"/>
    <xf numFmtId="0" fontId="63" fillId="0" borderId="30"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31" applyNumberFormat="0" applyAlignment="0" applyProtection="0"/>
    <xf numFmtId="0" fontId="68" fillId="12" borderId="32" applyNumberFormat="0" applyAlignment="0" applyProtection="0"/>
    <xf numFmtId="0" fontId="69" fillId="12" borderId="31" applyNumberFormat="0" applyAlignment="0" applyProtection="0"/>
    <xf numFmtId="0" fontId="70" fillId="0" borderId="33" applyNumberFormat="0" applyFill="0" applyAlignment="0" applyProtection="0"/>
    <xf numFmtId="0" fontId="71" fillId="13" borderId="34"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6" applyNumberFormat="0" applyFill="0" applyAlignment="0" applyProtection="0"/>
    <xf numFmtId="0" fontId="7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7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03" fillId="0" borderId="0" applyFont="0" applyFill="0" applyBorder="0" applyAlignment="0" applyProtection="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8" fillId="0" borderId="0"/>
    <xf numFmtId="9" fontId="28" fillId="0" borderId="0" applyFont="0" applyFill="0" applyBorder="0" applyAlignment="0" applyProtection="0"/>
    <xf numFmtId="0" fontId="36" fillId="0" borderId="0"/>
    <xf numFmtId="0" fontId="28" fillId="0" borderId="0"/>
    <xf numFmtId="0" fontId="36" fillId="0" borderId="0"/>
    <xf numFmtId="0" fontId="8" fillId="0" borderId="0"/>
    <xf numFmtId="0" fontId="148" fillId="0" borderId="0"/>
    <xf numFmtId="0" fontId="8" fillId="0" borderId="0"/>
    <xf numFmtId="9" fontId="36"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49" fillId="0" borderId="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3" fontId="8" fillId="71" borderId="0" applyFont="0" applyFill="0" applyBorder="0" applyAlignment="0" applyProtection="0"/>
    <xf numFmtId="5" fontId="8" fillId="71" borderId="0" applyFont="0" applyFill="0" applyBorder="0" applyAlignment="0" applyProtection="0"/>
    <xf numFmtId="0" fontId="8" fillId="71" borderId="0" applyFont="0" applyFill="0" applyBorder="0" applyAlignment="0" applyProtection="0"/>
    <xf numFmtId="2" fontId="8" fillId="71" borderId="0" applyFont="0" applyFill="0" applyBorder="0" applyAlignment="0" applyProtection="0"/>
    <xf numFmtId="41" fontId="150" fillId="3" borderId="52">
      <alignment horizontal="left"/>
      <protection locked="0"/>
    </xf>
    <xf numFmtId="0" fontId="28" fillId="0" borderId="0"/>
    <xf numFmtId="44" fontId="28"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2" fillId="0" borderId="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28" fillId="0" borderId="0" applyFont="0" applyFill="0" applyBorder="0" applyAlignment="0" applyProtection="0"/>
    <xf numFmtId="0" fontId="9" fillId="0" borderId="0"/>
    <xf numFmtId="9" fontId="28"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8" fillId="0" borderId="0"/>
    <xf numFmtId="9"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2" fillId="0" borderId="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9" fontId="22"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8" fillId="0" borderId="0"/>
    <xf numFmtId="44" fontId="28" fillId="0" borderId="0" applyFont="0" applyFill="0" applyBorder="0" applyAlignment="0" applyProtection="0"/>
    <xf numFmtId="0" fontId="22" fillId="0" borderId="0"/>
    <xf numFmtId="9" fontId="9" fillId="0" borderId="0" applyFont="0" applyFill="0" applyBorder="0" applyAlignment="0" applyProtection="0"/>
    <xf numFmtId="0" fontId="9"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2" fillId="0" borderId="0"/>
    <xf numFmtId="0" fontId="22" fillId="0" borderId="0"/>
    <xf numFmtId="0" fontId="2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 fillId="0" borderId="0"/>
    <xf numFmtId="9"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9" fillId="0" borderId="0"/>
    <xf numFmtId="43" fontId="28" fillId="0" borderId="0" applyFont="0" applyFill="0" applyBorder="0" applyAlignment="0" applyProtection="0"/>
    <xf numFmtId="0" fontId="28" fillId="0" borderId="0"/>
    <xf numFmtId="43" fontId="9"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8"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0" fontId="22" fillId="0" borderId="0"/>
    <xf numFmtId="43"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9" fontId="22" fillId="0" borderId="0" applyFont="0" applyFill="0" applyBorder="0" applyAlignment="0" applyProtection="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0" fontId="22"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0" borderId="0"/>
    <xf numFmtId="43" fontId="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8" fillId="0" borderId="0" applyFont="0" applyFill="0" applyBorder="0" applyAlignment="0" applyProtection="0"/>
    <xf numFmtId="0" fontId="9" fillId="0" borderId="0"/>
    <xf numFmtId="0" fontId="2" fillId="32" borderId="0" applyNumberFormat="0" applyBorder="0" applyAlignment="0" applyProtection="0"/>
    <xf numFmtId="0" fontId="2" fillId="33" borderId="0" applyNumberFormat="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2"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9" fontId="8"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9" fillId="0" borderId="0"/>
    <xf numFmtId="0" fontId="22" fillId="0" borderId="0"/>
    <xf numFmtId="0" fontId="2" fillId="16" borderId="0" applyNumberFormat="0" applyBorder="0" applyAlignment="0" applyProtection="0"/>
    <xf numFmtId="0" fontId="2" fillId="17" borderId="0" applyNumberFormat="0" applyBorder="0" applyAlignment="0" applyProtection="0"/>
    <xf numFmtId="9"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0" fontId="28" fillId="0" borderId="0"/>
    <xf numFmtId="0" fontId="2" fillId="32" borderId="0" applyNumberFormat="0" applyBorder="0" applyAlignment="0" applyProtection="0"/>
    <xf numFmtId="0" fontId="2" fillId="33" borderId="0" applyNumberFormat="0" applyBorder="0" applyAlignment="0" applyProtection="0"/>
    <xf numFmtId="0" fontId="9"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0" fontId="2" fillId="16" borderId="0" applyNumberFormat="0" applyBorder="0" applyAlignment="0" applyProtection="0"/>
    <xf numFmtId="0" fontId="2" fillId="17" borderId="0" applyNumberFormat="0" applyBorder="0" applyAlignment="0" applyProtection="0"/>
    <xf numFmtId="43"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0" fontId="9" fillId="0" borderId="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8" fillId="0" borderId="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9" fontId="9" fillId="0" borderId="0" applyFont="0" applyFill="0" applyBorder="0" applyAlignment="0" applyProtection="0"/>
    <xf numFmtId="9"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2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xf numFmtId="44" fontId="28"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0" borderId="0"/>
    <xf numFmtId="44" fontId="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0" borderId="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9" fillId="0" borderId="0" applyFont="0" applyFill="0" applyBorder="0" applyAlignment="0" applyProtection="0"/>
    <xf numFmtId="0" fontId="28" fillId="0" borderId="0"/>
    <xf numFmtId="0" fontId="2" fillId="32" borderId="0" applyNumberFormat="0" applyBorder="0" applyAlignment="0" applyProtection="0"/>
    <xf numFmtId="0" fontId="2" fillId="33"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9" fontId="8"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51" fillId="0" borderId="0"/>
    <xf numFmtId="44" fontId="8" fillId="0" borderId="0" applyFont="0" applyFill="0" applyBorder="0" applyAlignment="0" applyProtection="0"/>
    <xf numFmtId="0" fontId="2" fillId="3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lignment readingOrder="1"/>
    </xf>
    <xf numFmtId="43" fontId="8" fillId="0" borderId="0" applyFont="0" applyFill="0" applyBorder="0" applyAlignment="0" applyProtection="0"/>
    <xf numFmtId="43" fontId="8" fillId="0" borderId="0" applyFont="0" applyFill="0" applyBorder="0" applyAlignment="0" applyProtection="0"/>
    <xf numFmtId="3" fontId="22"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2" fillId="0" borderId="0"/>
    <xf numFmtId="3" fontId="2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0" fontId="2" fillId="21" borderId="0" applyNumberFormat="0" applyBorder="0" applyAlignment="0" applyProtection="0"/>
    <xf numFmtId="44" fontId="2"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82"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31"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31"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31"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1"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1"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31"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1"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31"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1"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31" fillId="52" borderId="0" applyNumberFormat="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190" fontId="10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182"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4" fontId="106" fillId="0" borderId="0" applyFont="0" applyFill="0" applyBorder="0" applyAlignment="0" applyProtection="0"/>
    <xf numFmtId="185" fontId="22" fillId="0" borderId="0"/>
    <xf numFmtId="185"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2" fillId="0" borderId="0"/>
    <xf numFmtId="185"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8" fillId="0" borderId="0"/>
    <xf numFmtId="185"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5" fontId="22" fillId="0" borderId="0"/>
    <xf numFmtId="185" fontId="22" fillId="0" borderId="0"/>
    <xf numFmtId="0" fontId="10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185" fontId="22" fillId="0" borderId="0"/>
    <xf numFmtId="185" fontId="22" fillId="0" borderId="0"/>
    <xf numFmtId="185" fontId="22" fillId="0" borderId="0"/>
    <xf numFmtId="185" fontId="2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 fontId="22" fillId="0" borderId="0"/>
    <xf numFmtId="3" fontId="22" fillId="0" borderId="0"/>
    <xf numFmtId="3" fontId="22" fillId="0" borderId="0"/>
    <xf numFmtId="43" fontId="11"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2"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2" fillId="0" borderId="0"/>
    <xf numFmtId="10" fontId="45"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0" fontId="2" fillId="14" borderId="3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 fillId="36"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4" borderId="35" applyNumberFormat="0" applyFont="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4" borderId="35" applyNumberFormat="0" applyFont="0" applyAlignment="0" applyProtection="0"/>
    <xf numFmtId="0" fontId="2" fillId="29"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25"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14" borderId="35" applyNumberFormat="0" applyFont="0" applyAlignment="0" applyProtection="0"/>
    <xf numFmtId="43" fontId="2" fillId="0" borderId="0" applyFont="0" applyFill="0" applyBorder="0" applyAlignment="0" applyProtection="0"/>
    <xf numFmtId="0" fontId="2" fillId="14" borderId="35" applyNumberFormat="0" applyFont="0" applyAlignment="0" applyProtection="0"/>
    <xf numFmtId="0" fontId="2" fillId="24"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0" borderId="0"/>
    <xf numFmtId="0" fontId="2" fillId="29"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6"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0" borderId="0"/>
    <xf numFmtId="0" fontId="2" fillId="36" borderId="0" applyNumberFormat="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14" borderId="35" applyNumberFormat="0" applyFont="0" applyAlignment="0" applyProtection="0"/>
    <xf numFmtId="43" fontId="2" fillId="0" borderId="0" applyFont="0" applyFill="0" applyBorder="0" applyAlignment="0" applyProtection="0"/>
    <xf numFmtId="0" fontId="2"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4" borderId="35" applyNumberFormat="0" applyFont="0" applyAlignment="0" applyProtection="0"/>
    <xf numFmtId="0" fontId="2" fillId="25"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2" fillId="0" borderId="0" applyFont="0" applyFill="0" applyBorder="0" applyAlignment="0" applyProtection="0"/>
    <xf numFmtId="0" fontId="2" fillId="14" borderId="35" applyNumberFormat="0" applyFont="0" applyAlignment="0" applyProtection="0"/>
    <xf numFmtId="0" fontId="2" fillId="0" borderId="0"/>
    <xf numFmtId="0" fontId="2" fillId="36" borderId="0" applyNumberFormat="0" applyBorder="0" applyAlignment="0" applyProtection="0"/>
    <xf numFmtId="0" fontId="2" fillId="16" borderId="0" applyNumberFormat="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0" fontId="2" fillId="2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7" borderId="0" applyNumberFormat="0" applyBorder="0" applyAlignment="0" applyProtection="0"/>
    <xf numFmtId="0" fontId="2" fillId="0" borderId="0"/>
    <xf numFmtId="0" fontId="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0" borderId="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4"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0" borderId="0"/>
    <xf numFmtId="0" fontId="2" fillId="3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14" borderId="35" applyNumberFormat="0" applyFont="0" applyAlignment="0" applyProtection="0"/>
    <xf numFmtId="0" fontId="2" fillId="32" borderId="0" applyNumberFormat="0" applyBorder="0" applyAlignment="0" applyProtection="0"/>
    <xf numFmtId="0" fontId="2" fillId="2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0" borderId="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03" fillId="0" borderId="0" applyFont="0" applyFill="0" applyBorder="0" applyAlignment="0" applyProtection="0"/>
    <xf numFmtId="0" fontId="8" fillId="0" borderId="0"/>
    <xf numFmtId="0" fontId="8" fillId="0" borderId="0"/>
    <xf numFmtId="43" fontId="1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8"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0" fontId="153" fillId="0" borderId="0" applyNumberFormat="0" applyFill="0" applyBorder="0" applyAlignment="0" applyProtection="0">
      <alignment vertical="top"/>
      <protection locked="0"/>
    </xf>
    <xf numFmtId="0" fontId="149" fillId="0" borderId="0"/>
    <xf numFmtId="0" fontId="8" fillId="0" borderId="0"/>
    <xf numFmtId="0" fontId="2" fillId="0" borderId="0"/>
    <xf numFmtId="0" fontId="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2" fillId="0" borderId="0"/>
    <xf numFmtId="0" fontId="2" fillId="0" borderId="0"/>
    <xf numFmtId="0" fontId="8" fillId="0" borderId="0"/>
    <xf numFmtId="0" fontId="8" fillId="0" borderId="0"/>
    <xf numFmtId="43" fontId="103" fillId="0" borderId="0" applyFont="0" applyFill="0" applyBorder="0" applyAlignment="0" applyProtection="0"/>
    <xf numFmtId="0" fontId="8"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2" fillId="0" borderId="0"/>
    <xf numFmtId="0" fontId="82" fillId="0" borderId="0"/>
    <xf numFmtId="0" fontId="82" fillId="0" borderId="0"/>
    <xf numFmtId="0" fontId="8" fillId="0" borderId="0"/>
    <xf numFmtId="0" fontId="8" fillId="0" borderId="0"/>
    <xf numFmtId="0" fontId="82" fillId="0" borderId="0"/>
    <xf numFmtId="0" fontId="8" fillId="0" borderId="0"/>
    <xf numFmtId="0" fontId="152" fillId="0" borderId="0"/>
    <xf numFmtId="0" fontId="152" fillId="0" borderId="0"/>
    <xf numFmtId="0" fontId="152" fillId="0" borderId="0"/>
    <xf numFmtId="0" fontId="152" fillId="0" borderId="0"/>
    <xf numFmtId="0" fontId="1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8"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224" fontId="147" fillId="40" borderId="0" applyBorder="0">
      <alignment horizontal="right"/>
    </xf>
    <xf numFmtId="0" fontId="154" fillId="72" borderId="0" applyBorder="0"/>
    <xf numFmtId="9" fontId="152" fillId="0" borderId="0" applyFont="0" applyFill="0" applyBorder="0" applyAlignment="0" applyProtection="0"/>
    <xf numFmtId="9" fontId="1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4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82" fillId="0" borderId="0" applyFont="0" applyFill="0" applyBorder="0" applyAlignment="0" applyProtection="0"/>
    <xf numFmtId="0" fontId="1" fillId="0" borderId="0"/>
    <xf numFmtId="0" fontId="22"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1" fillId="0" borderId="0"/>
    <xf numFmtId="43" fontId="1" fillId="0" borderId="0" applyFont="0" applyFill="0" applyBorder="0" applyAlignment="0" applyProtection="0"/>
  </cellStyleXfs>
  <cellXfs count="604">
    <xf numFmtId="0" fontId="0" fillId="0" borderId="0" xfId="0"/>
    <xf numFmtId="0" fontId="10" fillId="0" borderId="0" xfId="0" applyFont="1"/>
    <xf numFmtId="0" fontId="14" fillId="0" borderId="0" xfId="2" applyNumberFormat="1" applyFont="1" applyAlignment="1">
      <alignment horizontal="left"/>
    </xf>
    <xf numFmtId="0" fontId="14" fillId="0" borderId="0" xfId="2" applyFont="1"/>
    <xf numFmtId="3" fontId="15" fillId="0" borderId="0" xfId="2" applyNumberFormat="1" applyFont="1"/>
    <xf numFmtId="0" fontId="15" fillId="0" borderId="0" xfId="2" applyNumberFormat="1" applyFont="1" applyAlignment="1">
      <alignment horizontal="center"/>
    </xf>
    <xf numFmtId="0" fontId="15" fillId="0" borderId="0" xfId="2" applyFont="1" applyAlignment="1">
      <alignment horizontal="center"/>
    </xf>
    <xf numFmtId="3" fontId="15" fillId="0" borderId="0" xfId="2" applyNumberFormat="1" applyFont="1" applyAlignment="1">
      <alignment horizontal="center"/>
    </xf>
    <xf numFmtId="0" fontId="15" fillId="0" borderId="1" xfId="2" applyNumberFormat="1"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4" fillId="0" borderId="4" xfId="2" applyFont="1" applyBorder="1"/>
    <xf numFmtId="0" fontId="15" fillId="0" borderId="5" xfId="2" applyNumberFormat="1" applyFont="1" applyBorder="1" applyAlignment="1">
      <alignment horizontal="center"/>
    </xf>
    <xf numFmtId="0" fontId="15" fillId="0" borderId="6" xfId="2" applyFont="1" applyBorder="1" applyAlignment="1">
      <alignment horizontal="center"/>
    </xf>
    <xf numFmtId="0" fontId="15" fillId="0" borderId="0" xfId="2" applyFont="1" applyBorder="1" applyAlignment="1">
      <alignment horizontal="center"/>
    </xf>
    <xf numFmtId="0" fontId="14" fillId="0" borderId="7" xfId="2" applyFont="1" applyBorder="1"/>
    <xf numFmtId="3" fontId="15" fillId="0" borderId="5" xfId="2" applyNumberFormat="1" applyFont="1" applyBorder="1" applyAlignment="1">
      <alignment horizontal="center"/>
    </xf>
    <xf numFmtId="0" fontId="15" fillId="0" borderId="8" xfId="2" applyNumberFormat="1"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3" fontId="15" fillId="0" borderId="8" xfId="2" applyNumberFormat="1" applyFont="1" applyBorder="1" applyAlignment="1">
      <alignment horizontal="center"/>
    </xf>
    <xf numFmtId="0" fontId="14" fillId="0" borderId="0" xfId="2" applyNumberFormat="1" applyFont="1" applyAlignment="1">
      <alignment horizontal="center"/>
    </xf>
    <xf numFmtId="5" fontId="14" fillId="0" borderId="0" xfId="2" applyNumberFormat="1" applyFont="1"/>
    <xf numFmtId="37" fontId="14" fillId="0" borderId="0" xfId="2" applyNumberFormat="1" applyFont="1"/>
    <xf numFmtId="0" fontId="14" fillId="0" borderId="0" xfId="2" applyNumberFormat="1" applyFont="1" applyBorder="1" applyAlignment="1">
      <alignment horizontal="center"/>
    </xf>
    <xf numFmtId="37" fontId="14" fillId="0" borderId="0" xfId="2" applyNumberFormat="1" applyFont="1" applyBorder="1"/>
    <xf numFmtId="0" fontId="14" fillId="0" borderId="0" xfId="2" applyFont="1" applyBorder="1"/>
    <xf numFmtId="0" fontId="14" fillId="0" borderId="0" xfId="2" applyFont="1" applyFill="1"/>
    <xf numFmtId="3" fontId="15" fillId="0" borderId="0" xfId="2" applyNumberFormat="1" applyFont="1" applyFill="1"/>
    <xf numFmtId="0" fontId="14" fillId="0" borderId="0" xfId="2" applyNumberFormat="1" applyFont="1" applyFill="1" applyAlignment="1">
      <alignment horizontal="center"/>
    </xf>
    <xf numFmtId="0" fontId="14" fillId="0" borderId="0" xfId="1" applyFont="1" applyFill="1" applyAlignment="1">
      <alignment horizontal="right"/>
    </xf>
    <xf numFmtId="41" fontId="15" fillId="0" borderId="0" xfId="2" applyNumberFormat="1" applyFont="1"/>
    <xf numFmtId="41" fontId="15" fillId="0" borderId="10" xfId="2" applyNumberFormat="1" applyFont="1" applyBorder="1"/>
    <xf numFmtId="41" fontId="15" fillId="0" borderId="13" xfId="2" applyNumberFormat="1" applyFont="1" applyBorder="1"/>
    <xf numFmtId="41" fontId="15" fillId="0" borderId="0" xfId="2" applyNumberFormat="1" applyFont="1" applyBorder="1"/>
    <xf numFmtId="42" fontId="15" fillId="0" borderId="0" xfId="2" applyNumberFormat="1" applyFont="1"/>
    <xf numFmtId="5" fontId="15" fillId="0" borderId="0" xfId="2" applyNumberFormat="1" applyFont="1"/>
    <xf numFmtId="42" fontId="15" fillId="0" borderId="12" xfId="2" applyNumberFormat="1" applyFont="1" applyBorder="1"/>
    <xf numFmtId="1" fontId="15" fillId="0" borderId="1" xfId="2" applyNumberFormat="1"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centerContinuous"/>
    </xf>
    <xf numFmtId="0" fontId="17"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7" fillId="0" borderId="6" xfId="0" quotePrefix="1" applyFont="1" applyBorder="1" applyAlignment="1">
      <alignment horizontal="centerContinuous"/>
    </xf>
    <xf numFmtId="0" fontId="0" fillId="0" borderId="6" xfId="0" applyBorder="1" applyAlignment="1">
      <alignment horizontal="center"/>
    </xf>
    <xf numFmtId="0" fontId="8" fillId="0" borderId="6" xfId="0" applyFont="1" applyBorder="1" applyAlignment="1">
      <alignment horizontal="center"/>
    </xf>
    <xf numFmtId="0" fontId="17"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8" fillId="0" borderId="7" xfId="0" applyFont="1" applyBorder="1" applyAlignment="1">
      <alignment horizontal="center"/>
    </xf>
    <xf numFmtId="0" fontId="17"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5" fillId="0" borderId="10" xfId="2" applyNumberFormat="1" applyFont="1" applyBorder="1"/>
    <xf numFmtId="3" fontId="15" fillId="0" borderId="16" xfId="2" applyNumberFormat="1" applyFont="1" applyFill="1" applyBorder="1"/>
    <xf numFmtId="3" fontId="15" fillId="0" borderId="16" xfId="2" applyNumberFormat="1" applyFont="1" applyBorder="1"/>
    <xf numFmtId="0" fontId="17" fillId="0" borderId="6" xfId="0" applyFont="1" applyBorder="1" applyAlignment="1">
      <alignment horizontal="centerContinuous"/>
    </xf>
    <xf numFmtId="0" fontId="15" fillId="0" borderId="0" xfId="2" applyFont="1" applyFill="1"/>
    <xf numFmtId="0" fontId="15" fillId="0" borderId="0" xfId="2" applyFont="1"/>
    <xf numFmtId="0" fontId="18" fillId="0" borderId="0" xfId="0" applyFont="1"/>
    <xf numFmtId="0" fontId="17" fillId="0" borderId="0" xfId="0" applyFont="1"/>
    <xf numFmtId="0" fontId="8" fillId="0" borderId="0" xfId="0" applyFont="1"/>
    <xf numFmtId="10" fontId="0" fillId="0" borderId="0" xfId="0" applyNumberFormat="1"/>
    <xf numFmtId="0" fontId="19" fillId="0" borderId="10" xfId="0" applyFont="1" applyBorder="1"/>
    <xf numFmtId="0" fontId="14" fillId="0" borderId="10" xfId="2" applyFont="1" applyBorder="1"/>
    <xf numFmtId="0" fontId="20" fillId="0" borderId="0" xfId="2" applyNumberFormat="1" applyFont="1" applyAlignment="1">
      <alignment horizontal="center"/>
    </xf>
    <xf numFmtId="0" fontId="14" fillId="0" borderId="0" xfId="2" applyFont="1" applyAlignment="1">
      <alignment horizontal="center"/>
    </xf>
    <xf numFmtId="3" fontId="14" fillId="0" borderId="0" xfId="2" applyNumberFormat="1" applyFont="1" applyFill="1"/>
    <xf numFmtId="10" fontId="14" fillId="0" borderId="0" xfId="2" applyNumberFormat="1" applyFont="1"/>
    <xf numFmtId="0" fontId="0" fillId="0" borderId="10" xfId="0" applyBorder="1" applyAlignment="1">
      <alignment horizontal="center"/>
    </xf>
    <xf numFmtId="0" fontId="8" fillId="0" borderId="10" xfId="0" applyFont="1" applyBorder="1"/>
    <xf numFmtId="0" fontId="0" fillId="0" borderId="10" xfId="0" applyBorder="1"/>
    <xf numFmtId="0" fontId="14" fillId="0" borderId="2" xfId="2" applyFont="1" applyBorder="1"/>
    <xf numFmtId="0" fontId="14" fillId="0" borderId="3" xfId="2" applyFont="1" applyBorder="1"/>
    <xf numFmtId="3" fontId="15" fillId="0" borderId="3" xfId="2" applyNumberFormat="1" applyFont="1" applyBorder="1"/>
    <xf numFmtId="0" fontId="14" fillId="0" borderId="6" xfId="2" applyFont="1" applyBorder="1"/>
    <xf numFmtId="3" fontId="15" fillId="0" borderId="0" xfId="2" applyNumberFormat="1" applyFont="1" applyBorder="1"/>
    <xf numFmtId="10" fontId="14" fillId="0" borderId="7" xfId="2" applyNumberFormat="1" applyFont="1" applyBorder="1"/>
    <xf numFmtId="42" fontId="14" fillId="0" borderId="7" xfId="2" applyNumberFormat="1" applyFont="1" applyBorder="1"/>
    <xf numFmtId="0" fontId="15" fillId="0" borderId="9" xfId="2" applyFont="1" applyBorder="1"/>
    <xf numFmtId="10" fontId="0" fillId="0" borderId="0" xfId="0" applyNumberFormat="1" applyFill="1"/>
    <xf numFmtId="0" fontId="22" fillId="0" borderId="0" xfId="15"/>
    <xf numFmtId="0" fontId="22" fillId="0" borderId="10" xfId="15" applyBorder="1" applyAlignment="1">
      <alignment horizontal="center"/>
    </xf>
    <xf numFmtId="166" fontId="0" fillId="0" borderId="0" xfId="0" applyNumberFormat="1"/>
    <xf numFmtId="166" fontId="0" fillId="0" borderId="0" xfId="14" applyNumberFormat="1" applyFont="1"/>
    <xf numFmtId="166" fontId="8" fillId="0" borderId="0" xfId="14" applyNumberFormat="1" applyFont="1"/>
    <xf numFmtId="3" fontId="10" fillId="0" borderId="0" xfId="0" applyNumberFormat="1" applyFont="1" applyFill="1" applyAlignment="1">
      <alignment horizontal="center"/>
    </xf>
    <xf numFmtId="3" fontId="10" fillId="0" borderId="0" xfId="0" applyNumberFormat="1" applyFont="1" applyFill="1"/>
    <xf numFmtId="5" fontId="10" fillId="0" borderId="0" xfId="0" applyNumberFormat="1" applyFont="1" applyFill="1" applyBorder="1"/>
    <xf numFmtId="0" fontId="23" fillId="0" borderId="0" xfId="0" applyFont="1"/>
    <xf numFmtId="0" fontId="8" fillId="0" borderId="0" xfId="0" applyFont="1" applyAlignment="1">
      <alignment horizontal="right"/>
    </xf>
    <xf numFmtId="166" fontId="8" fillId="0" borderId="0" xfId="14" applyNumberFormat="1" applyFont="1" applyBorder="1"/>
    <xf numFmtId="166" fontId="0" fillId="0" borderId="3" xfId="14" applyNumberFormat="1" applyFont="1" applyBorder="1"/>
    <xf numFmtId="166" fontId="0" fillId="0" borderId="3" xfId="0" applyNumberFormat="1" applyBorder="1"/>
    <xf numFmtId="42" fontId="10" fillId="0" borderId="0" xfId="0" applyNumberFormat="1" applyFont="1" applyFill="1" applyBorder="1"/>
    <xf numFmtId="0" fontId="0" fillId="0" borderId="0" xfId="0" applyBorder="1"/>
    <xf numFmtId="0" fontId="0" fillId="0" borderId="0" xfId="0" applyBorder="1" applyAlignment="1">
      <alignment horizontal="centerContinuous"/>
    </xf>
    <xf numFmtId="0" fontId="8" fillId="0" borderId="0" xfId="0" applyFont="1" applyBorder="1" applyAlignment="1">
      <alignment horizontal="center"/>
    </xf>
    <xf numFmtId="0" fontId="17"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7" fillId="0" borderId="0" xfId="0" applyFont="1" applyBorder="1" applyAlignment="1">
      <alignment horizontal="centerContinuous"/>
    </xf>
    <xf numFmtId="0" fontId="0" fillId="0" borderId="0" xfId="0" applyBorder="1" applyAlignment="1">
      <alignment horizontal="center"/>
    </xf>
    <xf numFmtId="0" fontId="17" fillId="0" borderId="0" xfId="0" quotePrefix="1" applyFont="1" applyBorder="1" applyAlignment="1">
      <alignment horizontal="centerContinuous"/>
    </xf>
    <xf numFmtId="41" fontId="0" fillId="0" borderId="0" xfId="0" applyNumberFormat="1"/>
    <xf numFmtId="10" fontId="14"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0" fontId="0" fillId="0" borderId="0" xfId="0" applyFill="1"/>
    <xf numFmtId="0" fontId="0" fillId="0" borderId="0" xfId="0" applyFill="1" applyAlignment="1">
      <alignment horizontal="center"/>
    </xf>
    <xf numFmtId="0" fontId="17" fillId="0" borderId="0" xfId="0" applyFont="1" applyFill="1" applyAlignment="1">
      <alignment horizontal="center"/>
    </xf>
    <xf numFmtId="165" fontId="0" fillId="0" borderId="0" xfId="0" applyNumberFormat="1" applyFill="1" applyBorder="1"/>
    <xf numFmtId="10" fontId="0" fillId="0" borderId="0" xfId="0" applyNumberFormat="1" applyBorder="1"/>
    <xf numFmtId="10" fontId="14" fillId="0" borderId="0" xfId="2" applyNumberFormat="1" applyFont="1" applyBorder="1"/>
    <xf numFmtId="42" fontId="14" fillId="0" borderId="0" xfId="2" applyNumberFormat="1" applyFont="1" applyFill="1"/>
    <xf numFmtId="41" fontId="14" fillId="0" borderId="0" xfId="2" applyNumberFormat="1" applyFont="1" applyFill="1"/>
    <xf numFmtId="42" fontId="14" fillId="0" borderId="12" xfId="2" applyNumberFormat="1" applyFont="1" applyFill="1" applyBorder="1"/>
    <xf numFmtId="164" fontId="0" fillId="0" borderId="0" xfId="0" applyNumberFormat="1" applyFill="1"/>
    <xf numFmtId="41" fontId="14" fillId="0" borderId="11" xfId="2" applyNumberFormat="1" applyFont="1" applyFill="1" applyBorder="1"/>
    <xf numFmtId="42" fontId="14" fillId="0" borderId="7" xfId="2" applyNumberFormat="1" applyFont="1" applyFill="1" applyBorder="1"/>
    <xf numFmtId="42" fontId="14" fillId="0" borderId="0" xfId="2" applyNumberFormat="1" applyFont="1" applyBorder="1"/>
    <xf numFmtId="41" fontId="14" fillId="0" borderId="10" xfId="2" applyNumberFormat="1" applyFont="1" applyFill="1" applyBorder="1"/>
    <xf numFmtId="42" fontId="14" fillId="0" borderId="0" xfId="2" applyNumberFormat="1" applyFont="1" applyFill="1" applyBorder="1"/>
    <xf numFmtId="10" fontId="14" fillId="0" borderId="0" xfId="16" applyNumberFormat="1" applyFont="1" applyBorder="1"/>
    <xf numFmtId="0" fontId="15" fillId="0" borderId="0" xfId="2" applyNumberFormat="1" applyFont="1" applyFill="1" applyAlignment="1">
      <alignment horizontal="center"/>
    </xf>
    <xf numFmtId="0" fontId="0" fillId="0" borderId="0" xfId="0" applyFill="1" applyBorder="1"/>
    <xf numFmtId="0" fontId="7" fillId="0" borderId="0" xfId="17"/>
    <xf numFmtId="0" fontId="19" fillId="0" borderId="0" xfId="0" applyFont="1" applyAlignment="1">
      <alignment horizontal="centerContinuous"/>
    </xf>
    <xf numFmtId="0" fontId="27" fillId="0" borderId="0" xfId="0" applyFont="1" applyAlignment="1">
      <alignment horizontal="centerContinuous"/>
    </xf>
    <xf numFmtId="0" fontId="19" fillId="0" borderId="20" xfId="17" applyFont="1" applyFill="1" applyBorder="1" applyAlignment="1">
      <alignment horizontal="left"/>
    </xf>
    <xf numFmtId="0" fontId="19" fillId="0" borderId="21" xfId="17" applyFont="1" applyFill="1" applyBorder="1" applyAlignment="1">
      <alignment horizontal="center"/>
    </xf>
    <xf numFmtId="0" fontId="19" fillId="0" borderId="22" xfId="17" applyFont="1" applyFill="1" applyBorder="1" applyAlignment="1">
      <alignment horizontal="center"/>
    </xf>
    <xf numFmtId="0" fontId="28" fillId="0" borderId="0" xfId="0" applyFont="1"/>
    <xf numFmtId="0" fontId="29" fillId="0" borderId="0" xfId="0" applyFont="1"/>
    <xf numFmtId="37" fontId="28" fillId="0" borderId="23" xfId="1" applyNumberFormat="1" applyFont="1" applyFill="1" applyBorder="1"/>
    <xf numFmtId="37" fontId="28" fillId="0" borderId="0" xfId="1" applyNumberFormat="1" applyFont="1" applyFill="1" applyBorder="1"/>
    <xf numFmtId="0" fontId="19" fillId="0" borderId="0" xfId="17" applyFont="1" applyFill="1" applyBorder="1" applyAlignment="1">
      <alignment horizontal="center"/>
    </xf>
    <xf numFmtId="37" fontId="30" fillId="0" borderId="0" xfId="1" applyNumberFormat="1" applyFont="1" applyFill="1" applyBorder="1"/>
    <xf numFmtId="37" fontId="28" fillId="0" borderId="24" xfId="1" applyNumberFormat="1" applyFont="1" applyFill="1" applyBorder="1"/>
    <xf numFmtId="0" fontId="19" fillId="0" borderId="0" xfId="0" applyFont="1" applyAlignment="1">
      <alignment horizontal="center"/>
    </xf>
    <xf numFmtId="0" fontId="27" fillId="0" borderId="0" xfId="0" applyFont="1" applyBorder="1" applyAlignment="1">
      <alignment horizontal="center"/>
    </xf>
    <xf numFmtId="0" fontId="28" fillId="0" borderId="0" xfId="17" applyFont="1" applyFill="1" applyBorder="1"/>
    <xf numFmtId="0" fontId="19" fillId="0" borderId="10" xfId="0" applyFont="1" applyBorder="1" applyAlignment="1">
      <alignment horizontal="center"/>
    </xf>
    <xf numFmtId="0" fontId="19" fillId="0" borderId="0" xfId="0" applyFont="1" applyBorder="1" applyAlignment="1">
      <alignment horizontal="center"/>
    </xf>
    <xf numFmtId="0" fontId="27" fillId="0" borderId="10" xfId="0" applyFont="1" applyBorder="1" applyAlignment="1">
      <alignment horizontal="center"/>
    </xf>
    <xf numFmtId="0" fontId="19" fillId="0" borderId="10" xfId="17" applyFont="1" applyFill="1" applyBorder="1" applyAlignment="1">
      <alignment horizontal="center"/>
    </xf>
    <xf numFmtId="0" fontId="28" fillId="0" borderId="24" xfId="17" applyFont="1" applyFill="1" applyBorder="1"/>
    <xf numFmtId="0" fontId="28" fillId="0" borderId="0" xfId="0" applyFont="1" applyAlignment="1">
      <alignment horizontal="center"/>
    </xf>
    <xf numFmtId="0" fontId="19" fillId="0" borderId="0" xfId="0" applyFont="1"/>
    <xf numFmtId="168" fontId="29" fillId="0" borderId="0" xfId="0" applyNumberFormat="1" applyFont="1"/>
    <xf numFmtId="5" fontId="28" fillId="0" borderId="0" xfId="17" applyNumberFormat="1" applyFont="1" applyFill="1" applyBorder="1"/>
    <xf numFmtId="10" fontId="28" fillId="0" borderId="0" xfId="18" applyNumberFormat="1" applyFont="1" applyFill="1" applyBorder="1"/>
    <xf numFmtId="10" fontId="30" fillId="0" borderId="0" xfId="18" applyNumberFormat="1" applyFont="1" applyFill="1" applyBorder="1"/>
    <xf numFmtId="37" fontId="19" fillId="0" borderId="24" xfId="1" applyNumberFormat="1" applyFont="1" applyFill="1" applyBorder="1" applyAlignment="1">
      <alignment horizontal="center"/>
    </xf>
    <xf numFmtId="166" fontId="28" fillId="0" borderId="0" xfId="19" applyNumberFormat="1" applyFont="1" applyFill="1" applyBorder="1"/>
    <xf numFmtId="10" fontId="19" fillId="0" borderId="24" xfId="18" applyNumberFormat="1" applyFont="1" applyFill="1" applyBorder="1" applyAlignment="1">
      <alignment horizontal="center"/>
    </xf>
    <xf numFmtId="168" fontId="19" fillId="0" borderId="0" xfId="0" applyNumberFormat="1" applyFont="1"/>
    <xf numFmtId="168" fontId="28" fillId="0" borderId="0" xfId="0" applyNumberFormat="1" applyFont="1"/>
    <xf numFmtId="169" fontId="28" fillId="0" borderId="0" xfId="18" applyNumberFormat="1" applyFont="1" applyFill="1" applyBorder="1"/>
    <xf numFmtId="169" fontId="30" fillId="0" borderId="0" xfId="18" applyNumberFormat="1" applyFont="1" applyFill="1" applyBorder="1"/>
    <xf numFmtId="10" fontId="28" fillId="0" borderId="16" xfId="18" applyNumberFormat="1" applyFont="1" applyFill="1" applyBorder="1"/>
    <xf numFmtId="37" fontId="28" fillId="0" borderId="25" xfId="1" applyNumberFormat="1" applyFont="1" applyFill="1" applyBorder="1"/>
    <xf numFmtId="0" fontId="28" fillId="0" borderId="26" xfId="17" applyFont="1" applyFill="1" applyBorder="1"/>
    <xf numFmtId="166" fontId="28" fillId="0" borderId="26" xfId="19" applyNumberFormat="1" applyFont="1" applyFill="1" applyBorder="1"/>
    <xf numFmtId="10" fontId="28" fillId="0" borderId="26" xfId="18" applyNumberFormat="1" applyFont="1" applyFill="1" applyBorder="1"/>
    <xf numFmtId="10" fontId="30" fillId="0" borderId="26" xfId="18" applyNumberFormat="1" applyFont="1" applyFill="1" applyBorder="1"/>
    <xf numFmtId="37" fontId="28" fillId="0" borderId="27" xfId="1" applyNumberFormat="1" applyFont="1" applyFill="1" applyBorder="1"/>
    <xf numFmtId="168" fontId="29" fillId="0" borderId="13" xfId="0" applyNumberFormat="1" applyFont="1" applyBorder="1"/>
    <xf numFmtId="168" fontId="29" fillId="0" borderId="0" xfId="0" applyNumberFormat="1" applyFont="1" applyBorder="1"/>
    <xf numFmtId="10" fontId="32" fillId="0" borderId="0" xfId="0" applyNumberFormat="1" applyFont="1"/>
    <xf numFmtId="168" fontId="29" fillId="0" borderId="10" xfId="0" applyNumberFormat="1" applyFont="1" applyBorder="1"/>
    <xf numFmtId="3" fontId="34" fillId="0" borderId="0" xfId="0" applyNumberFormat="1" applyFont="1" applyFill="1" applyBorder="1" applyAlignment="1"/>
    <xf numFmtId="42" fontId="15" fillId="0" borderId="0" xfId="2" applyNumberFormat="1" applyFont="1" applyBorder="1"/>
    <xf numFmtId="3" fontId="10" fillId="0" borderId="0" xfId="0" applyNumberFormat="1" applyFont="1" applyFill="1" applyAlignment="1">
      <alignment vertical="top"/>
    </xf>
    <xf numFmtId="10" fontId="34" fillId="0" borderId="0" xfId="13" applyNumberFormat="1" applyFont="1" applyFill="1" applyBorder="1" applyAlignment="1">
      <alignment horizontal="center"/>
    </xf>
    <xf numFmtId="0" fontId="14" fillId="0" borderId="0" xfId="2" applyFont="1" applyFill="1" applyAlignment="1">
      <alignment horizontal="right"/>
    </xf>
    <xf numFmtId="3" fontId="14" fillId="0" borderId="3" xfId="2" applyNumberFormat="1" applyFont="1" applyFill="1" applyBorder="1"/>
    <xf numFmtId="3" fontId="14" fillId="0" borderId="10" xfId="2" applyNumberFormat="1" applyFont="1" applyFill="1" applyBorder="1"/>
    <xf numFmtId="10" fontId="28" fillId="0" borderId="0" xfId="13" applyNumberFormat="1" applyFont="1" applyBorder="1"/>
    <xf numFmtId="169" fontId="28" fillId="0" borderId="0" xfId="13" applyNumberFormat="1" applyFont="1" applyBorder="1"/>
    <xf numFmtId="5" fontId="28" fillId="0" borderId="10" xfId="0" applyNumberFormat="1" applyFont="1" applyBorder="1"/>
    <xf numFmtId="0" fontId="28" fillId="0" borderId="0" xfId="0" applyFont="1" applyBorder="1"/>
    <xf numFmtId="5" fontId="19" fillId="0" borderId="0" xfId="0" applyNumberFormat="1" applyFont="1" applyBorder="1"/>
    <xf numFmtId="5" fontId="28" fillId="0" borderId="0" xfId="0" applyNumberFormat="1" applyFont="1" applyBorder="1"/>
    <xf numFmtId="37" fontId="28" fillId="0" borderId="0" xfId="1" applyNumberFormat="1" applyFont="1"/>
    <xf numFmtId="10" fontId="19" fillId="0" borderId="0" xfId="13" applyNumberFormat="1" applyFont="1" applyBorder="1"/>
    <xf numFmtId="0" fontId="28" fillId="0" borderId="0" xfId="1" applyFont="1" applyBorder="1"/>
    <xf numFmtId="42" fontId="28" fillId="0" borderId="0" xfId="0" applyNumberFormat="1" applyFont="1" applyBorder="1"/>
    <xf numFmtId="0" fontId="40" fillId="0" borderId="0" xfId="2" applyNumberFormat="1" applyFont="1" applyAlignment="1">
      <alignment horizontal="left"/>
    </xf>
    <xf numFmtId="3" fontId="11" fillId="0" borderId="0" xfId="12" applyNumberFormat="1" applyFont="1" applyFill="1" applyAlignment="1">
      <alignment vertical="top" wrapText="1"/>
    </xf>
    <xf numFmtId="3" fontId="28" fillId="0" borderId="0" xfId="12" applyNumberFormat="1" applyFont="1" applyFill="1" applyBorder="1" applyAlignment="1">
      <alignment horizontal="center" wrapText="1"/>
    </xf>
    <xf numFmtId="0" fontId="43" fillId="0" borderId="0" xfId="0" applyFont="1"/>
    <xf numFmtId="0" fontId="44" fillId="0" borderId="0" xfId="2" applyNumberFormat="1" applyFont="1" applyAlignment="1">
      <alignment horizontal="left"/>
    </xf>
    <xf numFmtId="0" fontId="14" fillId="0" borderId="0" xfId="2" applyNumberFormat="1" applyFont="1" applyFill="1" applyAlignment="1">
      <alignment horizontal="center" wrapText="1"/>
    </xf>
    <xf numFmtId="0" fontId="18" fillId="0" borderId="10" xfId="0" applyFont="1" applyBorder="1" applyAlignment="1">
      <alignment horizontal="center"/>
    </xf>
    <xf numFmtId="3" fontId="14" fillId="0" borderId="10" xfId="2" applyNumberFormat="1" applyFont="1" applyBorder="1"/>
    <xf numFmtId="3" fontId="14" fillId="0" borderId="3" xfId="2" applyNumberFormat="1" applyFont="1" applyBorder="1"/>
    <xf numFmtId="3" fontId="14" fillId="0" borderId="0" xfId="2" applyNumberFormat="1" applyFont="1"/>
    <xf numFmtId="0" fontId="14" fillId="0" borderId="0" xfId="2" applyFont="1" applyAlignment="1">
      <alignment horizontal="left"/>
    </xf>
    <xf numFmtId="3" fontId="10" fillId="0" borderId="0" xfId="0" applyNumberFormat="1" applyFont="1" applyFill="1" applyAlignment="1"/>
    <xf numFmtId="1" fontId="18" fillId="0" borderId="0" xfId="150" applyNumberFormat="1" applyFont="1" applyFill="1" applyBorder="1" applyAlignment="1">
      <alignment horizontal="center"/>
    </xf>
    <xf numFmtId="0" fontId="15" fillId="0" borderId="0" xfId="20" applyFont="1" applyFill="1"/>
    <xf numFmtId="0" fontId="15" fillId="0" borderId="0" xfId="2" applyFont="1" applyAlignment="1">
      <alignment horizontal="left"/>
    </xf>
    <xf numFmtId="10" fontId="8" fillId="0" borderId="0" xfId="0" applyNumberFormat="1" applyFont="1"/>
    <xf numFmtId="0" fontId="45" fillId="0" borderId="0" xfId="0" applyFont="1" applyBorder="1" applyAlignment="1">
      <alignment horizontal="center"/>
    </xf>
    <xf numFmtId="0" fontId="45" fillId="0" borderId="10" xfId="0" applyFont="1" applyBorder="1" applyAlignment="1">
      <alignment horizontal="center"/>
    </xf>
    <xf numFmtId="0" fontId="47" fillId="0" borderId="10" xfId="0" applyFont="1" applyBorder="1"/>
    <xf numFmtId="0" fontId="45" fillId="0" borderId="10" xfId="0" applyFont="1" applyBorder="1"/>
    <xf numFmtId="172" fontId="45" fillId="0" borderId="0" xfId="0" applyNumberFormat="1" applyFont="1" applyBorder="1"/>
    <xf numFmtId="172" fontId="45" fillId="0" borderId="3" xfId="0" applyNumberFormat="1" applyFont="1" applyBorder="1"/>
    <xf numFmtId="172" fontId="45" fillId="0" borderId="10" xfId="0" applyNumberFormat="1" applyFont="1" applyBorder="1"/>
    <xf numFmtId="3" fontId="45" fillId="0" borderId="0" xfId="0" applyNumberFormat="1" applyFont="1" applyBorder="1"/>
    <xf numFmtId="5" fontId="45" fillId="0" borderId="0" xfId="0" applyNumberFormat="1" applyFont="1" applyBorder="1"/>
    <xf numFmtId="0" fontId="45" fillId="0" borderId="3" xfId="0" applyFont="1" applyBorder="1"/>
    <xf numFmtId="5" fontId="45" fillId="0" borderId="3" xfId="0" applyNumberFormat="1" applyFont="1" applyBorder="1"/>
    <xf numFmtId="37" fontId="45" fillId="0" borderId="10" xfId="0" applyNumberFormat="1" applyFont="1" applyBorder="1"/>
    <xf numFmtId="0" fontId="45" fillId="0" borderId="13" xfId="0" applyFont="1" applyBorder="1"/>
    <xf numFmtId="5" fontId="45" fillId="0" borderId="10" xfId="0" applyNumberFormat="1" applyFont="1" applyBorder="1"/>
    <xf numFmtId="177" fontId="45" fillId="0" borderId="10" xfId="0" applyNumberFormat="1" applyFont="1" applyBorder="1"/>
    <xf numFmtId="179" fontId="45" fillId="0" borderId="10" xfId="0" applyNumberFormat="1" applyFont="1" applyBorder="1"/>
    <xf numFmtId="37" fontId="46" fillId="0" borderId="0" xfId="0" applyNumberFormat="1" applyFont="1" applyBorder="1"/>
    <xf numFmtId="41" fontId="15" fillId="0" borderId="0" xfId="2" applyNumberFormat="1" applyFont="1" applyFill="1"/>
    <xf numFmtId="42" fontId="15" fillId="0" borderId="0" xfId="2" applyNumberFormat="1" applyFont="1" applyFill="1"/>
    <xf numFmtId="41" fontId="15" fillId="0" borderId="10" xfId="2" applyNumberFormat="1" applyFont="1" applyFill="1" applyBorder="1"/>
    <xf numFmtId="41" fontId="15" fillId="0" borderId="0" xfId="2" applyNumberFormat="1" applyFont="1" applyFill="1" applyBorder="1"/>
    <xf numFmtId="166" fontId="0" fillId="0" borderId="0" xfId="14" applyNumberFormat="1" applyFont="1" applyFill="1"/>
    <xf numFmtId="3" fontId="15" fillId="0" borderId="0" xfId="2" applyNumberFormat="1" applyFont="1" applyFill="1" applyBorder="1"/>
    <xf numFmtId="37" fontId="28" fillId="0" borderId="0" xfId="2" applyNumberFormat="1" applyFont="1"/>
    <xf numFmtId="3" fontId="15" fillId="0" borderId="0" xfId="20" applyNumberFormat="1" applyFont="1" applyBorder="1"/>
    <xf numFmtId="0" fontId="45" fillId="0" borderId="0" xfId="0" applyFont="1" applyAlignment="1">
      <alignment horizontal="left"/>
    </xf>
    <xf numFmtId="0" fontId="45" fillId="0" borderId="0" xfId="0" applyFont="1"/>
    <xf numFmtId="0" fontId="45" fillId="0" borderId="0" xfId="0" applyFont="1" applyAlignment="1">
      <alignment horizontal="center"/>
    </xf>
    <xf numFmtId="0" fontId="46" fillId="0" borderId="0" xfId="0" applyFont="1" applyAlignment="1">
      <alignment horizontal="left"/>
    </xf>
    <xf numFmtId="0" fontId="46" fillId="0" borderId="0" xfId="0" applyFont="1" applyAlignment="1">
      <alignment horizontal="center"/>
    </xf>
    <xf numFmtId="0" fontId="53" fillId="0" borderId="0" xfId="0" applyFont="1" applyAlignment="1"/>
    <xf numFmtId="0" fontId="46" fillId="0" borderId="0" xfId="0" applyFont="1" applyAlignment="1"/>
    <xf numFmtId="0" fontId="46" fillId="0" borderId="0" xfId="0" applyFont="1"/>
    <xf numFmtId="0" fontId="46" fillId="0" borderId="0" xfId="0" applyFont="1" applyAlignment="1">
      <alignment horizontal="right"/>
    </xf>
    <xf numFmtId="172" fontId="45" fillId="0" borderId="0" xfId="0" applyNumberFormat="1" applyFont="1"/>
    <xf numFmtId="0" fontId="54" fillId="0" borderId="0" xfId="0" applyFont="1" applyAlignment="1">
      <alignment horizontal="left" indent="1"/>
    </xf>
    <xf numFmtId="172" fontId="45" fillId="0" borderId="0" xfId="0" applyNumberFormat="1" applyFont="1" applyAlignment="1">
      <alignment horizontal="center"/>
    </xf>
    <xf numFmtId="3" fontId="45" fillId="0" borderId="0" xfId="0" applyNumberFormat="1" applyFont="1"/>
    <xf numFmtId="173" fontId="46" fillId="0" borderId="0" xfId="0" applyNumberFormat="1" applyFont="1"/>
    <xf numFmtId="3" fontId="45" fillId="7" borderId="0" xfId="0" applyNumberFormat="1" applyFont="1" applyFill="1"/>
    <xf numFmtId="0" fontId="55" fillId="0" borderId="0" xfId="0" applyFont="1"/>
    <xf numFmtId="174" fontId="45" fillId="0" borderId="0" xfId="0" applyNumberFormat="1" applyFont="1" applyAlignment="1">
      <alignment horizontal="center"/>
    </xf>
    <xf numFmtId="0" fontId="46" fillId="0" borderId="0" xfId="0" quotePrefix="1" applyFont="1"/>
    <xf numFmtId="0" fontId="48" fillId="0" borderId="0" xfId="0" applyFont="1" applyAlignment="1">
      <alignment horizontal="left"/>
    </xf>
    <xf numFmtId="175" fontId="46" fillId="0" borderId="0" xfId="0" applyNumberFormat="1" applyFont="1"/>
    <xf numFmtId="175" fontId="56" fillId="0" borderId="0" xfId="0" applyNumberFormat="1" applyFont="1"/>
    <xf numFmtId="0" fontId="57" fillId="0" borderId="0" xfId="0" applyFont="1"/>
    <xf numFmtId="180" fontId="46" fillId="0" borderId="0" xfId="0" applyNumberFormat="1" applyFont="1"/>
    <xf numFmtId="176" fontId="46" fillId="0" borderId="0" xfId="0" applyNumberFormat="1" applyFont="1"/>
    <xf numFmtId="176" fontId="56" fillId="0" borderId="0" xfId="0" applyNumberFormat="1" applyFont="1"/>
    <xf numFmtId="176" fontId="56" fillId="0" borderId="0" xfId="0" applyNumberFormat="1" applyFont="1" applyFill="1"/>
    <xf numFmtId="177" fontId="45" fillId="0" borderId="0" xfId="0" applyNumberFormat="1" applyFont="1"/>
    <xf numFmtId="0" fontId="50" fillId="0" borderId="0" xfId="0" applyFont="1"/>
    <xf numFmtId="0" fontId="45" fillId="0" borderId="0" xfId="0" applyFont="1" applyFill="1"/>
    <xf numFmtId="5" fontId="45" fillId="0" borderId="0" xfId="0" applyNumberFormat="1" applyFont="1"/>
    <xf numFmtId="0" fontId="45" fillId="0" borderId="0" xfId="0" applyFont="1" applyAlignment="1">
      <alignment horizontal="left" indent="1"/>
    </xf>
    <xf numFmtId="178" fontId="45" fillId="0" borderId="0" xfId="0" applyNumberFormat="1" applyFont="1"/>
    <xf numFmtId="172" fontId="45" fillId="0" borderId="0" xfId="0" applyNumberFormat="1" applyFont="1" applyFill="1"/>
    <xf numFmtId="37" fontId="45" fillId="0" borderId="0" xfId="0" applyNumberFormat="1" applyFont="1"/>
    <xf numFmtId="5" fontId="45" fillId="0" borderId="0" xfId="0" applyNumberFormat="1" applyFont="1" applyFill="1"/>
    <xf numFmtId="0" fontId="45" fillId="0" borderId="0" xfId="0" applyFont="1" applyFill="1" applyAlignment="1">
      <alignment horizontal="left"/>
    </xf>
    <xf numFmtId="3" fontId="45" fillId="0" borderId="0" xfId="0" applyNumberFormat="1" applyFont="1" applyAlignment="1">
      <alignment horizontal="left" indent="1"/>
    </xf>
    <xf numFmtId="166" fontId="49" fillId="0" borderId="0" xfId="96" applyNumberFormat="1" applyFont="1" applyFill="1"/>
    <xf numFmtId="177" fontId="45" fillId="0" borderId="0" xfId="0" applyNumberFormat="1" applyFont="1" applyAlignment="1">
      <alignment horizontal="left" indent="1"/>
    </xf>
    <xf numFmtId="5" fontId="45" fillId="0" borderId="0" xfId="0" applyNumberFormat="1" applyFont="1" applyAlignment="1">
      <alignment horizontal="left" indent="1"/>
    </xf>
    <xf numFmtId="37" fontId="49" fillId="0" borderId="0" xfId="0" applyNumberFormat="1" applyFont="1"/>
    <xf numFmtId="177" fontId="45" fillId="0" borderId="0" xfId="0" applyNumberFormat="1" applyFont="1" applyFill="1"/>
    <xf numFmtId="37" fontId="49" fillId="0" borderId="0" xfId="0" applyNumberFormat="1" applyFont="1" applyFill="1"/>
    <xf numFmtId="37" fontId="57" fillId="0" borderId="0" xfId="0" applyNumberFormat="1" applyFont="1"/>
    <xf numFmtId="0" fontId="50" fillId="0" borderId="0" xfId="0" applyFont="1" applyAlignment="1">
      <alignment horizontal="left"/>
    </xf>
    <xf numFmtId="5" fontId="50" fillId="0" borderId="0" xfId="0" applyNumberFormat="1" applyFont="1"/>
    <xf numFmtId="10" fontId="50" fillId="0" borderId="0" xfId="0" applyNumberFormat="1" applyFont="1"/>
    <xf numFmtId="10" fontId="45" fillId="0" borderId="0" xfId="0" applyNumberFormat="1" applyFont="1"/>
    <xf numFmtId="39" fontId="45" fillId="0" borderId="0" xfId="0" applyNumberFormat="1" applyFont="1"/>
    <xf numFmtId="0" fontId="51" fillId="0" borderId="0" xfId="0" applyFont="1"/>
    <xf numFmtId="37" fontId="46" fillId="0" borderId="0" xfId="0" applyNumberFormat="1" applyFont="1"/>
    <xf numFmtId="37" fontId="57" fillId="0" borderId="0" xfId="0" applyNumberFormat="1" applyFont="1" applyFill="1"/>
    <xf numFmtId="7" fontId="45" fillId="0" borderId="0" xfId="0" applyNumberFormat="1" applyFont="1"/>
    <xf numFmtId="0" fontId="8" fillId="0" borderId="0" xfId="0" applyFont="1" applyFill="1" applyAlignment="1">
      <alignment horizontal="center"/>
    </xf>
    <xf numFmtId="0" fontId="17"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17" fontId="17"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3" fontId="0" fillId="0" borderId="11" xfId="0" applyNumberFormat="1" applyFill="1" applyBorder="1"/>
    <xf numFmtId="3" fontId="0" fillId="0" borderId="7" xfId="0" applyNumberFormat="1" applyFill="1" applyBorder="1"/>
    <xf numFmtId="3" fontId="0" fillId="0" borderId="4" xfId="0" applyNumberFormat="1" applyFill="1" applyBorder="1"/>
    <xf numFmtId="165" fontId="0" fillId="0" borderId="0" xfId="0" applyNumberFormat="1"/>
    <xf numFmtId="165" fontId="0" fillId="0" borderId="3" xfId="0" applyNumberFormat="1" applyBorder="1"/>
    <xf numFmtId="166" fontId="14" fillId="0" borderId="0" xfId="14" applyNumberFormat="1" applyFont="1"/>
    <xf numFmtId="166" fontId="14" fillId="0" borderId="0" xfId="2" applyNumberFormat="1" applyFont="1"/>
    <xf numFmtId="166" fontId="15" fillId="0" borderId="0" xfId="2" applyNumberFormat="1" applyFont="1"/>
    <xf numFmtId="42" fontId="14" fillId="0" borderId="3" xfId="2" applyNumberFormat="1" applyFont="1" applyFill="1" applyBorder="1"/>
    <xf numFmtId="3" fontId="14" fillId="0" borderId="3" xfId="2" applyNumberFormat="1" applyFont="1" applyFill="1" applyBorder="1" applyAlignment="1">
      <alignment horizontal="center"/>
    </xf>
    <xf numFmtId="41" fontId="14" fillId="0" borderId="3" xfId="2" applyNumberFormat="1" applyFont="1" applyFill="1" applyBorder="1"/>
    <xf numFmtId="42" fontId="14" fillId="0" borderId="13" xfId="2" applyNumberFormat="1" applyFont="1" applyFill="1" applyBorder="1"/>
    <xf numFmtId="42" fontId="14" fillId="0" borderId="16" xfId="2" applyNumberFormat="1" applyFont="1" applyFill="1" applyBorder="1"/>
    <xf numFmtId="0" fontId="14" fillId="0" borderId="3" xfId="2" applyFont="1" applyFill="1" applyBorder="1"/>
    <xf numFmtId="0" fontId="14" fillId="0" borderId="0" xfId="2" applyFont="1" applyFill="1" applyBorder="1"/>
    <xf numFmtId="166" fontId="14" fillId="0" borderId="0" xfId="14" applyNumberFormat="1" applyFont="1" applyFill="1"/>
    <xf numFmtId="0" fontId="15" fillId="0" borderId="0" xfId="2" applyFont="1" applyBorder="1" applyAlignment="1">
      <alignment horizontal="left"/>
    </xf>
    <xf numFmtId="166" fontId="14" fillId="0" borderId="0" xfId="2" applyNumberFormat="1" applyFont="1" applyBorder="1"/>
    <xf numFmtId="166" fontId="14" fillId="0" borderId="0" xfId="14" applyNumberFormat="1" applyFont="1" applyBorder="1"/>
    <xf numFmtId="166" fontId="15" fillId="0" borderId="0" xfId="2" applyNumberFormat="1" applyFont="1" applyBorder="1"/>
    <xf numFmtId="5" fontId="15" fillId="0" borderId="0" xfId="2" applyNumberFormat="1" applyFont="1" applyBorder="1"/>
    <xf numFmtId="223" fontId="28" fillId="0" borderId="0" xfId="0" applyNumberFormat="1" applyFont="1" applyBorder="1"/>
    <xf numFmtId="0" fontId="14" fillId="0" borderId="49" xfId="2" applyNumberFormat="1" applyFont="1" applyBorder="1" applyAlignment="1">
      <alignment horizontal="left"/>
    </xf>
    <xf numFmtId="0" fontId="14" fillId="0" borderId="50" xfId="2" applyNumberFormat="1" applyFont="1" applyBorder="1" applyAlignment="1">
      <alignment horizontal="left"/>
    </xf>
    <xf numFmtId="0" fontId="14" fillId="0" borderId="51" xfId="2" applyNumberFormat="1" applyFont="1" applyBorder="1" applyAlignment="1">
      <alignment horizontal="left"/>
    </xf>
    <xf numFmtId="0" fontId="14" fillId="0" borderId="49" xfId="2" applyFont="1" applyBorder="1"/>
    <xf numFmtId="0" fontId="14" fillId="0" borderId="50" xfId="2" applyFont="1" applyBorder="1"/>
    <xf numFmtId="0" fontId="14" fillId="0" borderId="51" xfId="2" applyFont="1" applyBorder="1"/>
    <xf numFmtId="10" fontId="28" fillId="0" borderId="0" xfId="13" applyNumberFormat="1" applyFont="1" applyFill="1" applyBorder="1"/>
    <xf numFmtId="10" fontId="8" fillId="0" borderId="18" xfId="0" applyNumberFormat="1" applyFont="1" applyBorder="1"/>
    <xf numFmtId="10" fontId="22" fillId="0" borderId="17" xfId="2" applyNumberFormat="1" applyFont="1" applyFill="1" applyBorder="1"/>
    <xf numFmtId="10" fontId="155" fillId="0" borderId="18" xfId="2" applyNumberFormat="1" applyFont="1" applyFill="1" applyBorder="1"/>
    <xf numFmtId="10" fontId="22" fillId="0" borderId="18" xfId="2" applyNumberFormat="1" applyFont="1" applyFill="1" applyBorder="1"/>
    <xf numFmtId="10" fontId="22" fillId="0" borderId="18" xfId="2" applyNumberFormat="1" applyFont="1" applyBorder="1"/>
    <xf numFmtId="10" fontId="10" fillId="0" borderId="0" xfId="2" applyNumberFormat="1" applyFont="1" applyFill="1"/>
    <xf numFmtId="0" fontId="0" fillId="0" borderId="7" xfId="0" applyFill="1" applyBorder="1"/>
    <xf numFmtId="0" fontId="8" fillId="0" borderId="7" xfId="0" applyFont="1" applyFill="1" applyBorder="1" applyAlignment="1">
      <alignment horizontal="center"/>
    </xf>
    <xf numFmtId="0" fontId="17"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2" fillId="0" borderId="10" xfId="15" applyFill="1" applyBorder="1" applyAlignment="1">
      <alignment horizontal="center"/>
    </xf>
    <xf numFmtId="166" fontId="0" fillId="0" borderId="0" xfId="0" applyNumberFormat="1" applyFill="1"/>
    <xf numFmtId="166" fontId="0" fillId="0" borderId="3" xfId="14" applyNumberFormat="1" applyFont="1" applyFill="1" applyBorder="1"/>
    <xf numFmtId="166" fontId="8" fillId="0" borderId="0" xfId="14" applyNumberFormat="1" applyFont="1" applyFill="1" applyBorder="1"/>
    <xf numFmtId="166" fontId="0" fillId="0" borderId="3" xfId="0" applyNumberFormat="1" applyFill="1" applyBorder="1"/>
    <xf numFmtId="41" fontId="15" fillId="0" borderId="13" xfId="2" applyNumberFormat="1" applyFont="1" applyFill="1" applyBorder="1"/>
    <xf numFmtId="42" fontId="15" fillId="0" borderId="12" xfId="2" applyNumberFormat="1" applyFont="1" applyFill="1" applyBorder="1"/>
    <xf numFmtId="0" fontId="15" fillId="74" borderId="0" xfId="2" applyFont="1" applyFill="1" applyAlignment="1">
      <alignment horizontal="center"/>
    </xf>
    <xf numFmtId="10" fontId="0" fillId="0" borderId="18" xfId="0" applyNumberFormat="1" applyBorder="1"/>
    <xf numFmtId="0" fontId="23" fillId="0" borderId="10" xfId="0" applyFont="1" applyBorder="1"/>
    <xf numFmtId="0" fontId="0" fillId="0" borderId="53" xfId="0" applyBorder="1"/>
    <xf numFmtId="0" fontId="23" fillId="0" borderId="0" xfId="0" applyFont="1" applyBorder="1"/>
    <xf numFmtId="3" fontId="23" fillId="0" borderId="10" xfId="0" applyNumberFormat="1" applyFont="1" applyBorder="1"/>
    <xf numFmtId="225" fontId="0" fillId="0" borderId="0" xfId="0" applyNumberFormat="1"/>
    <xf numFmtId="225" fontId="0" fillId="0" borderId="10" xfId="0" applyNumberFormat="1" applyBorder="1"/>
    <xf numFmtId="10" fontId="0" fillId="0" borderId="10" xfId="0" applyNumberFormat="1" applyBorder="1"/>
    <xf numFmtId="0" fontId="23" fillId="0" borderId="0" xfId="0" applyFont="1" applyFill="1" applyBorder="1"/>
    <xf numFmtId="225" fontId="23" fillId="0" borderId="0" xfId="0" applyNumberFormat="1" applyFont="1" applyBorder="1"/>
    <xf numFmtId="0" fontId="15" fillId="0" borderId="0" xfId="2" applyFont="1" applyFill="1" applyAlignment="1">
      <alignment horizontal="center"/>
    </xf>
    <xf numFmtId="10" fontId="22" fillId="73" borderId="18" xfId="2" applyNumberFormat="1" applyFont="1" applyFill="1" applyBorder="1"/>
    <xf numFmtId="10" fontId="22" fillId="73" borderId="19" xfId="2" applyNumberFormat="1" applyFont="1" applyFill="1" applyBorder="1"/>
    <xf numFmtId="10" fontId="0" fillId="0" borderId="17" xfId="0" applyNumberFormat="1" applyBorder="1"/>
    <xf numFmtId="10" fontId="0" fillId="0" borderId="19" xfId="0" applyNumberFormat="1" applyBorder="1"/>
    <xf numFmtId="0" fontId="23" fillId="0" borderId="13" xfId="0" applyFont="1" applyBorder="1"/>
    <xf numFmtId="166" fontId="0" fillId="0" borderId="0" xfId="96" applyNumberFormat="1" applyFont="1"/>
    <xf numFmtId="10" fontId="23" fillId="0" borderId="48" xfId="0" applyNumberFormat="1" applyFont="1" applyFill="1" applyBorder="1"/>
    <xf numFmtId="0" fontId="23" fillId="0" borderId="0" xfId="0" applyFont="1" applyFill="1"/>
    <xf numFmtId="0" fontId="0" fillId="0" borderId="26" xfId="0" applyBorder="1"/>
    <xf numFmtId="171" fontId="28" fillId="0" borderId="0" xfId="14" applyNumberFormat="1" applyFont="1" applyBorder="1"/>
    <xf numFmtId="37" fontId="28" fillId="0" borderId="0" xfId="1" applyNumberFormat="1" applyFont="1" applyBorder="1"/>
    <xf numFmtId="170" fontId="28" fillId="0" borderId="0" xfId="0" applyNumberFormat="1" applyFont="1" applyBorder="1"/>
    <xf numFmtId="10" fontId="28" fillId="0" borderId="10" xfId="13" applyNumberFormat="1" applyFont="1" applyBorder="1"/>
    <xf numFmtId="0" fontId="156" fillId="0" borderId="0" xfId="0" applyFont="1" applyBorder="1" applyAlignment="1">
      <alignment horizontal="center"/>
    </xf>
    <xf numFmtId="5" fontId="0" fillId="0" borderId="0" xfId="0" applyNumberFormat="1" applyBorder="1"/>
    <xf numFmtId="0" fontId="28" fillId="0" borderId="0" xfId="0" applyFont="1" applyBorder="1" applyAlignment="1">
      <alignment horizontal="center"/>
    </xf>
    <xf numFmtId="5" fontId="156" fillId="0" borderId="0" xfId="0" applyNumberFormat="1" applyFont="1" applyFill="1" applyBorder="1" applyAlignment="1">
      <alignment horizontal="center"/>
    </xf>
    <xf numFmtId="10" fontId="23" fillId="74" borderId="48" xfId="0" applyNumberFormat="1" applyFont="1" applyFill="1" applyBorder="1"/>
    <xf numFmtId="226" fontId="14" fillId="0" borderId="11" xfId="2" applyNumberFormat="1" applyFont="1" applyBorder="1"/>
    <xf numFmtId="42" fontId="15" fillId="74" borderId="15" xfId="2" applyNumberFormat="1" applyFont="1" applyFill="1" applyBorder="1"/>
    <xf numFmtId="0" fontId="19" fillId="0" borderId="0" xfId="0" applyFont="1" applyBorder="1"/>
    <xf numFmtId="5" fontId="28" fillId="0" borderId="0" xfId="0" applyNumberFormat="1" applyFont="1" applyFill="1" applyBorder="1"/>
    <xf numFmtId="42" fontId="28" fillId="0" borderId="10" xfId="0" applyNumberFormat="1" applyFont="1" applyBorder="1"/>
    <xf numFmtId="10" fontId="28" fillId="0" borderId="0" xfId="0" applyNumberFormat="1" applyFont="1" applyFill="1" applyBorder="1"/>
    <xf numFmtId="42" fontId="28" fillId="0" borderId="55" xfId="0" applyNumberFormat="1" applyFont="1" applyFill="1" applyBorder="1"/>
    <xf numFmtId="0" fontId="14" fillId="0" borderId="0" xfId="2" applyFont="1" applyFill="1" applyBorder="1" applyAlignment="1">
      <alignment vertical="top" wrapText="1"/>
    </xf>
    <xf numFmtId="0" fontId="14" fillId="0" borderId="10" xfId="2" applyFont="1" applyFill="1" applyBorder="1" applyAlignment="1">
      <alignment vertical="top" wrapText="1"/>
    </xf>
    <xf numFmtId="0" fontId="0" fillId="6" borderId="0" xfId="0" applyFill="1"/>
    <xf numFmtId="0" fontId="23" fillId="6" borderId="10" xfId="0" applyFont="1" applyFill="1" applyBorder="1"/>
    <xf numFmtId="3" fontId="0" fillId="6" borderId="0" xfId="0" applyNumberFormat="1" applyFill="1"/>
    <xf numFmtId="3" fontId="0" fillId="6" borderId="0" xfId="0" applyNumberFormat="1" applyFill="1" applyBorder="1"/>
    <xf numFmtId="166" fontId="0" fillId="0" borderId="0" xfId="96" applyNumberFormat="1" applyFont="1" applyFill="1"/>
    <xf numFmtId="0" fontId="8" fillId="6" borderId="0" xfId="0" applyFont="1" applyFill="1"/>
    <xf numFmtId="41" fontId="14" fillId="0" borderId="0" xfId="2" applyNumberFormat="1" applyFont="1" applyFill="1" applyBorder="1"/>
    <xf numFmtId="5" fontId="28" fillId="0" borderId="0" xfId="0" applyNumberFormat="1" applyFont="1" applyBorder="1" applyAlignment="1">
      <alignment horizontal="right"/>
    </xf>
    <xf numFmtId="168" fontId="29" fillId="74" borderId="12" xfId="0" applyNumberFormat="1" applyFont="1" applyFill="1" applyBorder="1"/>
    <xf numFmtId="0" fontId="19" fillId="0" borderId="0" xfId="17" applyFont="1" applyAlignment="1"/>
    <xf numFmtId="0" fontId="19" fillId="74" borderId="0" xfId="0" applyFont="1" applyFill="1" applyAlignment="1">
      <alignment horizontal="centerContinuous"/>
    </xf>
    <xf numFmtId="0" fontId="27" fillId="74" borderId="0" xfId="0" applyFont="1" applyFill="1" applyAlignment="1">
      <alignment horizontal="centerContinuous"/>
    </xf>
    <xf numFmtId="0" fontId="15" fillId="0" borderId="0" xfId="2" applyFont="1" applyFill="1" applyBorder="1" applyAlignment="1">
      <alignment horizontal="center"/>
    </xf>
    <xf numFmtId="0" fontId="15" fillId="0" borderId="0" xfId="2" applyFont="1" applyFill="1" applyBorder="1" applyAlignment="1">
      <alignment horizontal="center" vertical="center"/>
    </xf>
    <xf numFmtId="0" fontId="14" fillId="0" borderId="0" xfId="2" applyNumberFormat="1" applyFont="1" applyFill="1" applyBorder="1" applyAlignment="1">
      <alignment horizontal="center"/>
    </xf>
    <xf numFmtId="0" fontId="14" fillId="0" borderId="0" xfId="2" applyFont="1" applyFill="1" applyBorder="1" applyAlignment="1">
      <alignment horizontal="center"/>
    </xf>
    <xf numFmtId="0" fontId="14" fillId="0" borderId="0" xfId="2" applyFont="1" applyFill="1" applyBorder="1" applyAlignment="1">
      <alignment horizontal="center" vertical="center"/>
    </xf>
    <xf numFmtId="0" fontId="20" fillId="0" borderId="0" xfId="2" applyNumberFormat="1" applyFont="1" applyFill="1" applyBorder="1" applyAlignment="1">
      <alignment horizontal="center"/>
    </xf>
    <xf numFmtId="0" fontId="20" fillId="0" borderId="0" xfId="2" applyFont="1" applyFill="1" applyBorder="1" applyAlignment="1">
      <alignment horizontal="center"/>
    </xf>
    <xf numFmtId="0" fontId="14" fillId="0" borderId="10" xfId="2" applyFont="1" applyFill="1" applyBorder="1" applyAlignment="1">
      <alignment horizontal="center"/>
    </xf>
    <xf numFmtId="0" fontId="14" fillId="0" borderId="10" xfId="2" applyFont="1" applyFill="1" applyBorder="1" applyAlignment="1">
      <alignment horizontal="center" vertical="center"/>
    </xf>
    <xf numFmtId="5" fontId="14" fillId="0" borderId="0" xfId="2" applyNumberFormat="1" applyFont="1" applyFill="1"/>
    <xf numFmtId="10" fontId="14" fillId="0" borderId="0" xfId="2" applyNumberFormat="1" applyFont="1" applyFill="1"/>
    <xf numFmtId="37" fontId="14" fillId="0" borderId="0" xfId="2" applyNumberFormat="1" applyFont="1" applyFill="1"/>
    <xf numFmtId="0" fontId="10" fillId="0" borderId="0" xfId="2" applyFont="1" applyFill="1"/>
    <xf numFmtId="0" fontId="10" fillId="0" borderId="0" xfId="2" applyFont="1" applyFill="1" applyAlignment="1">
      <alignment horizontal="right"/>
    </xf>
    <xf numFmtId="41" fontId="10" fillId="0" borderId="0" xfId="2" applyNumberFormat="1" applyFont="1" applyFill="1"/>
    <xf numFmtId="37" fontId="28" fillId="0" borderId="0" xfId="2" applyNumberFormat="1" applyFont="1" applyFill="1"/>
    <xf numFmtId="0" fontId="10" fillId="0" borderId="0" xfId="0" applyFont="1" applyFill="1"/>
    <xf numFmtId="0" fontId="14" fillId="0" borderId="0" xfId="2" applyNumberFormat="1" applyFont="1" applyFill="1" applyAlignment="1">
      <alignment horizontal="left"/>
    </xf>
    <xf numFmtId="0" fontId="14" fillId="0" borderId="49" xfId="2" applyNumberFormat="1" applyFont="1" applyFill="1" applyBorder="1" applyAlignment="1">
      <alignment horizontal="left"/>
    </xf>
    <xf numFmtId="0" fontId="14" fillId="0" borderId="50" xfId="2" applyNumberFormat="1" applyFont="1" applyFill="1" applyBorder="1" applyAlignment="1">
      <alignment horizontal="left"/>
    </xf>
    <xf numFmtId="0" fontId="14" fillId="0" borderId="51" xfId="2" applyNumberFormat="1" applyFont="1" applyFill="1" applyBorder="1" applyAlignment="1">
      <alignment horizontal="left"/>
    </xf>
    <xf numFmtId="0" fontId="14" fillId="0" borderId="49" xfId="2" applyFont="1" applyFill="1" applyBorder="1"/>
    <xf numFmtId="0" fontId="14" fillId="0" borderId="50" xfId="2" applyFont="1" applyFill="1" applyBorder="1"/>
    <xf numFmtId="0" fontId="14" fillId="0" borderId="51" xfId="2" applyFont="1" applyFill="1" applyBorder="1"/>
    <xf numFmtId="0" fontId="14" fillId="0" borderId="0" xfId="2" applyFont="1" applyFill="1" applyAlignment="1">
      <alignment horizontal="center"/>
    </xf>
    <xf numFmtId="0" fontId="14" fillId="0" borderId="3" xfId="2" applyFont="1" applyFill="1" applyBorder="1" applyAlignment="1">
      <alignment horizontal="center"/>
    </xf>
    <xf numFmtId="5" fontId="10" fillId="0" borderId="0" xfId="2" applyNumberFormat="1" applyFont="1" applyFill="1"/>
    <xf numFmtId="41" fontId="14" fillId="0" borderId="13" xfId="2" applyNumberFormat="1" applyFont="1" applyFill="1" applyBorder="1"/>
    <xf numFmtId="37" fontId="14" fillId="0" borderId="0" xfId="2" applyNumberFormat="1" applyFont="1" applyFill="1" applyBorder="1"/>
    <xf numFmtId="0" fontId="10" fillId="0" borderId="0" xfId="2" applyFont="1" applyFill="1" applyBorder="1"/>
    <xf numFmtId="5" fontId="15" fillId="0" borderId="0" xfId="2" applyNumberFormat="1" applyFont="1" applyFill="1"/>
    <xf numFmtId="10" fontId="14" fillId="0" borderId="0" xfId="16" applyNumberFormat="1" applyFont="1" applyFill="1"/>
    <xf numFmtId="0" fontId="18" fillId="0" borderId="10" xfId="0" applyFont="1" applyFill="1" applyBorder="1" applyAlignment="1">
      <alignment horizontal="center"/>
    </xf>
    <xf numFmtId="0" fontId="23" fillId="0" borderId="10" xfId="0" applyFont="1" applyFill="1" applyBorder="1"/>
    <xf numFmtId="10" fontId="0" fillId="0" borderId="0" xfId="16" applyNumberFormat="1" applyFont="1"/>
    <xf numFmtId="0" fontId="23" fillId="0" borderId="10" xfId="0" applyFont="1" applyBorder="1" applyAlignment="1">
      <alignment horizontal="center"/>
    </xf>
    <xf numFmtId="0" fontId="40" fillId="0" borderId="0" xfId="2" applyFont="1" applyFill="1" applyBorder="1" applyAlignment="1">
      <alignment vertical="top"/>
    </xf>
    <xf numFmtId="0" fontId="8" fillId="0" borderId="0" xfId="0" applyFont="1" applyBorder="1"/>
    <xf numFmtId="165" fontId="0" fillId="0" borderId="0" xfId="0" applyNumberFormat="1" applyBorder="1"/>
    <xf numFmtId="0" fontId="8" fillId="0" borderId="3" xfId="0" applyFont="1" applyBorder="1"/>
    <xf numFmtId="0" fontId="8" fillId="0" borderId="3" xfId="0" applyFont="1" applyBorder="1" applyAlignment="1">
      <alignment horizontal="center"/>
    </xf>
    <xf numFmtId="3" fontId="0" fillId="0" borderId="14" xfId="0" applyNumberFormat="1" applyFill="1" applyBorder="1"/>
    <xf numFmtId="10" fontId="0" fillId="0" borderId="3" xfId="0" applyNumberFormat="1" applyFill="1" applyBorder="1"/>
    <xf numFmtId="10" fontId="0" fillId="73" borderId="56" xfId="0" applyNumberFormat="1" applyFill="1" applyBorder="1"/>
    <xf numFmtId="3" fontId="0" fillId="0" borderId="0" xfId="0" applyNumberFormat="1" applyFill="1" applyBorder="1"/>
    <xf numFmtId="165" fontId="0" fillId="0" borderId="10" xfId="0" applyNumberFormat="1" applyBorder="1"/>
    <xf numFmtId="10" fontId="0" fillId="0" borderId="8" xfId="0" applyNumberFormat="1" applyFill="1" applyBorder="1"/>
    <xf numFmtId="176" fontId="56" fillId="6" borderId="0" xfId="0" applyNumberFormat="1" applyFont="1" applyFill="1"/>
    <xf numFmtId="6" fontId="45" fillId="0" borderId="0" xfId="2088" applyNumberFormat="1" applyFont="1"/>
    <xf numFmtId="172" fontId="45" fillId="0" borderId="0" xfId="2088" applyNumberFormat="1" applyFont="1"/>
    <xf numFmtId="6" fontId="45" fillId="0" borderId="0" xfId="2088" applyNumberFormat="1" applyFont="1" applyBorder="1"/>
    <xf numFmtId="37" fontId="45" fillId="0" borderId="10" xfId="2088" applyNumberFormat="1" applyFont="1" applyBorder="1"/>
    <xf numFmtId="37" fontId="45" fillId="0" borderId="0" xfId="2088" applyNumberFormat="1" applyFont="1" applyBorder="1"/>
    <xf numFmtId="6" fontId="45" fillId="0" borderId="3" xfId="2088" applyNumberFormat="1" applyFont="1" applyBorder="1"/>
    <xf numFmtId="37" fontId="45" fillId="0" borderId="0" xfId="2088" applyNumberFormat="1" applyFont="1"/>
    <xf numFmtId="5" fontId="45" fillId="0" borderId="0" xfId="2088" applyNumberFormat="1" applyFont="1"/>
    <xf numFmtId="37" fontId="49" fillId="0" borderId="0" xfId="2088" applyNumberFormat="1" applyFont="1"/>
    <xf numFmtId="5" fontId="45" fillId="0" borderId="10" xfId="2088" applyNumberFormat="1" applyFont="1" applyBorder="1"/>
    <xf numFmtId="10" fontId="45" fillId="0" borderId="0" xfId="3259" applyNumberFormat="1" applyFont="1"/>
    <xf numFmtId="0" fontId="46" fillId="0" borderId="0" xfId="0" applyFont="1" applyFill="1"/>
    <xf numFmtId="44" fontId="45" fillId="0" borderId="0" xfId="2088" applyFont="1"/>
    <xf numFmtId="0" fontId="23" fillId="0" borderId="0" xfId="0" applyFont="1" applyAlignment="1">
      <alignment horizontal="center"/>
    </xf>
    <xf numFmtId="227" fontId="23" fillId="0" borderId="0" xfId="0" applyNumberFormat="1" applyFont="1"/>
    <xf numFmtId="0" fontId="23" fillId="7" borderId="0" xfId="0" applyFont="1" applyFill="1"/>
    <xf numFmtId="3" fontId="159" fillId="7" borderId="0" xfId="3679" applyFont="1" applyFill="1" applyAlignment="1">
      <alignment horizontal="left" indent="1"/>
    </xf>
    <xf numFmtId="3" fontId="0" fillId="7" borderId="0" xfId="3679" applyFont="1" applyFill="1"/>
    <xf numFmtId="3" fontId="159" fillId="7" borderId="0" xfId="3679" applyFont="1" applyFill="1"/>
    <xf numFmtId="3" fontId="155" fillId="7" borderId="0" xfId="3679" applyFont="1" applyFill="1"/>
    <xf numFmtId="0" fontId="157" fillId="0" borderId="0" xfId="0" applyFont="1" applyAlignment="1">
      <alignment horizontal="center"/>
    </xf>
    <xf numFmtId="0" fontId="0" fillId="0" borderId="10" xfId="0" applyFill="1" applyBorder="1"/>
    <xf numFmtId="166" fontId="0" fillId="0" borderId="10" xfId="14" applyNumberFormat="1" applyFont="1" applyFill="1" applyBorder="1"/>
    <xf numFmtId="0" fontId="8" fillId="0" borderId="0" xfId="0" applyFont="1" applyFill="1"/>
    <xf numFmtId="166" fontId="0" fillId="0" borderId="10" xfId="0" applyNumberFormat="1" applyFill="1" applyBorder="1"/>
    <xf numFmtId="42" fontId="14" fillId="0" borderId="10" xfId="2" applyNumberFormat="1" applyFont="1" applyFill="1" applyBorder="1"/>
    <xf numFmtId="43" fontId="14" fillId="0" borderId="0" xfId="14" applyNumberFormat="1" applyFont="1" applyFill="1"/>
    <xf numFmtId="166" fontId="14" fillId="0" borderId="10" xfId="14" applyNumberFormat="1" applyFont="1" applyFill="1" applyBorder="1"/>
    <xf numFmtId="3" fontId="15" fillId="0" borderId="6" xfId="2" applyNumberFormat="1" applyFont="1" applyFill="1" applyBorder="1" applyAlignment="1">
      <alignment horizontal="center"/>
    </xf>
    <xf numFmtId="3" fontId="15" fillId="0" borderId="9" xfId="2" applyNumberFormat="1" applyFont="1" applyFill="1" applyBorder="1" applyAlignment="1">
      <alignment horizontal="center"/>
    </xf>
    <xf numFmtId="1" fontId="15" fillId="0" borderId="0" xfId="2" quotePrefix="1" applyNumberFormat="1" applyFont="1" applyFill="1" applyBorder="1" applyAlignment="1">
      <alignment horizontal="center"/>
    </xf>
    <xf numFmtId="3" fontId="15" fillId="0" borderId="0" xfId="2" applyNumberFormat="1" applyFont="1" applyFill="1" applyBorder="1" applyAlignment="1">
      <alignment horizontal="center"/>
    </xf>
    <xf numFmtId="42" fontId="15" fillId="0" borderId="0" xfId="2" applyNumberFormat="1" applyFont="1" applyFill="1" applyBorder="1"/>
    <xf numFmtId="1" fontId="15" fillId="0" borderId="0" xfId="2" applyNumberFormat="1" applyFont="1" applyFill="1" applyBorder="1" applyAlignment="1">
      <alignment horizontal="center"/>
    </xf>
    <xf numFmtId="41" fontId="15" fillId="75" borderId="0" xfId="2" applyNumberFormat="1" applyFont="1" applyFill="1" applyBorder="1"/>
    <xf numFmtId="3" fontId="14" fillId="0" borderId="0" xfId="2" applyNumberFormat="1" applyFont="1" applyFill="1" applyBorder="1"/>
    <xf numFmtId="10" fontId="14" fillId="0" borderId="0" xfId="16" applyNumberFormat="1" applyFont="1" applyFill="1" applyBorder="1"/>
    <xf numFmtId="0" fontId="18" fillId="0" borderId="0" xfId="0" applyFont="1" applyFill="1" applyBorder="1" applyAlignment="1">
      <alignment horizontal="center"/>
    </xf>
    <xf numFmtId="10" fontId="14" fillId="0" borderId="0" xfId="2" applyNumberFormat="1" applyFont="1" applyFill="1" applyBorder="1"/>
    <xf numFmtId="10" fontId="0" fillId="0" borderId="0" xfId="16" applyNumberFormat="1" applyFont="1" applyFill="1"/>
    <xf numFmtId="5" fontId="19" fillId="73" borderId="48" xfId="0" applyNumberFormat="1" applyFont="1" applyFill="1" applyBorder="1"/>
    <xf numFmtId="10" fontId="19" fillId="73" borderId="48" xfId="13" applyNumberFormat="1" applyFont="1" applyFill="1" applyBorder="1"/>
    <xf numFmtId="0" fontId="23" fillId="0" borderId="13" xfId="0" applyFont="1" applyFill="1" applyBorder="1"/>
    <xf numFmtId="10" fontId="19" fillId="0" borderId="0" xfId="16" applyNumberFormat="1" applyFont="1"/>
    <xf numFmtId="0" fontId="0" fillId="0" borderId="0" xfId="0" applyAlignment="1">
      <alignment horizontal="right"/>
    </xf>
    <xf numFmtId="43" fontId="0" fillId="0" borderId="0" xfId="0" applyNumberFormat="1"/>
    <xf numFmtId="37" fontId="10" fillId="0" borderId="0" xfId="1" applyNumberFormat="1" applyFont="1" applyFill="1" applyBorder="1"/>
    <xf numFmtId="3" fontId="10" fillId="0" borderId="0" xfId="12" applyNumberFormat="1" applyFont="1" applyFill="1" applyAlignment="1">
      <alignment vertical="top" wrapText="1"/>
    </xf>
    <xf numFmtId="42" fontId="14" fillId="0" borderId="0" xfId="2" applyNumberFormat="1" applyFont="1"/>
    <xf numFmtId="43" fontId="14" fillId="0" borderId="0" xfId="2" applyNumberFormat="1" applyFont="1"/>
    <xf numFmtId="166" fontId="14" fillId="0" borderId="0" xfId="2" applyNumberFormat="1" applyFont="1" applyFill="1" applyBorder="1"/>
    <xf numFmtId="41" fontId="14" fillId="0" borderId="0" xfId="2" applyNumberFormat="1" applyFont="1"/>
    <xf numFmtId="0" fontId="0" fillId="6" borderId="6" xfId="0" applyFill="1" applyBorder="1"/>
    <xf numFmtId="0" fontId="0" fillId="6" borderId="0" xfId="0" applyFill="1" applyBorder="1"/>
    <xf numFmtId="0" fontId="15" fillId="6" borderId="0" xfId="2" applyFont="1" applyFill="1" applyAlignment="1">
      <alignment horizontal="center"/>
    </xf>
    <xf numFmtId="0" fontId="0" fillId="6" borderId="6" xfId="0" applyFill="1" applyBorder="1" applyAlignment="1">
      <alignment horizontal="center"/>
    </xf>
    <xf numFmtId="0" fontId="8" fillId="6" borderId="0" xfId="0" applyFont="1" applyFill="1" applyBorder="1" applyAlignment="1">
      <alignment horizontal="center"/>
    </xf>
    <xf numFmtId="0" fontId="0" fillId="6" borderId="7" xfId="0" applyFill="1" applyBorder="1"/>
    <xf numFmtId="0" fontId="8" fillId="6" borderId="6" xfId="0" applyFont="1" applyFill="1" applyBorder="1" applyAlignment="1">
      <alignment horizontal="center"/>
    </xf>
    <xf numFmtId="0" fontId="8" fillId="6" borderId="7" xfId="0" applyFont="1" applyFill="1" applyBorder="1" applyAlignment="1">
      <alignment horizontal="center"/>
    </xf>
    <xf numFmtId="0" fontId="17" fillId="6" borderId="6" xfId="0" applyFont="1" applyFill="1" applyBorder="1" applyAlignment="1">
      <alignment horizontal="center"/>
    </xf>
    <xf numFmtId="0" fontId="17" fillId="6" borderId="0" xfId="0" applyFont="1" applyFill="1" applyBorder="1" applyAlignment="1">
      <alignment horizontal="center"/>
    </xf>
    <xf numFmtId="0" fontId="17" fillId="6" borderId="7" xfId="0" applyFont="1" applyFill="1" applyBorder="1" applyAlignment="1">
      <alignment horizontal="center"/>
    </xf>
    <xf numFmtId="3" fontId="0" fillId="6" borderId="6" xfId="0" applyNumberFormat="1" applyFill="1" applyBorder="1"/>
    <xf numFmtId="3" fontId="0" fillId="6" borderId="7" xfId="0" applyNumberFormat="1" applyFill="1" applyBorder="1"/>
    <xf numFmtId="3" fontId="0" fillId="6" borderId="9" xfId="0" applyNumberFormat="1" applyFill="1" applyBorder="1"/>
    <xf numFmtId="3" fontId="0" fillId="6" borderId="10" xfId="0" applyNumberFormat="1" applyFill="1" applyBorder="1"/>
    <xf numFmtId="3" fontId="0" fillId="6" borderId="11" xfId="0" applyNumberFormat="1" applyFill="1" applyBorder="1"/>
    <xf numFmtId="3" fontId="0" fillId="6" borderId="4" xfId="0" applyNumberFormat="1" applyFill="1" applyBorder="1"/>
    <xf numFmtId="3" fontId="0" fillId="6" borderId="14" xfId="0" applyNumberFormat="1" applyFill="1" applyBorder="1"/>
    <xf numFmtId="3" fontId="0" fillId="6" borderId="13" xfId="0" applyNumberFormat="1" applyFill="1" applyBorder="1"/>
    <xf numFmtId="3" fontId="0" fillId="6" borderId="15" xfId="0" applyNumberFormat="1" applyFill="1" applyBorder="1"/>
    <xf numFmtId="166" fontId="0" fillId="6" borderId="0" xfId="14" applyNumberFormat="1" applyFont="1" applyFill="1"/>
    <xf numFmtId="41" fontId="0" fillId="6" borderId="0" xfId="0" applyNumberFormat="1" applyFill="1"/>
    <xf numFmtId="167" fontId="15" fillId="0" borderId="2" xfId="2" applyNumberFormat="1" applyFont="1" applyFill="1" applyBorder="1" applyAlignment="1">
      <alignment horizontal="center"/>
    </xf>
    <xf numFmtId="167" fontId="18" fillId="0" borderId="0" xfId="150" applyNumberFormat="1" applyFont="1" applyFill="1" applyBorder="1" applyAlignment="1">
      <alignment horizontal="center"/>
    </xf>
    <xf numFmtId="41" fontId="15" fillId="6" borderId="0" xfId="2" applyNumberFormat="1" applyFont="1" applyFill="1"/>
    <xf numFmtId="3" fontId="28" fillId="0" borderId="0" xfId="12" applyNumberFormat="1" applyFont="1" applyFill="1"/>
    <xf numFmtId="0" fontId="19" fillId="0" borderId="0" xfId="0" applyFont="1" applyFill="1" applyBorder="1" applyAlignment="1">
      <alignment horizontal="center"/>
    </xf>
    <xf numFmtId="0" fontId="19" fillId="0" borderId="26" xfId="0" applyFont="1" applyBorder="1" applyAlignment="1">
      <alignment horizontal="center" wrapText="1"/>
    </xf>
    <xf numFmtId="5" fontId="19" fillId="0" borderId="48" xfId="0" applyNumberFormat="1" applyFont="1" applyFill="1" applyBorder="1"/>
    <xf numFmtId="42" fontId="28" fillId="0" borderId="0" xfId="0" applyNumberFormat="1" applyFont="1" applyFill="1" applyBorder="1"/>
    <xf numFmtId="10" fontId="19" fillId="0" borderId="48" xfId="13" applyNumberFormat="1" applyFont="1" applyFill="1" applyBorder="1"/>
    <xf numFmtId="0" fontId="8" fillId="0" borderId="0" xfId="0" quotePrefix="1" applyFont="1" applyBorder="1" applyAlignment="1">
      <alignment horizontal="right"/>
    </xf>
    <xf numFmtId="0" fontId="19" fillId="0" borderId="0" xfId="0" applyFont="1" applyBorder="1" applyAlignment="1">
      <alignment horizontal="center" wrapText="1"/>
    </xf>
    <xf numFmtId="0" fontId="0" fillId="0" borderId="26" xfId="0" applyBorder="1" applyAlignment="1">
      <alignment horizontal="center" wrapText="1"/>
    </xf>
    <xf numFmtId="0" fontId="10" fillId="0" borderId="0" xfId="0" applyFont="1" applyFill="1" applyBorder="1"/>
    <xf numFmtId="10" fontId="10" fillId="74" borderId="0" xfId="2" applyNumberFormat="1" applyFont="1" applyFill="1"/>
    <xf numFmtId="37" fontId="40" fillId="74" borderId="0" xfId="2" applyNumberFormat="1" applyFont="1" applyFill="1"/>
    <xf numFmtId="41" fontId="14" fillId="74" borderId="0" xfId="2" applyNumberFormat="1" applyFont="1" applyFill="1"/>
    <xf numFmtId="0" fontId="14" fillId="74" borderId="0" xfId="2" applyFont="1" applyFill="1"/>
    <xf numFmtId="0" fontId="14" fillId="74" borderId="0" xfId="2" applyFont="1" applyFill="1" applyAlignment="1">
      <alignment horizontal="center"/>
    </xf>
    <xf numFmtId="167" fontId="15" fillId="74" borderId="2" xfId="2" quotePrefix="1" applyNumberFormat="1" applyFont="1" applyFill="1" applyBorder="1" applyAlignment="1">
      <alignment horizontal="center"/>
    </xf>
    <xf numFmtId="0" fontId="0" fillId="74" borderId="0" xfId="0" quotePrefix="1" applyFill="1" applyAlignment="1">
      <alignment horizontal="center"/>
    </xf>
    <xf numFmtId="0" fontId="23" fillId="74" borderId="10" xfId="0" applyFont="1" applyFill="1" applyBorder="1"/>
    <xf numFmtId="42" fontId="14" fillId="74" borderId="0" xfId="2" applyNumberFormat="1" applyFont="1" applyFill="1"/>
    <xf numFmtId="0" fontId="0" fillId="0" borderId="0" xfId="0" applyFill="1" applyBorder="1" applyAlignment="1"/>
    <xf numFmtId="0" fontId="0" fillId="0" borderId="26" xfId="0" applyFill="1" applyBorder="1" applyAlignment="1"/>
    <xf numFmtId="0" fontId="161" fillId="0" borderId="21" xfId="0" applyFont="1" applyFill="1" applyBorder="1" applyAlignment="1">
      <alignment horizontal="center"/>
    </xf>
    <xf numFmtId="0" fontId="161" fillId="0" borderId="21" xfId="0" applyFont="1" applyFill="1" applyBorder="1" applyAlignment="1">
      <alignment horizontal="centerContinuous"/>
    </xf>
    <xf numFmtId="0" fontId="0" fillId="6" borderId="0" xfId="0" applyFill="1" applyBorder="1" applyAlignment="1"/>
    <xf numFmtId="10" fontId="10" fillId="74" borderId="10" xfId="16" applyNumberFormat="1" applyFont="1" applyFill="1" applyBorder="1"/>
    <xf numFmtId="10" fontId="10" fillId="74" borderId="55" xfId="2" applyNumberFormat="1" applyFont="1" applyFill="1" applyBorder="1"/>
    <xf numFmtId="166" fontId="0" fillId="0" borderId="0" xfId="14" applyNumberFormat="1" applyFont="1" applyFill="1" applyBorder="1"/>
    <xf numFmtId="0" fontId="8" fillId="0" borderId="0" xfId="0" applyFont="1" applyFill="1" applyBorder="1"/>
    <xf numFmtId="10" fontId="23" fillId="0" borderId="0" xfId="0" applyNumberFormat="1" applyFont="1" applyFill="1" applyBorder="1"/>
    <xf numFmtId="10" fontId="0" fillId="0" borderId="48" xfId="0" applyNumberFormat="1" applyBorder="1"/>
    <xf numFmtId="10" fontId="0" fillId="0" borderId="48" xfId="16" applyNumberFormat="1" applyFont="1" applyBorder="1"/>
    <xf numFmtId="0" fontId="42" fillId="74" borderId="0" xfId="0" applyFont="1" applyFill="1" applyAlignment="1">
      <alignment horizontal="center"/>
    </xf>
    <xf numFmtId="0" fontId="42" fillId="0" borderId="0" xfId="0" applyFont="1" applyAlignment="1">
      <alignment horizontal="center"/>
    </xf>
    <xf numFmtId="0" fontId="19" fillId="0" borderId="0" xfId="17" applyFont="1" applyAlignment="1">
      <alignment horizontal="center"/>
    </xf>
    <xf numFmtId="0" fontId="19" fillId="0" borderId="0" xfId="17" applyFont="1" applyBorder="1" applyAlignment="1">
      <alignment horizontal="center"/>
    </xf>
    <xf numFmtId="0" fontId="19" fillId="74" borderId="0" xfId="17" applyFont="1" applyFill="1" applyAlignment="1">
      <alignment horizontal="center"/>
    </xf>
    <xf numFmtId="3" fontId="41" fillId="0" borderId="26" xfId="12" applyNumberFormat="1" applyFont="1" applyFill="1" applyBorder="1" applyAlignment="1">
      <alignment horizontal="center"/>
    </xf>
    <xf numFmtId="3" fontId="14" fillId="0" borderId="50" xfId="2" applyNumberFormat="1" applyFont="1" applyFill="1" applyBorder="1" applyAlignment="1">
      <alignment horizontal="center"/>
    </xf>
    <xf numFmtId="3" fontId="14" fillId="0" borderId="51" xfId="2" applyNumberFormat="1" applyFont="1" applyFill="1" applyBorder="1" applyAlignment="1">
      <alignment horizontal="center"/>
    </xf>
    <xf numFmtId="0" fontId="14" fillId="0" borderId="50" xfId="2" applyFont="1" applyFill="1" applyBorder="1" applyAlignment="1">
      <alignment horizontal="center"/>
    </xf>
    <xf numFmtId="167" fontId="14" fillId="0" borderId="3" xfId="2" quotePrefix="1" applyNumberFormat="1" applyFont="1" applyFill="1" applyBorder="1" applyAlignment="1">
      <alignment horizontal="center" vertical="center" wrapText="1"/>
    </xf>
    <xf numFmtId="167" fontId="14" fillId="0" borderId="0" xfId="2" quotePrefix="1" applyNumberFormat="1" applyFont="1" applyFill="1" applyBorder="1" applyAlignment="1">
      <alignment horizontal="center" vertical="center" wrapText="1"/>
    </xf>
    <xf numFmtId="167" fontId="14" fillId="0" borderId="10" xfId="2" quotePrefix="1" applyNumberFormat="1" applyFont="1" applyFill="1" applyBorder="1" applyAlignment="1">
      <alignment horizontal="center" vertical="center" wrapText="1"/>
    </xf>
    <xf numFmtId="167" fontId="14" fillId="0" borderId="54" xfId="2" applyNumberFormat="1" applyFont="1" applyFill="1" applyBorder="1" applyAlignment="1">
      <alignment horizontal="center" wrapText="1"/>
    </xf>
    <xf numFmtId="167" fontId="14" fillId="0" borderId="0" xfId="2" applyNumberFormat="1" applyFont="1" applyFill="1" applyBorder="1" applyAlignment="1">
      <alignment horizontal="center" wrapText="1"/>
    </xf>
    <xf numFmtId="167" fontId="14" fillId="0" borderId="10" xfId="2" applyNumberFormat="1" applyFont="1" applyFill="1" applyBorder="1" applyAlignment="1">
      <alignment horizontal="center" wrapText="1"/>
    </xf>
    <xf numFmtId="167" fontId="14" fillId="0" borderId="3" xfId="2" quotePrefix="1" applyNumberFormat="1" applyFont="1" applyFill="1" applyBorder="1" applyAlignment="1">
      <alignment horizontal="center" wrapText="1"/>
    </xf>
    <xf numFmtId="167" fontId="14" fillId="0" borderId="0" xfId="2" quotePrefix="1" applyNumberFormat="1" applyFont="1" applyFill="1" applyBorder="1" applyAlignment="1">
      <alignment horizontal="center" wrapText="1"/>
    </xf>
    <xf numFmtId="167" fontId="14" fillId="0" borderId="10" xfId="2" quotePrefix="1" applyNumberFormat="1" applyFont="1" applyFill="1" applyBorder="1" applyAlignment="1">
      <alignment horizontal="center" wrapText="1"/>
    </xf>
    <xf numFmtId="167" fontId="14" fillId="0" borderId="54" xfId="2" quotePrefix="1"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10" xfId="0" applyFill="1" applyBorder="1" applyAlignment="1">
      <alignment horizontal="center" vertical="center" wrapText="1"/>
    </xf>
    <xf numFmtId="3" fontId="14" fillId="0" borderId="50" xfId="2" applyNumberFormat="1" applyFont="1" applyBorder="1" applyAlignment="1">
      <alignment horizontal="center"/>
    </xf>
    <xf numFmtId="3" fontId="14" fillId="0" borderId="51" xfId="2" applyNumberFormat="1" applyFont="1" applyBorder="1" applyAlignment="1">
      <alignment horizontal="center"/>
    </xf>
    <xf numFmtId="0" fontId="14" fillId="0" borderId="50" xfId="2" applyFont="1" applyBorder="1" applyAlignment="1">
      <alignment horizontal="center"/>
    </xf>
    <xf numFmtId="0" fontId="14" fillId="0" borderId="0" xfId="2" applyFont="1" applyFill="1" applyBorder="1" applyAlignment="1">
      <alignment horizontal="center" vertical="center" wrapText="1"/>
    </xf>
    <xf numFmtId="0" fontId="14" fillId="0" borderId="10" xfId="2" applyFont="1" applyFill="1" applyBorder="1" applyAlignment="1">
      <alignment horizontal="center" vertical="center" wrapText="1"/>
    </xf>
    <xf numFmtId="3" fontId="33" fillId="0" borderId="0" xfId="12" applyNumberFormat="1" applyFont="1" applyFill="1" applyBorder="1" applyAlignment="1">
      <alignment horizontal="center"/>
    </xf>
    <xf numFmtId="0" fontId="14" fillId="0" borderId="0" xfId="2" applyFont="1" applyFill="1" applyBorder="1" applyAlignment="1">
      <alignment horizontal="center" wrapText="1"/>
    </xf>
    <xf numFmtId="0" fontId="14" fillId="0" borderId="0" xfId="2" quotePrefix="1" applyFont="1" applyFill="1" applyBorder="1" applyAlignment="1">
      <alignment horizontal="center" wrapText="1"/>
    </xf>
    <xf numFmtId="0" fontId="14" fillId="0" borderId="10" xfId="2" quotePrefix="1" applyFont="1" applyFill="1" applyBorder="1" applyAlignment="1">
      <alignment horizontal="center" wrapText="1"/>
    </xf>
    <xf numFmtId="0" fontId="14" fillId="0" borderId="10" xfId="2" applyFont="1" applyFill="1" applyBorder="1" applyAlignment="1">
      <alignment horizontal="center" wrapText="1"/>
    </xf>
    <xf numFmtId="0" fontId="14" fillId="0" borderId="54" xfId="2" applyFont="1" applyFill="1" applyBorder="1" applyAlignment="1">
      <alignment horizontal="center" vertical="center" wrapText="1"/>
    </xf>
    <xf numFmtId="0" fontId="0" fillId="0" borderId="50" xfId="0" applyBorder="1" applyAlignment="1">
      <alignment horizontal="center"/>
    </xf>
    <xf numFmtId="10" fontId="34" fillId="0" borderId="0" xfId="13" applyNumberFormat="1" applyFont="1" applyFill="1" applyBorder="1" applyAlignment="1">
      <alignment horizontal="center"/>
    </xf>
    <xf numFmtId="3" fontId="41"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0" fontId="157" fillId="74" borderId="0" xfId="0" applyFont="1" applyFill="1" applyAlignment="1">
      <alignment horizontal="left"/>
    </xf>
    <xf numFmtId="0" fontId="19" fillId="74" borderId="0" xfId="0" applyFont="1" applyFill="1" applyAlignment="1">
      <alignment horizontal="center"/>
    </xf>
    <xf numFmtId="0" fontId="19" fillId="0" borderId="0" xfId="0" applyFont="1" applyAlignment="1">
      <alignment horizontal="center"/>
    </xf>
    <xf numFmtId="0" fontId="23" fillId="74" borderId="0" xfId="0" applyFont="1" applyFill="1" applyAlignment="1">
      <alignment horizontal="left" vertical="top" wrapText="1"/>
    </xf>
    <xf numFmtId="0" fontId="52" fillId="0" borderId="0" xfId="0" applyFont="1" applyAlignment="1">
      <alignment wrapText="1"/>
    </xf>
    <xf numFmtId="0" fontId="17" fillId="0" borderId="6" xfId="0" quotePrefix="1" applyFont="1" applyBorder="1" applyAlignment="1">
      <alignment horizontal="center"/>
    </xf>
    <xf numFmtId="0" fontId="17" fillId="0" borderId="0" xfId="0" quotePrefix="1" applyFont="1" applyBorder="1" applyAlignment="1">
      <alignment horizontal="center"/>
    </xf>
    <xf numFmtId="0" fontId="17" fillId="0" borderId="7" xfId="0" quotePrefix="1" applyFont="1" applyBorder="1" applyAlignment="1">
      <alignment horizontal="center"/>
    </xf>
    <xf numFmtId="0" fontId="17" fillId="6" borderId="6" xfId="0" quotePrefix="1" applyFont="1" applyFill="1" applyBorder="1" applyAlignment="1">
      <alignment horizontal="center"/>
    </xf>
    <xf numFmtId="0" fontId="17" fillId="6" borderId="0" xfId="0" quotePrefix="1" applyFont="1" applyFill="1" applyBorder="1" applyAlignment="1">
      <alignment horizontal="center"/>
    </xf>
    <xf numFmtId="0" fontId="17" fillId="6" borderId="7" xfId="0" quotePrefix="1" applyFont="1" applyFill="1" applyBorder="1" applyAlignment="1">
      <alignment horizontal="center"/>
    </xf>
  </cellXfs>
  <cellStyles count="42084">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27" xfId="42083"/>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34" xfId="42071"/>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33" xfId="42072"/>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16" xfId="42073"/>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14" xfId="42074"/>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18" xfId="42075"/>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3 6" xfId="42076"/>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32" xfId="4207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31" xfId="42078"/>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6 9" xfId="42079"/>
    <cellStyle name="Normal 60" xfId="42070"/>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30" xfId="42080"/>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34" xfId="42081"/>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30" xfId="42082"/>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plant'!$A$5</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2655722947926502"/>
                  <c:y val="4.1244682776721865E-2"/>
                </c:manualLayout>
              </c:layout>
              <c:numFmt formatCode="#,##0.00" sourceLinked="0"/>
            </c:trendlineLbl>
          </c:trendline>
          <c:xVal>
            <c:numRef>
              <c:f>'Net plant'!$B$4:$J$4</c:f>
              <c:numCache>
                <c:formatCode>General</c:formatCode>
                <c:ptCount val="9"/>
                <c:pt idx="0">
                  <c:v>0</c:v>
                </c:pt>
                <c:pt idx="1">
                  <c:v>1</c:v>
                </c:pt>
                <c:pt idx="2">
                  <c:v>2</c:v>
                </c:pt>
                <c:pt idx="3">
                  <c:v>3</c:v>
                </c:pt>
                <c:pt idx="4">
                  <c:v>4</c:v>
                </c:pt>
                <c:pt idx="5">
                  <c:v>5</c:v>
                </c:pt>
                <c:pt idx="6">
                  <c:v>6</c:v>
                </c:pt>
                <c:pt idx="7">
                  <c:v>7</c:v>
                </c:pt>
                <c:pt idx="8">
                  <c:v>8</c:v>
                </c:pt>
              </c:numCache>
            </c:numRef>
          </c:xVal>
          <c:yVal>
            <c:numRef>
              <c:f>'Net plant'!$B$5:$J$5</c:f>
              <c:numCache>
                <c:formatCode>_(* #,##0_);_(* \(#,##0\);_(* "-"??_);_(@_)</c:formatCode>
                <c:ptCount val="9"/>
                <c:pt idx="0">
                  <c:v>145500</c:v>
                </c:pt>
                <c:pt idx="1">
                  <c:v>154054</c:v>
                </c:pt>
                <c:pt idx="2">
                  <c:v>173806</c:v>
                </c:pt>
                <c:pt idx="3">
                  <c:v>177901</c:v>
                </c:pt>
                <c:pt idx="4">
                  <c:v>183553</c:v>
                </c:pt>
                <c:pt idx="5">
                  <c:v>195287</c:v>
                </c:pt>
                <c:pt idx="6">
                  <c:v>207759</c:v>
                </c:pt>
                <c:pt idx="7">
                  <c:v>225901</c:v>
                </c:pt>
                <c:pt idx="8">
                  <c:v>244647</c:v>
                </c:pt>
              </c:numCache>
            </c:numRef>
          </c:yVal>
          <c:smooth val="0"/>
        </c:ser>
        <c:dLbls>
          <c:showLegendKey val="0"/>
          <c:showVal val="0"/>
          <c:showCatName val="0"/>
          <c:showSerName val="0"/>
          <c:showPercent val="0"/>
          <c:showBubbleSize val="0"/>
        </c:dLbls>
        <c:axId val="436089232"/>
        <c:axId val="436092760"/>
      </c:scatterChart>
      <c:valAx>
        <c:axId val="4360892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092760"/>
        <c:crosses val="autoZero"/>
        <c:crossBetween val="midCat"/>
      </c:valAx>
      <c:valAx>
        <c:axId val="436092760"/>
        <c:scaling>
          <c:orientation val="minMax"/>
          <c:min val="14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0892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Underground Storage Plant </a:t>
            </a:r>
            <a:r>
              <a:rPr lang="en-US" baseline="0"/>
              <a:t>(Natural Gas)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0718383338299242"/>
                  <c:y val="0.361255192197522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'UTC - UGStorPlant'!$B$2:$J$2</c:f>
              <c:numCache>
                <c:formatCode>General</c:formatCode>
                <c:ptCount val="9"/>
                <c:pt idx="0">
                  <c:v>2007</c:v>
                </c:pt>
                <c:pt idx="1">
                  <c:v>2008</c:v>
                </c:pt>
                <c:pt idx="2">
                  <c:v>2009</c:v>
                </c:pt>
                <c:pt idx="3">
                  <c:v>2010</c:v>
                </c:pt>
                <c:pt idx="4">
                  <c:v>2011</c:v>
                </c:pt>
                <c:pt idx="5">
                  <c:v>2012</c:v>
                </c:pt>
                <c:pt idx="6">
                  <c:v>2013</c:v>
                </c:pt>
                <c:pt idx="7">
                  <c:v>2014</c:v>
                </c:pt>
                <c:pt idx="8">
                  <c:v>2015</c:v>
                </c:pt>
              </c:numCache>
            </c:numRef>
          </c:xVal>
          <c:yVal>
            <c:numRef>
              <c:f>'UTC - UGStorPlant'!$B$3:$J$3</c:f>
              <c:numCache>
                <c:formatCode>_(* #,##0_);_(* \(#,##0\);_(* "-"??_);_(@_)</c:formatCode>
                <c:ptCount val="9"/>
                <c:pt idx="0">
                  <c:v>13758</c:v>
                </c:pt>
                <c:pt idx="1">
                  <c:v>15260</c:v>
                </c:pt>
                <c:pt idx="2">
                  <c:v>21798</c:v>
                </c:pt>
                <c:pt idx="3">
                  <c:v>20047</c:v>
                </c:pt>
                <c:pt idx="4">
                  <c:v>22008</c:v>
                </c:pt>
                <c:pt idx="5">
                  <c:v>24365</c:v>
                </c:pt>
                <c:pt idx="6">
                  <c:v>24711</c:v>
                </c:pt>
                <c:pt idx="7">
                  <c:v>25235</c:v>
                </c:pt>
                <c:pt idx="8">
                  <c:v>25720</c:v>
                </c:pt>
              </c:numCache>
            </c:numRef>
          </c:yVal>
          <c:smooth val="0"/>
        </c:ser>
        <c:dLbls>
          <c:showLegendKey val="0"/>
          <c:showVal val="0"/>
          <c:showCatName val="0"/>
          <c:showSerName val="0"/>
          <c:showPercent val="0"/>
          <c:showBubbleSize val="0"/>
        </c:dLbls>
        <c:axId val="436094720"/>
        <c:axId val="436089624"/>
      </c:scatterChart>
      <c:valAx>
        <c:axId val="436094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089624"/>
        <c:crosses val="autoZero"/>
        <c:crossBetween val="midCat"/>
      </c:valAx>
      <c:valAx>
        <c:axId val="43608962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0947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Plant </a:t>
            </a:r>
            <a:r>
              <a:rPr lang="en-US" baseline="0"/>
              <a:t>(Natural Gas)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0718383338299242"/>
                  <c:y val="0.361255192197522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'UTC - DistrPlant'!$B$2:$J$2</c:f>
              <c:numCache>
                <c:formatCode>General</c:formatCode>
                <c:ptCount val="9"/>
                <c:pt idx="0">
                  <c:v>2007</c:v>
                </c:pt>
                <c:pt idx="1">
                  <c:v>2008</c:v>
                </c:pt>
                <c:pt idx="2">
                  <c:v>2009</c:v>
                </c:pt>
                <c:pt idx="3">
                  <c:v>2010</c:v>
                </c:pt>
                <c:pt idx="4">
                  <c:v>2011</c:v>
                </c:pt>
                <c:pt idx="5">
                  <c:v>2012</c:v>
                </c:pt>
                <c:pt idx="6">
                  <c:v>2013</c:v>
                </c:pt>
                <c:pt idx="7">
                  <c:v>2014</c:v>
                </c:pt>
                <c:pt idx="8">
                  <c:v>2015</c:v>
                </c:pt>
              </c:numCache>
            </c:numRef>
          </c:xVal>
          <c:yVal>
            <c:numRef>
              <c:f>'UTC - DistrPlant'!$B$3:$J$3</c:f>
              <c:numCache>
                <c:formatCode>_(* #,##0_);_(* \(#,##0\);_(* "-"??_);_(@_)</c:formatCode>
                <c:ptCount val="9"/>
                <c:pt idx="0">
                  <c:v>229417</c:v>
                </c:pt>
                <c:pt idx="1">
                  <c:v>240778</c:v>
                </c:pt>
                <c:pt idx="2">
                  <c:v>255976</c:v>
                </c:pt>
                <c:pt idx="3">
                  <c:v>269469</c:v>
                </c:pt>
                <c:pt idx="4">
                  <c:v>281279</c:v>
                </c:pt>
                <c:pt idx="5">
                  <c:v>296152</c:v>
                </c:pt>
                <c:pt idx="6">
                  <c:v>313469</c:v>
                </c:pt>
                <c:pt idx="7">
                  <c:v>337894</c:v>
                </c:pt>
                <c:pt idx="8">
                  <c:v>360612</c:v>
                </c:pt>
              </c:numCache>
            </c:numRef>
          </c:yVal>
          <c:smooth val="0"/>
        </c:ser>
        <c:dLbls>
          <c:showLegendKey val="0"/>
          <c:showVal val="0"/>
          <c:showCatName val="0"/>
          <c:showSerName val="0"/>
          <c:showPercent val="0"/>
          <c:showBubbleSize val="0"/>
        </c:dLbls>
        <c:axId val="436095896"/>
        <c:axId val="436090016"/>
      </c:scatterChart>
      <c:valAx>
        <c:axId val="4360958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090016"/>
        <c:crosses val="autoZero"/>
        <c:crossBetween val="midCat"/>
      </c:valAx>
      <c:valAx>
        <c:axId val="4360900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0958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Plant </a:t>
            </a:r>
            <a:r>
              <a:rPr lang="en-US" baseline="0"/>
              <a:t>(Natural Gas)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718383338299242"/>
                  <c:y val="0.361255192197522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'UTC - GeneralPlant'!$B$2:$J$2</c:f>
              <c:numCache>
                <c:formatCode>General</c:formatCode>
                <c:ptCount val="9"/>
                <c:pt idx="0">
                  <c:v>2007</c:v>
                </c:pt>
                <c:pt idx="1">
                  <c:v>2008</c:v>
                </c:pt>
                <c:pt idx="2">
                  <c:v>2009</c:v>
                </c:pt>
                <c:pt idx="3">
                  <c:v>2010</c:v>
                </c:pt>
                <c:pt idx="4">
                  <c:v>2011</c:v>
                </c:pt>
                <c:pt idx="5">
                  <c:v>2012</c:v>
                </c:pt>
                <c:pt idx="6">
                  <c:v>2013</c:v>
                </c:pt>
                <c:pt idx="7">
                  <c:v>2014</c:v>
                </c:pt>
                <c:pt idx="8">
                  <c:v>2015</c:v>
                </c:pt>
              </c:numCache>
            </c:numRef>
          </c:xVal>
          <c:yVal>
            <c:numRef>
              <c:f>'UTC - GeneralPlant'!$B$3:$J$3</c:f>
              <c:numCache>
                <c:formatCode>_(* #,##0_);_(* \(#,##0\);_(* "-"??_);_(@_)</c:formatCode>
                <c:ptCount val="9"/>
                <c:pt idx="0">
                  <c:v>21708</c:v>
                </c:pt>
                <c:pt idx="1">
                  <c:v>24256</c:v>
                </c:pt>
                <c:pt idx="2">
                  <c:v>27747</c:v>
                </c:pt>
                <c:pt idx="3">
                  <c:v>33401</c:v>
                </c:pt>
                <c:pt idx="4">
                  <c:v>38971</c:v>
                </c:pt>
                <c:pt idx="5">
                  <c:v>44809</c:v>
                </c:pt>
                <c:pt idx="6">
                  <c:v>52223</c:v>
                </c:pt>
                <c:pt idx="7">
                  <c:v>59169</c:v>
                </c:pt>
                <c:pt idx="8">
                  <c:v>75514</c:v>
                </c:pt>
              </c:numCache>
            </c:numRef>
          </c:yVal>
          <c:smooth val="0"/>
        </c:ser>
        <c:dLbls>
          <c:showLegendKey val="0"/>
          <c:showVal val="0"/>
          <c:showCatName val="0"/>
          <c:showSerName val="0"/>
          <c:showPercent val="0"/>
          <c:showBubbleSize val="0"/>
        </c:dLbls>
        <c:axId val="437311328"/>
        <c:axId val="437306624"/>
      </c:scatterChart>
      <c:valAx>
        <c:axId val="437311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306624"/>
        <c:crosses val="autoZero"/>
        <c:crossBetween val="midCat"/>
      </c:valAx>
      <c:valAx>
        <c:axId val="43730662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3113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Underground</a:t>
            </a:r>
            <a:r>
              <a:rPr lang="en-US" baseline="0"/>
              <a:t> Storage Accum. Depr. &amp; Amort. (Natural Gas)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0718383338299242"/>
                  <c:y val="0.361255192197522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'UTC - UGStorAccumDeprAmort'!$B$2:$J$2</c:f>
              <c:numCache>
                <c:formatCode>General</c:formatCode>
                <c:ptCount val="9"/>
                <c:pt idx="0">
                  <c:v>2007</c:v>
                </c:pt>
                <c:pt idx="1">
                  <c:v>2008</c:v>
                </c:pt>
                <c:pt idx="2">
                  <c:v>2009</c:v>
                </c:pt>
                <c:pt idx="3">
                  <c:v>2010</c:v>
                </c:pt>
                <c:pt idx="4">
                  <c:v>2011</c:v>
                </c:pt>
                <c:pt idx="5">
                  <c:v>2012</c:v>
                </c:pt>
                <c:pt idx="6">
                  <c:v>2013</c:v>
                </c:pt>
                <c:pt idx="7">
                  <c:v>2014</c:v>
                </c:pt>
                <c:pt idx="8">
                  <c:v>2015</c:v>
                </c:pt>
              </c:numCache>
            </c:numRef>
          </c:xVal>
          <c:yVal>
            <c:numRef>
              <c:f>'UTC - UGStorAccumDeprAmort'!$B$3:$J$3</c:f>
              <c:numCache>
                <c:formatCode>_(* #,##0_);_(* \(#,##0\);_(* "-"??_);_(@_)</c:formatCode>
                <c:ptCount val="9"/>
                <c:pt idx="0">
                  <c:v>7427</c:v>
                </c:pt>
                <c:pt idx="1">
                  <c:v>7581</c:v>
                </c:pt>
                <c:pt idx="2">
                  <c:v>7807</c:v>
                </c:pt>
                <c:pt idx="3">
                  <c:v>7912</c:v>
                </c:pt>
                <c:pt idx="4">
                  <c:v>8286</c:v>
                </c:pt>
                <c:pt idx="5">
                  <c:v>8677</c:v>
                </c:pt>
                <c:pt idx="6">
                  <c:v>9088</c:v>
                </c:pt>
                <c:pt idx="7">
                  <c:v>9521</c:v>
                </c:pt>
                <c:pt idx="8">
                  <c:v>9906</c:v>
                </c:pt>
              </c:numCache>
            </c:numRef>
          </c:yVal>
          <c:smooth val="0"/>
        </c:ser>
        <c:dLbls>
          <c:showLegendKey val="0"/>
          <c:showVal val="0"/>
          <c:showCatName val="0"/>
          <c:showSerName val="0"/>
          <c:showPercent val="0"/>
          <c:showBubbleSize val="0"/>
        </c:dLbls>
        <c:axId val="437311720"/>
        <c:axId val="437309368"/>
      </c:scatterChart>
      <c:valAx>
        <c:axId val="437311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309368"/>
        <c:crosses val="autoZero"/>
        <c:crossBetween val="midCat"/>
      </c:valAx>
      <c:valAx>
        <c:axId val="43730936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3117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Distribution Accum. Depr. &amp; Amort. (Natural Gas)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0718383338299242"/>
                  <c:y val="0.361255192197522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'UTC - DistrAccumAmortDepr'!$B$2:$J$2</c:f>
              <c:numCache>
                <c:formatCode>General</c:formatCode>
                <c:ptCount val="9"/>
                <c:pt idx="0">
                  <c:v>2007</c:v>
                </c:pt>
                <c:pt idx="1">
                  <c:v>2008</c:v>
                </c:pt>
                <c:pt idx="2">
                  <c:v>2009</c:v>
                </c:pt>
                <c:pt idx="3">
                  <c:v>2010</c:v>
                </c:pt>
                <c:pt idx="4">
                  <c:v>2011</c:v>
                </c:pt>
                <c:pt idx="5">
                  <c:v>2012</c:v>
                </c:pt>
                <c:pt idx="6">
                  <c:v>2013</c:v>
                </c:pt>
                <c:pt idx="7">
                  <c:v>2014</c:v>
                </c:pt>
                <c:pt idx="8">
                  <c:v>2015</c:v>
                </c:pt>
              </c:numCache>
            </c:numRef>
          </c:xVal>
          <c:yVal>
            <c:numRef>
              <c:f>'UTC - DistrAccumAmortDepr'!$B$3:$J$3</c:f>
              <c:numCache>
                <c:formatCode>_(* #,##0_);_(* \(#,##0\);_(* "-"??_);_(@_)</c:formatCode>
                <c:ptCount val="9"/>
                <c:pt idx="0">
                  <c:v>77997</c:v>
                </c:pt>
                <c:pt idx="1">
                  <c:v>81405</c:v>
                </c:pt>
                <c:pt idx="2">
                  <c:v>84021</c:v>
                </c:pt>
                <c:pt idx="3">
                  <c:v>89620</c:v>
                </c:pt>
                <c:pt idx="4">
                  <c:v>97489</c:v>
                </c:pt>
                <c:pt idx="5">
                  <c:v>102678</c:v>
                </c:pt>
                <c:pt idx="6">
                  <c:v>108662</c:v>
                </c:pt>
                <c:pt idx="7">
                  <c:v>114795</c:v>
                </c:pt>
                <c:pt idx="8">
                  <c:v>121623</c:v>
                </c:pt>
              </c:numCache>
            </c:numRef>
          </c:yVal>
          <c:smooth val="0"/>
        </c:ser>
        <c:dLbls>
          <c:showLegendKey val="0"/>
          <c:showVal val="0"/>
          <c:showCatName val="0"/>
          <c:showSerName val="0"/>
          <c:showPercent val="0"/>
          <c:showBubbleSize val="0"/>
        </c:dLbls>
        <c:axId val="437313680"/>
        <c:axId val="437308976"/>
      </c:scatterChart>
      <c:valAx>
        <c:axId val="437313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308976"/>
        <c:crosses val="autoZero"/>
        <c:crossBetween val="midCat"/>
      </c:valAx>
      <c:valAx>
        <c:axId val="4373089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3136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General Accum. Depr. &amp; Amort. (Natural Gas)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718383338299242"/>
                  <c:y val="0.361255192197522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'UTC - GeneralAccumAmortDepr'!$B$2:$J$2</c:f>
              <c:numCache>
                <c:formatCode>General</c:formatCode>
                <c:ptCount val="9"/>
                <c:pt idx="0">
                  <c:v>2007</c:v>
                </c:pt>
                <c:pt idx="1">
                  <c:v>2008</c:v>
                </c:pt>
                <c:pt idx="2">
                  <c:v>2009</c:v>
                </c:pt>
                <c:pt idx="3">
                  <c:v>2010</c:v>
                </c:pt>
                <c:pt idx="4">
                  <c:v>2011</c:v>
                </c:pt>
                <c:pt idx="5">
                  <c:v>2012</c:v>
                </c:pt>
                <c:pt idx="6">
                  <c:v>2013</c:v>
                </c:pt>
                <c:pt idx="7">
                  <c:v>2014</c:v>
                </c:pt>
                <c:pt idx="8">
                  <c:v>2015</c:v>
                </c:pt>
              </c:numCache>
            </c:numRef>
          </c:xVal>
          <c:yVal>
            <c:numRef>
              <c:f>'UTC - GeneralAccumAmortDepr'!$B$3:$J$3</c:f>
              <c:numCache>
                <c:formatCode>_(* #,##0_);_(* \(#,##0\);_(* "-"??_);_(@_)</c:formatCode>
                <c:ptCount val="9"/>
                <c:pt idx="0">
                  <c:v>7136</c:v>
                </c:pt>
                <c:pt idx="1">
                  <c:v>8309</c:v>
                </c:pt>
                <c:pt idx="2">
                  <c:v>8882</c:v>
                </c:pt>
                <c:pt idx="3">
                  <c:v>10722</c:v>
                </c:pt>
                <c:pt idx="4">
                  <c:v>10926</c:v>
                </c:pt>
                <c:pt idx="5">
                  <c:v>12186</c:v>
                </c:pt>
                <c:pt idx="6">
                  <c:v>14724</c:v>
                </c:pt>
                <c:pt idx="7">
                  <c:v>17429</c:v>
                </c:pt>
                <c:pt idx="8">
                  <c:v>20741</c:v>
                </c:pt>
              </c:numCache>
            </c:numRef>
          </c:yVal>
          <c:smooth val="0"/>
        </c:ser>
        <c:dLbls>
          <c:showLegendKey val="0"/>
          <c:showVal val="0"/>
          <c:showCatName val="0"/>
          <c:showSerName val="0"/>
          <c:showPercent val="0"/>
          <c:showBubbleSize val="0"/>
        </c:dLbls>
        <c:axId val="437310544"/>
        <c:axId val="437310152"/>
      </c:scatterChart>
      <c:valAx>
        <c:axId val="437310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310152"/>
        <c:crosses val="autoZero"/>
        <c:crossBetween val="midCat"/>
      </c:valAx>
      <c:valAx>
        <c:axId val="43731015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3105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UG Storage Depr/Amort Expenses (Natural Gas)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718383338299242"/>
                  <c:y val="0.361255192197522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'UTC - UGStorDeprAmorExp'!$B$2:$J$2</c:f>
              <c:numCache>
                <c:formatCode>General</c:formatCode>
                <c:ptCount val="9"/>
                <c:pt idx="0">
                  <c:v>2007</c:v>
                </c:pt>
                <c:pt idx="1">
                  <c:v>2008</c:v>
                </c:pt>
                <c:pt idx="2">
                  <c:v>2009</c:v>
                </c:pt>
                <c:pt idx="3">
                  <c:v>2010</c:v>
                </c:pt>
                <c:pt idx="4">
                  <c:v>2011</c:v>
                </c:pt>
                <c:pt idx="5">
                  <c:v>2012</c:v>
                </c:pt>
                <c:pt idx="6">
                  <c:v>2013</c:v>
                </c:pt>
                <c:pt idx="7">
                  <c:v>2014</c:v>
                </c:pt>
                <c:pt idx="8">
                  <c:v>2015</c:v>
                </c:pt>
              </c:numCache>
            </c:numRef>
          </c:xVal>
          <c:yVal>
            <c:numRef>
              <c:f>'UTC - UGStorDeprAmorExp'!$B$3:$J$3</c:f>
              <c:numCache>
                <c:formatCode>_(* #,##0_);_(* \(#,##0\);_(* "-"??_);_(@_)</c:formatCode>
                <c:ptCount val="9"/>
                <c:pt idx="0">
                  <c:v>310</c:v>
                </c:pt>
                <c:pt idx="1">
                  <c:v>276</c:v>
                </c:pt>
                <c:pt idx="2">
                  <c:v>393</c:v>
                </c:pt>
                <c:pt idx="3">
                  <c:v>348</c:v>
                </c:pt>
                <c:pt idx="4">
                  <c:v>395</c:v>
                </c:pt>
                <c:pt idx="5">
                  <c:v>438</c:v>
                </c:pt>
                <c:pt idx="6">
                  <c:v>380</c:v>
                </c:pt>
                <c:pt idx="7">
                  <c:v>402</c:v>
                </c:pt>
                <c:pt idx="8">
                  <c:v>439</c:v>
                </c:pt>
              </c:numCache>
            </c:numRef>
          </c:yVal>
          <c:smooth val="0"/>
        </c:ser>
        <c:dLbls>
          <c:showLegendKey val="0"/>
          <c:showVal val="0"/>
          <c:showCatName val="0"/>
          <c:showSerName val="0"/>
          <c:showPercent val="0"/>
          <c:showBubbleSize val="0"/>
        </c:dLbls>
        <c:axId val="437310936"/>
        <c:axId val="437307800"/>
      </c:scatterChart>
      <c:valAx>
        <c:axId val="437310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307800"/>
        <c:crosses val="autoZero"/>
        <c:crossBetween val="midCat"/>
      </c:valAx>
      <c:valAx>
        <c:axId val="4373078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3109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Distribution Depr/Amort Expenses (Natural Gas)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718383338299242"/>
                  <c:y val="0.361255192197522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'UTC - DistrDeprAmorExp'!$B$2:$J$2</c:f>
              <c:numCache>
                <c:formatCode>General</c:formatCode>
                <c:ptCount val="9"/>
                <c:pt idx="0">
                  <c:v>2007</c:v>
                </c:pt>
                <c:pt idx="1">
                  <c:v>2008</c:v>
                </c:pt>
                <c:pt idx="2">
                  <c:v>2009</c:v>
                </c:pt>
                <c:pt idx="3">
                  <c:v>2010</c:v>
                </c:pt>
                <c:pt idx="4">
                  <c:v>2011</c:v>
                </c:pt>
                <c:pt idx="5">
                  <c:v>2012</c:v>
                </c:pt>
                <c:pt idx="6">
                  <c:v>2013</c:v>
                </c:pt>
                <c:pt idx="7">
                  <c:v>2014</c:v>
                </c:pt>
                <c:pt idx="8">
                  <c:v>2015</c:v>
                </c:pt>
              </c:numCache>
            </c:numRef>
          </c:xVal>
          <c:yVal>
            <c:numRef>
              <c:f>'UTC - DistrDeprAmorExp'!$B$3:$J$3</c:f>
              <c:numCache>
                <c:formatCode>_(* #,##0_);_(* \(#,##0\);_(* "-"??_);_(@_)</c:formatCode>
                <c:ptCount val="9"/>
                <c:pt idx="0">
                  <c:v>5605</c:v>
                </c:pt>
                <c:pt idx="1">
                  <c:v>5673</c:v>
                </c:pt>
                <c:pt idx="2">
                  <c:v>6064</c:v>
                </c:pt>
                <c:pt idx="3">
                  <c:v>6367</c:v>
                </c:pt>
                <c:pt idx="4">
                  <c:v>6649</c:v>
                </c:pt>
                <c:pt idx="5">
                  <c:v>6978</c:v>
                </c:pt>
                <c:pt idx="6">
                  <c:v>7925</c:v>
                </c:pt>
                <c:pt idx="7">
                  <c:v>8513</c:v>
                </c:pt>
                <c:pt idx="8">
                  <c:v>9088</c:v>
                </c:pt>
              </c:numCache>
            </c:numRef>
          </c:yVal>
          <c:smooth val="0"/>
        </c:ser>
        <c:dLbls>
          <c:showLegendKey val="0"/>
          <c:showVal val="0"/>
          <c:showCatName val="0"/>
          <c:showSerName val="0"/>
          <c:showPercent val="0"/>
          <c:showBubbleSize val="0"/>
        </c:dLbls>
        <c:axId val="437312112"/>
        <c:axId val="437312504"/>
      </c:scatterChart>
      <c:valAx>
        <c:axId val="437312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312504"/>
        <c:crosses val="autoZero"/>
        <c:crossBetween val="midCat"/>
      </c:valAx>
      <c:valAx>
        <c:axId val="43731250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3121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General Depr/Amort Expenses (Natural Gas)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718383338299242"/>
                  <c:y val="0.361255192197522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'UTC - GenrlDeprAmorExp'!$B$2:$J$2</c:f>
              <c:numCache>
                <c:formatCode>General</c:formatCode>
                <c:ptCount val="9"/>
                <c:pt idx="0">
                  <c:v>2007</c:v>
                </c:pt>
                <c:pt idx="1">
                  <c:v>2008</c:v>
                </c:pt>
                <c:pt idx="2">
                  <c:v>2009</c:v>
                </c:pt>
                <c:pt idx="3">
                  <c:v>2010</c:v>
                </c:pt>
                <c:pt idx="4">
                  <c:v>2011</c:v>
                </c:pt>
                <c:pt idx="5">
                  <c:v>2012</c:v>
                </c:pt>
                <c:pt idx="6">
                  <c:v>2013</c:v>
                </c:pt>
                <c:pt idx="7">
                  <c:v>2014</c:v>
                </c:pt>
                <c:pt idx="8">
                  <c:v>2015</c:v>
                </c:pt>
              </c:numCache>
            </c:numRef>
          </c:xVal>
          <c:yVal>
            <c:numRef>
              <c:f>'UTC - GenrlDeprAmorExp'!$B$3:$J$3</c:f>
              <c:numCache>
                <c:formatCode>_(* #,##0_);_(* \(#,##0\);_(* "-"??_);_(@_)</c:formatCode>
                <c:ptCount val="9"/>
                <c:pt idx="0">
                  <c:v>1498</c:v>
                </c:pt>
                <c:pt idx="1">
                  <c:v>1803</c:v>
                </c:pt>
                <c:pt idx="2">
                  <c:v>1999</c:v>
                </c:pt>
                <c:pt idx="3">
                  <c:v>2412</c:v>
                </c:pt>
                <c:pt idx="4">
                  <c:v>2734</c:v>
                </c:pt>
                <c:pt idx="5">
                  <c:v>3276</c:v>
                </c:pt>
                <c:pt idx="6">
                  <c:v>3868</c:v>
                </c:pt>
                <c:pt idx="7">
                  <c:v>4389</c:v>
                </c:pt>
                <c:pt idx="8">
                  <c:v>5649</c:v>
                </c:pt>
              </c:numCache>
            </c:numRef>
          </c:yVal>
          <c:smooth val="0"/>
        </c:ser>
        <c:dLbls>
          <c:showLegendKey val="0"/>
          <c:showVal val="0"/>
          <c:showCatName val="0"/>
          <c:showSerName val="0"/>
          <c:showPercent val="0"/>
          <c:showBubbleSize val="0"/>
        </c:dLbls>
        <c:axId val="437308584"/>
        <c:axId val="437313288"/>
      </c:scatterChart>
      <c:valAx>
        <c:axId val="437308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313288"/>
        <c:crosses val="autoZero"/>
        <c:crossBetween val="midCat"/>
      </c:valAx>
      <c:valAx>
        <c:axId val="43731328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73085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layout/>
      <c:overlay val="0"/>
      <c:spPr>
        <a:noFill/>
        <a:ln>
          <a:noFill/>
        </a:ln>
        <a:effectLst/>
      </c:spPr>
    </c:title>
    <c:autoTitleDeleted val="0"/>
    <c:plotArea>
      <c:layout/>
      <c:scatterChart>
        <c:scatterStyle val="lineMarker"/>
        <c:varyColors val="0"/>
        <c:ser>
          <c:idx val="0"/>
          <c:order val="0"/>
          <c:tx>
            <c:strRef>
              <c:f>'Dep Amort'!$A$5</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numFmt formatCode="General" sourceLinked="0"/>
            </c:trendlineLbl>
          </c:trendline>
          <c:xVal>
            <c:numRef>
              <c:f>'Dep Amort'!$B$4:$J$4</c:f>
              <c:numCache>
                <c:formatCode>General</c:formatCode>
                <c:ptCount val="9"/>
                <c:pt idx="0">
                  <c:v>0</c:v>
                </c:pt>
                <c:pt idx="1">
                  <c:v>1</c:v>
                </c:pt>
                <c:pt idx="2">
                  <c:v>2</c:v>
                </c:pt>
                <c:pt idx="3">
                  <c:v>3</c:v>
                </c:pt>
                <c:pt idx="4">
                  <c:v>4</c:v>
                </c:pt>
                <c:pt idx="5">
                  <c:v>5</c:v>
                </c:pt>
                <c:pt idx="6">
                  <c:v>6</c:v>
                </c:pt>
                <c:pt idx="7">
                  <c:v>7</c:v>
                </c:pt>
                <c:pt idx="8">
                  <c:v>8</c:v>
                </c:pt>
              </c:numCache>
            </c:numRef>
          </c:xVal>
          <c:yVal>
            <c:numRef>
              <c:f>'Dep Amort'!$B$5:$J$5</c:f>
              <c:numCache>
                <c:formatCode>#,##0</c:formatCode>
                <c:ptCount val="9"/>
                <c:pt idx="0">
                  <c:v>7413</c:v>
                </c:pt>
                <c:pt idx="1">
                  <c:v>7752</c:v>
                </c:pt>
                <c:pt idx="2">
                  <c:v>8456</c:v>
                </c:pt>
                <c:pt idx="3">
                  <c:v>9127</c:v>
                </c:pt>
                <c:pt idx="4">
                  <c:v>9778</c:v>
                </c:pt>
                <c:pt idx="5">
                  <c:v>10692</c:v>
                </c:pt>
                <c:pt idx="6">
                  <c:v>12173</c:v>
                </c:pt>
                <c:pt idx="7">
                  <c:v>13304</c:v>
                </c:pt>
                <c:pt idx="8">
                  <c:v>15176</c:v>
                </c:pt>
              </c:numCache>
            </c:numRef>
          </c:yVal>
          <c:smooth val="0"/>
        </c:ser>
        <c:dLbls>
          <c:showLegendKey val="0"/>
          <c:showVal val="0"/>
          <c:showCatName val="0"/>
          <c:showSerName val="0"/>
          <c:showPercent val="0"/>
          <c:showBubbleSize val="0"/>
        </c:dLbls>
        <c:axId val="436091584"/>
        <c:axId val="436091976"/>
      </c:scatterChart>
      <c:valAx>
        <c:axId val="436091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091976"/>
        <c:crosses val="autoZero"/>
        <c:crossBetween val="midCat"/>
      </c:valAx>
      <c:valAx>
        <c:axId val="436091976"/>
        <c:scaling>
          <c:orientation val="minMax"/>
          <c:min val="6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0915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047136782518886E-2"/>
          <c:y val="0.17763409961685825"/>
          <c:w val="0.88033105742531759"/>
          <c:h val="0.71126308564877672"/>
        </c:manualLayout>
      </c:layout>
      <c:scatterChart>
        <c:scatterStyle val="lineMarker"/>
        <c:varyColors val="0"/>
        <c:ser>
          <c:idx val="0"/>
          <c:order val="0"/>
          <c:tx>
            <c:strRef>
              <c:f>'Taxes (other than income)'!$A$6</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4.7710821861552934E-2"/>
                  <c:y val="0.36570252582157892"/>
                </c:manualLayout>
              </c:layout>
              <c:numFmt formatCode="General" sourceLinked="0"/>
            </c:trendlineLbl>
          </c:trendline>
          <c:xVal>
            <c:numRef>
              <c:f>'Taxes (other than income)'!$B$5:$J$5</c:f>
              <c:numCache>
                <c:formatCode>General</c:formatCode>
                <c:ptCount val="9"/>
                <c:pt idx="0">
                  <c:v>0</c:v>
                </c:pt>
                <c:pt idx="1">
                  <c:v>1</c:v>
                </c:pt>
                <c:pt idx="2">
                  <c:v>2</c:v>
                </c:pt>
                <c:pt idx="3">
                  <c:v>3</c:v>
                </c:pt>
                <c:pt idx="4">
                  <c:v>4</c:v>
                </c:pt>
                <c:pt idx="5">
                  <c:v>5</c:v>
                </c:pt>
                <c:pt idx="6">
                  <c:v>6</c:v>
                </c:pt>
                <c:pt idx="7">
                  <c:v>7</c:v>
                </c:pt>
                <c:pt idx="8">
                  <c:v>8</c:v>
                </c:pt>
              </c:numCache>
            </c:numRef>
          </c:xVal>
          <c:yVal>
            <c:numRef>
              <c:f>'Taxes (other than income)'!$B$6:$J$6</c:f>
              <c:numCache>
                <c:formatCode>_(* #,##0_);_(* \(#,##0\);_(* "-"??_);_(@_)</c:formatCode>
                <c:ptCount val="9"/>
                <c:pt idx="0">
                  <c:v>3541</c:v>
                </c:pt>
                <c:pt idx="1">
                  <c:v>2961</c:v>
                </c:pt>
                <c:pt idx="2">
                  <c:v>3728</c:v>
                </c:pt>
                <c:pt idx="3">
                  <c:v>3834</c:v>
                </c:pt>
                <c:pt idx="4">
                  <c:v>4316.6743270000006</c:v>
                </c:pt>
                <c:pt idx="5">
                  <c:v>4592</c:v>
                </c:pt>
                <c:pt idx="6">
                  <c:v>5191</c:v>
                </c:pt>
                <c:pt idx="7">
                  <c:v>5523</c:v>
                </c:pt>
                <c:pt idx="8">
                  <c:v>5553</c:v>
                </c:pt>
              </c:numCache>
            </c:numRef>
          </c:yVal>
          <c:smooth val="0"/>
        </c:ser>
        <c:dLbls>
          <c:showLegendKey val="0"/>
          <c:showVal val="0"/>
          <c:showCatName val="0"/>
          <c:showSerName val="0"/>
          <c:showPercent val="0"/>
          <c:showBubbleSize val="0"/>
        </c:dLbls>
        <c:axId val="442264456"/>
        <c:axId val="442270336"/>
      </c:scatterChart>
      <c:valAx>
        <c:axId val="442264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70336"/>
        <c:crosses val="autoZero"/>
        <c:crossBetween val="midCat"/>
      </c:valAx>
      <c:valAx>
        <c:axId val="442270336"/>
        <c:scaling>
          <c:orientation val="minMax"/>
          <c:min val="25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644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 Operating Expenses 2007-2015</a:t>
            </a:r>
          </a:p>
        </c:rich>
      </c:tx>
      <c:layout/>
      <c:overlay val="0"/>
      <c:spPr>
        <a:noFill/>
        <a:ln>
          <a:noFill/>
        </a:ln>
        <a:effectLst/>
      </c:spPr>
    </c:title>
    <c:autoTitleDeleted val="0"/>
    <c:plotArea>
      <c:layout/>
      <c:scatterChart>
        <c:scatterStyle val="lineMarker"/>
        <c:varyColors val="0"/>
        <c:ser>
          <c:idx val="0"/>
          <c:order val="0"/>
          <c:tx>
            <c:strRef>
              <c:f>'Op Exp'!$A$5</c:f>
              <c:strCache>
                <c:ptCount val="1"/>
                <c:pt idx="0">
                  <c:v>Adjusted Operating Expenses</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0.32655722947926513"/>
                  <c:y val="4.1244682776721865E-2"/>
                </c:manualLayout>
              </c:layout>
              <c:numFmt formatCode="#,##0.00" sourceLinked="0"/>
            </c:trendlineLbl>
          </c:trendline>
          <c:trendline>
            <c:trendlineType val="linear"/>
            <c:dispRSqr val="0"/>
            <c:dispEq val="0"/>
          </c:trendline>
          <c:trendline>
            <c:spPr>
              <a:ln>
                <a:solidFill>
                  <a:schemeClr val="accent1"/>
                </a:solidFill>
              </a:ln>
            </c:spPr>
            <c:trendlineType val="linear"/>
            <c:dispRSqr val="1"/>
            <c:dispEq val="1"/>
            <c:trendlineLbl>
              <c:layout>
                <c:manualLayout>
                  <c:x val="2.0192415287644882E-2"/>
                  <c:y val="0.20226414815989555"/>
                </c:manualLayout>
              </c:layout>
              <c:numFmt formatCode="General" sourceLinked="0"/>
            </c:trendlineLbl>
          </c:trendline>
          <c:xVal>
            <c:numRef>
              <c:f>'Op Exp'!$B$4:$J$4</c:f>
              <c:numCache>
                <c:formatCode>General</c:formatCode>
                <c:ptCount val="9"/>
                <c:pt idx="0">
                  <c:v>0</c:v>
                </c:pt>
                <c:pt idx="1">
                  <c:v>1</c:v>
                </c:pt>
                <c:pt idx="2">
                  <c:v>2</c:v>
                </c:pt>
                <c:pt idx="3">
                  <c:v>3</c:v>
                </c:pt>
                <c:pt idx="4">
                  <c:v>4</c:v>
                </c:pt>
                <c:pt idx="5">
                  <c:v>5</c:v>
                </c:pt>
                <c:pt idx="6">
                  <c:v>6</c:v>
                </c:pt>
                <c:pt idx="7">
                  <c:v>7</c:v>
                </c:pt>
                <c:pt idx="8">
                  <c:v>8</c:v>
                </c:pt>
              </c:numCache>
            </c:numRef>
          </c:xVal>
          <c:yVal>
            <c:numRef>
              <c:f>'Op Exp'!$B$5:$J$5</c:f>
              <c:numCache>
                <c:formatCode>_(* #,##0_);_(* \(#,##0\);_(* "-"??_);_(@_)</c:formatCode>
                <c:ptCount val="9"/>
                <c:pt idx="0">
                  <c:v>20971</c:v>
                </c:pt>
                <c:pt idx="1">
                  <c:v>21575</c:v>
                </c:pt>
                <c:pt idx="2">
                  <c:v>24412</c:v>
                </c:pt>
                <c:pt idx="3">
                  <c:v>25880</c:v>
                </c:pt>
                <c:pt idx="4">
                  <c:v>27715.852941999998</c:v>
                </c:pt>
                <c:pt idx="5">
                  <c:v>30641</c:v>
                </c:pt>
                <c:pt idx="6">
                  <c:v>30945</c:v>
                </c:pt>
                <c:pt idx="7">
                  <c:v>31354</c:v>
                </c:pt>
                <c:pt idx="8">
                  <c:v>34758</c:v>
                </c:pt>
              </c:numCache>
            </c:numRef>
          </c:yVal>
          <c:smooth val="0"/>
        </c:ser>
        <c:dLbls>
          <c:showLegendKey val="0"/>
          <c:showVal val="0"/>
          <c:showCatName val="0"/>
          <c:showSerName val="0"/>
          <c:showPercent val="0"/>
          <c:showBubbleSize val="0"/>
        </c:dLbls>
        <c:axId val="442270728"/>
        <c:axId val="442266416"/>
      </c:scatterChart>
      <c:valAx>
        <c:axId val="442270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66416"/>
        <c:crosses val="autoZero"/>
        <c:crossBetween val="midCat"/>
      </c:valAx>
      <c:valAx>
        <c:axId val="4422664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707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 Other Revenue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5.4097550306211724E-2"/>
                  <c:y val="0.3528605278506853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'UTC - Other Revenue'!$B$2:$J$2</c:f>
              <c:numCache>
                <c:formatCode>General</c:formatCode>
                <c:ptCount val="9"/>
                <c:pt idx="0">
                  <c:v>2007</c:v>
                </c:pt>
                <c:pt idx="1">
                  <c:v>2008</c:v>
                </c:pt>
                <c:pt idx="2">
                  <c:v>2009</c:v>
                </c:pt>
                <c:pt idx="3">
                  <c:v>2010</c:v>
                </c:pt>
                <c:pt idx="4">
                  <c:v>2011</c:v>
                </c:pt>
                <c:pt idx="5">
                  <c:v>2012</c:v>
                </c:pt>
                <c:pt idx="6">
                  <c:v>2013</c:v>
                </c:pt>
                <c:pt idx="7">
                  <c:v>2014</c:v>
                </c:pt>
                <c:pt idx="8">
                  <c:v>2015</c:v>
                </c:pt>
              </c:numCache>
            </c:numRef>
          </c:xVal>
          <c:yVal>
            <c:numRef>
              <c:f>'UTC - Other Revenue'!$B$3:$J$3</c:f>
              <c:numCache>
                <c:formatCode>#,##0</c:formatCode>
                <c:ptCount val="9"/>
                <c:pt idx="0">
                  <c:v>13</c:v>
                </c:pt>
                <c:pt idx="1">
                  <c:v>75</c:v>
                </c:pt>
                <c:pt idx="2">
                  <c:v>93</c:v>
                </c:pt>
                <c:pt idx="3">
                  <c:v>64</c:v>
                </c:pt>
                <c:pt idx="4">
                  <c:v>47</c:v>
                </c:pt>
                <c:pt idx="5">
                  <c:v>285</c:v>
                </c:pt>
                <c:pt idx="6">
                  <c:v>403</c:v>
                </c:pt>
                <c:pt idx="7">
                  <c:v>332</c:v>
                </c:pt>
                <c:pt idx="8">
                  <c:v>215</c:v>
                </c:pt>
              </c:numCache>
            </c:numRef>
          </c:yVal>
          <c:smooth val="0"/>
        </c:ser>
        <c:dLbls>
          <c:showLegendKey val="0"/>
          <c:showVal val="0"/>
          <c:showCatName val="0"/>
          <c:showSerName val="0"/>
          <c:showPercent val="0"/>
          <c:showBubbleSize val="0"/>
        </c:dLbls>
        <c:axId val="442263672"/>
        <c:axId val="442264848"/>
      </c:scatterChart>
      <c:valAx>
        <c:axId val="4422636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64848"/>
        <c:crosses val="autoZero"/>
        <c:crossBetween val="midCat"/>
      </c:valAx>
      <c:valAx>
        <c:axId val="442264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636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'Op Exp-don''t use'!$A$5</c:f>
              <c:strCache>
                <c:ptCount val="1"/>
                <c:pt idx="0">
                  <c:v>Adj. Operating Expense (2009-2014, excl. 2012)</c:v>
                </c:pt>
              </c:strCache>
            </c:strRef>
          </c:tx>
          <c:spPr>
            <a:ln w="28575" cap="rnd">
              <a:noFill/>
              <a:round/>
            </a:ln>
            <a:effectLst/>
          </c:spPr>
          <c:marker>
            <c:symbol val="circle"/>
            <c:size val="5"/>
            <c:spPr>
              <a:solidFill>
                <a:schemeClr val="accent1"/>
              </a:solidFill>
              <a:ln w="9525">
                <a:solidFill>
                  <a:schemeClr val="accent1"/>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Exp-don''t use'!$B$5:$G$5</c:f>
              <c:numCache>
                <c:formatCode>#,##0</c:formatCode>
                <c:ptCount val="6"/>
                <c:pt idx="0">
                  <c:v>24412</c:v>
                </c:pt>
                <c:pt idx="1">
                  <c:v>25880</c:v>
                </c:pt>
                <c:pt idx="2">
                  <c:v>27715.852941999998</c:v>
                </c:pt>
                <c:pt idx="4">
                  <c:v>30945</c:v>
                </c:pt>
                <c:pt idx="5">
                  <c:v>31354</c:v>
                </c:pt>
              </c:numCache>
            </c:numRef>
          </c:yVal>
          <c:smooth val="0"/>
        </c:ser>
        <c:ser>
          <c:idx val="1"/>
          <c:order val="1"/>
          <c:tx>
            <c:strRef>
              <c:f>'Op Exp-don''t use'!$A$6</c:f>
              <c:strCache>
                <c:ptCount val="1"/>
                <c:pt idx="0">
                  <c:v>Adj. Operating Expense (2012)</c:v>
                </c:pt>
              </c:strCache>
            </c:strRef>
          </c:tx>
          <c:spPr>
            <a:ln w="28575" cap="rnd">
              <a:noFill/>
              <a:round/>
            </a:ln>
            <a:effectLst/>
          </c:spPr>
          <c:marker>
            <c:symbol val="circle"/>
            <c:size val="5"/>
            <c:spPr>
              <a:solidFill>
                <a:schemeClr val="accent2"/>
              </a:solidFill>
              <a:ln w="9525">
                <a:solidFill>
                  <a:schemeClr val="accent2"/>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Exp-don''t use'!$B$6:$G$6</c:f>
              <c:numCache>
                <c:formatCode>#,##0</c:formatCode>
                <c:ptCount val="6"/>
                <c:pt idx="3">
                  <c:v>30641</c:v>
                </c:pt>
              </c:numCache>
            </c:numRef>
          </c:yVal>
          <c:smooth val="0"/>
        </c:ser>
        <c:ser>
          <c:idx val="2"/>
          <c:order val="2"/>
          <c:tx>
            <c:strRef>
              <c:f>'Op Exp-don''t use'!$A$7</c:f>
              <c:strCache>
                <c:ptCount val="1"/>
                <c:pt idx="0">
                  <c:v>Adj. Operating Expense (2013-2014)</c:v>
                </c:pt>
              </c:strCache>
            </c:strRef>
          </c:tx>
          <c:spPr>
            <a:ln w="28575"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0.51671648723375352"/>
                  <c:y val="3.000608850913619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'Op Exp-don''t use'!$B$4:$G$4</c:f>
              <c:numCache>
                <c:formatCode>General</c:formatCode>
                <c:ptCount val="6"/>
                <c:pt idx="0">
                  <c:v>2009</c:v>
                </c:pt>
                <c:pt idx="1">
                  <c:v>2010</c:v>
                </c:pt>
                <c:pt idx="2">
                  <c:v>2011</c:v>
                </c:pt>
                <c:pt idx="3">
                  <c:v>2012</c:v>
                </c:pt>
                <c:pt idx="4">
                  <c:v>2013</c:v>
                </c:pt>
                <c:pt idx="5">
                  <c:v>2014</c:v>
                </c:pt>
              </c:numCache>
            </c:numRef>
          </c:xVal>
          <c:yVal>
            <c:numRef>
              <c:f>'Op Exp-don''t use'!$B$7:$G$7</c:f>
              <c:numCache>
                <c:formatCode>General</c:formatCode>
                <c:ptCount val="6"/>
                <c:pt idx="4" formatCode="#,##0">
                  <c:v>30945</c:v>
                </c:pt>
                <c:pt idx="5" formatCode="#,##0">
                  <c:v>31354</c:v>
                </c:pt>
              </c:numCache>
            </c:numRef>
          </c:yVal>
          <c:smooth val="0"/>
        </c:ser>
        <c:ser>
          <c:idx val="3"/>
          <c:order val="3"/>
          <c:tx>
            <c:strRef>
              <c:f>'Op Exp'!#REF!</c:f>
              <c:strCache>
                <c:ptCount val="1"/>
                <c:pt idx="0">
                  <c:v>#REF!</c:v>
                </c:pt>
              </c:strCache>
            </c:strRef>
          </c:tx>
          <c:spPr>
            <a:ln w="28575" cap="rnd">
              <a:noFill/>
              <a:round/>
            </a:ln>
            <a:effectLst/>
          </c:spPr>
          <c:marker>
            <c:symbol val="circle"/>
            <c:size val="5"/>
            <c:spPr>
              <a:solidFill>
                <a:schemeClr val="accent4"/>
              </a:solidFill>
              <a:ln w="9525">
                <a:solidFill>
                  <a:schemeClr val="accent4"/>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Exp'!#REF!</c:f>
              <c:numCache>
                <c:formatCode>General</c:formatCode>
                <c:ptCount val="1"/>
                <c:pt idx="0">
                  <c:v>1</c:v>
                </c:pt>
              </c:numCache>
            </c:numRef>
          </c:yVal>
          <c:smooth val="0"/>
        </c:ser>
        <c:dLbls>
          <c:showLegendKey val="0"/>
          <c:showVal val="0"/>
          <c:showCatName val="0"/>
          <c:showSerName val="0"/>
          <c:showPercent val="0"/>
          <c:showBubbleSize val="0"/>
        </c:dLbls>
        <c:axId val="442267984"/>
        <c:axId val="442265240"/>
      </c:scatterChart>
      <c:valAx>
        <c:axId val="442267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65240"/>
        <c:crosses val="autoZero"/>
        <c:crossBetween val="midCat"/>
      </c:valAx>
      <c:valAx>
        <c:axId val="442265240"/>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67984"/>
        <c:crosses val="autoZero"/>
        <c:crossBetween val="midCat"/>
      </c:valAx>
      <c:spPr>
        <a:noFill/>
        <a:ln>
          <a:noFill/>
        </a:ln>
        <a:effectLst/>
      </c:spPr>
    </c:plotArea>
    <c:legend>
      <c:legendPos val="b"/>
      <c:legendEntry>
        <c:idx val="0"/>
        <c:delete val="1"/>
      </c:legendEntry>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Deferred Taxes (Natural Gas)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5.4576594654055718E-2"/>
                  <c:y val="-0.3525743165160794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'UTC - Deferred Taxes'!$B$2:$J$2</c:f>
              <c:numCache>
                <c:formatCode>General</c:formatCode>
                <c:ptCount val="9"/>
                <c:pt idx="0">
                  <c:v>2007</c:v>
                </c:pt>
                <c:pt idx="1">
                  <c:v>2008</c:v>
                </c:pt>
                <c:pt idx="2">
                  <c:v>2009</c:v>
                </c:pt>
                <c:pt idx="3">
                  <c:v>2010</c:v>
                </c:pt>
                <c:pt idx="4">
                  <c:v>2011</c:v>
                </c:pt>
                <c:pt idx="5">
                  <c:v>2012</c:v>
                </c:pt>
                <c:pt idx="6">
                  <c:v>2013</c:v>
                </c:pt>
                <c:pt idx="7">
                  <c:v>2014</c:v>
                </c:pt>
                <c:pt idx="8">
                  <c:v>2015</c:v>
                </c:pt>
              </c:numCache>
            </c:numRef>
          </c:xVal>
          <c:yVal>
            <c:numRef>
              <c:f>'UTC - Deferred Taxes'!$B$3:$J$3</c:f>
              <c:numCache>
                <c:formatCode>_(* #,##0_);_(* \(#,##0\);_(* "-"??_);_(@_)</c:formatCode>
                <c:ptCount val="9"/>
                <c:pt idx="0">
                  <c:v>-26823</c:v>
                </c:pt>
                <c:pt idx="1">
                  <c:v>-28945</c:v>
                </c:pt>
                <c:pt idx="2">
                  <c:v>-31005</c:v>
                </c:pt>
                <c:pt idx="3">
                  <c:v>-36762</c:v>
                </c:pt>
                <c:pt idx="4">
                  <c:v>-42004</c:v>
                </c:pt>
                <c:pt idx="5">
                  <c:v>-46498</c:v>
                </c:pt>
                <c:pt idx="6">
                  <c:v>-50170</c:v>
                </c:pt>
                <c:pt idx="7">
                  <c:v>-54652</c:v>
                </c:pt>
                <c:pt idx="8">
                  <c:v>-64929</c:v>
                </c:pt>
              </c:numCache>
            </c:numRef>
          </c:yVal>
          <c:smooth val="0"/>
        </c:ser>
        <c:dLbls>
          <c:showLegendKey val="0"/>
          <c:showVal val="0"/>
          <c:showCatName val="0"/>
          <c:showSerName val="0"/>
          <c:showPercent val="0"/>
          <c:showBubbleSize val="0"/>
        </c:dLbls>
        <c:axId val="442268376"/>
        <c:axId val="442268768"/>
      </c:scatterChart>
      <c:valAx>
        <c:axId val="442268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68768"/>
        <c:crosses val="autoZero"/>
        <c:crossBetween val="midCat"/>
      </c:valAx>
      <c:valAx>
        <c:axId val="44226876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683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76200</xdr:colOff>
      <xdr:row>6</xdr:row>
      <xdr:rowOff>34290</xdr:rowOff>
    </xdr:from>
    <xdr:to>
      <xdr:col>6</xdr:col>
      <xdr:colOff>579120</xdr:colOff>
      <xdr:row>22</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16566</xdr:colOff>
      <xdr:row>5</xdr:row>
      <xdr:rowOff>148258</xdr:rowOff>
    </xdr:from>
    <xdr:to>
      <xdr:col>6</xdr:col>
      <xdr:colOff>8283</xdr:colOff>
      <xdr:row>23</xdr:row>
      <xdr:rowOff>8283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41414</xdr:colOff>
      <xdr:row>5</xdr:row>
      <xdr:rowOff>148258</xdr:rowOff>
    </xdr:from>
    <xdr:to>
      <xdr:col>6</xdr:col>
      <xdr:colOff>33131</xdr:colOff>
      <xdr:row>23</xdr:row>
      <xdr:rowOff>8283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16566</xdr:colOff>
      <xdr:row>5</xdr:row>
      <xdr:rowOff>148258</xdr:rowOff>
    </xdr:from>
    <xdr:to>
      <xdr:col>6</xdr:col>
      <xdr:colOff>8283</xdr:colOff>
      <xdr:row>23</xdr:row>
      <xdr:rowOff>8283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16566</xdr:colOff>
      <xdr:row>5</xdr:row>
      <xdr:rowOff>148258</xdr:rowOff>
    </xdr:from>
    <xdr:to>
      <xdr:col>6</xdr:col>
      <xdr:colOff>8283</xdr:colOff>
      <xdr:row>23</xdr:row>
      <xdr:rowOff>8283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16566</xdr:colOff>
      <xdr:row>5</xdr:row>
      <xdr:rowOff>148258</xdr:rowOff>
    </xdr:from>
    <xdr:to>
      <xdr:col>6</xdr:col>
      <xdr:colOff>8283</xdr:colOff>
      <xdr:row>23</xdr:row>
      <xdr:rowOff>8283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16566</xdr:colOff>
      <xdr:row>5</xdr:row>
      <xdr:rowOff>148258</xdr:rowOff>
    </xdr:from>
    <xdr:to>
      <xdr:col>6</xdr:col>
      <xdr:colOff>8283</xdr:colOff>
      <xdr:row>23</xdr:row>
      <xdr:rowOff>8283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16566</xdr:colOff>
      <xdr:row>5</xdr:row>
      <xdr:rowOff>148258</xdr:rowOff>
    </xdr:from>
    <xdr:to>
      <xdr:col>6</xdr:col>
      <xdr:colOff>8283</xdr:colOff>
      <xdr:row>23</xdr:row>
      <xdr:rowOff>8283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16566</xdr:colOff>
      <xdr:row>5</xdr:row>
      <xdr:rowOff>148258</xdr:rowOff>
    </xdr:from>
    <xdr:to>
      <xdr:col>6</xdr:col>
      <xdr:colOff>8283</xdr:colOff>
      <xdr:row>23</xdr:row>
      <xdr:rowOff>8283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16566</xdr:colOff>
      <xdr:row>5</xdr:row>
      <xdr:rowOff>148258</xdr:rowOff>
    </xdr:from>
    <xdr:to>
      <xdr:col>6</xdr:col>
      <xdr:colOff>8283</xdr:colOff>
      <xdr:row>23</xdr:row>
      <xdr:rowOff>8283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91440</xdr:colOff>
      <xdr:row>6</xdr:row>
      <xdr:rowOff>57150</xdr:rowOff>
    </xdr:from>
    <xdr:to>
      <xdr:col>6</xdr:col>
      <xdr:colOff>495300</xdr:colOff>
      <xdr:row>22</xdr:row>
      <xdr:rowOff>118110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68580</xdr:colOff>
      <xdr:row>7</xdr:row>
      <xdr:rowOff>11430</xdr:rowOff>
    </xdr:from>
    <xdr:to>
      <xdr:col>6</xdr:col>
      <xdr:colOff>525780</xdr:colOff>
      <xdr:row>23</xdr:row>
      <xdr:rowOff>72390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6</xdr:row>
      <xdr:rowOff>34290</xdr:rowOff>
    </xdr:from>
    <xdr:to>
      <xdr:col>6</xdr:col>
      <xdr:colOff>579120</xdr:colOff>
      <xdr:row>22</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24848</xdr:colOff>
      <xdr:row>9</xdr:row>
      <xdr:rowOff>139976</xdr:rowOff>
    </xdr:from>
    <xdr:to>
      <xdr:col>6</xdr:col>
      <xdr:colOff>215348</xdr:colOff>
      <xdr:row>26</xdr:row>
      <xdr:rowOff>67089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13</xdr:row>
      <xdr:rowOff>60960</xdr:rowOff>
    </xdr:from>
    <xdr:to>
      <xdr:col>5</xdr:col>
      <xdr:colOff>476250</xdr:colOff>
      <xdr:row>30</xdr:row>
      <xdr:rowOff>69850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16566</xdr:colOff>
      <xdr:row>5</xdr:row>
      <xdr:rowOff>148258</xdr:rowOff>
    </xdr:from>
    <xdr:to>
      <xdr:col>6</xdr:col>
      <xdr:colOff>8283</xdr:colOff>
      <xdr:row>23</xdr:row>
      <xdr:rowOff>8283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twoCellAnchor editAs="oneCell">
    <xdr:from>
      <xdr:col>13</xdr:col>
      <xdr:colOff>9525</xdr:colOff>
      <xdr:row>6</xdr:row>
      <xdr:rowOff>28575</xdr:rowOff>
    </xdr:from>
    <xdr:to>
      <xdr:col>13</xdr:col>
      <xdr:colOff>209550</xdr:colOff>
      <xdr:row>8</xdr:row>
      <xdr:rowOff>125730</xdr:rowOff>
    </xdr:to>
    <xdr:sp macro="" textlink="">
      <xdr:nvSpPr>
        <xdr:cNvPr id="3" name="AutoShape 1"/>
        <xdr:cNvSpPr>
          <a:spLocks/>
        </xdr:cNvSpPr>
      </xdr:nvSpPr>
      <xdr:spPr bwMode="auto">
        <a:xfrm>
          <a:off x="12734925" y="1034415"/>
          <a:ext cx="200025" cy="432435"/>
        </a:xfrm>
        <a:prstGeom prst="rightBrace">
          <a:avLst>
            <a:gd name="adj1" fmla="val 16270"/>
            <a:gd name="adj2" fmla="val 50000"/>
          </a:avLst>
        </a:prstGeom>
        <a:noFill/>
        <a:ln w="9525">
          <a:solidFill>
            <a:srgbClr val="000000"/>
          </a:solidFill>
          <a:round/>
          <a:headEnd/>
          <a:tailEnd/>
        </a:ln>
      </xdr:spPr>
    </xdr:sp>
    <xdr:clientData/>
  </xdr:twoCellAnchor>
  <xdr:twoCellAnchor editAs="oneCell">
    <xdr:from>
      <xdr:col>13</xdr:col>
      <xdr:colOff>9525</xdr:colOff>
      <xdr:row>6</xdr:row>
      <xdr:rowOff>28575</xdr:rowOff>
    </xdr:from>
    <xdr:to>
      <xdr:col>13</xdr:col>
      <xdr:colOff>209550</xdr:colOff>
      <xdr:row>8</xdr:row>
      <xdr:rowOff>133350</xdr:rowOff>
    </xdr:to>
    <xdr:sp macro="" textlink="">
      <xdr:nvSpPr>
        <xdr:cNvPr id="4" name="AutoShape 1"/>
        <xdr:cNvSpPr>
          <a:spLocks/>
        </xdr:cNvSpPr>
      </xdr:nvSpPr>
      <xdr:spPr bwMode="auto">
        <a:xfrm>
          <a:off x="12734925" y="1034415"/>
          <a:ext cx="200025" cy="440055"/>
        </a:xfrm>
        <a:prstGeom prst="rightBrace">
          <a:avLst>
            <a:gd name="adj1" fmla="val 1627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24.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130" zoomScaleNormal="100" zoomScaleSheetLayoutView="130" workbookViewId="0">
      <selection activeCell="H28" sqref="H28"/>
    </sheetView>
  </sheetViews>
  <sheetFormatPr defaultRowHeight="12.75"/>
  <cols>
    <col min="1" max="1" width="6" customWidth="1"/>
    <col min="2" max="2" width="2.140625" customWidth="1"/>
    <col min="3" max="3" width="33.28515625" customWidth="1"/>
    <col min="4" max="4" width="4.5703125" customWidth="1"/>
    <col min="5" max="5" width="4.7109375" customWidth="1"/>
    <col min="6" max="6" width="13" customWidth="1"/>
    <col min="7" max="8" width="13.7109375" customWidth="1"/>
    <col min="9" max="9" width="13.42578125" hidden="1" customWidth="1"/>
    <col min="10" max="10" width="2.5703125" customWidth="1"/>
    <col min="11" max="12" width="11.85546875" customWidth="1"/>
  </cols>
  <sheetData>
    <row r="1" spans="1:12" s="203" customFormat="1" ht="14.25">
      <c r="A1" s="556" t="s">
        <v>521</v>
      </c>
      <c r="B1" s="556"/>
      <c r="C1" s="556"/>
      <c r="D1" s="556"/>
      <c r="E1" s="556"/>
      <c r="F1" s="556"/>
      <c r="G1" s="556"/>
      <c r="H1" s="556"/>
      <c r="I1" s="556"/>
      <c r="J1" s="556"/>
    </row>
    <row r="2" spans="1:12" s="203" customFormat="1" ht="14.25">
      <c r="A2" s="556" t="s">
        <v>554</v>
      </c>
      <c r="B2" s="556"/>
      <c r="C2" s="556"/>
      <c r="D2" s="556"/>
      <c r="E2" s="556"/>
      <c r="F2" s="556"/>
      <c r="G2" s="556"/>
      <c r="H2" s="556"/>
      <c r="I2" s="556"/>
      <c r="J2" s="556"/>
    </row>
    <row r="3" spans="1:12" s="203" customFormat="1" ht="14.25">
      <c r="A3" s="556" t="s">
        <v>523</v>
      </c>
      <c r="B3" s="556"/>
      <c r="C3" s="556"/>
      <c r="D3" s="556"/>
      <c r="E3" s="556"/>
      <c r="F3" s="556"/>
      <c r="G3" s="556"/>
      <c r="H3" s="556"/>
      <c r="I3" s="556"/>
      <c r="J3" s="556"/>
    </row>
    <row r="4" spans="1:12" s="203" customFormat="1" ht="12.75" customHeight="1">
      <c r="A4" s="556" t="s">
        <v>535</v>
      </c>
      <c r="B4" s="556"/>
      <c r="C4" s="556"/>
      <c r="D4" s="556"/>
      <c r="E4" s="556"/>
      <c r="F4" s="556"/>
      <c r="G4" s="556"/>
      <c r="H4" s="556"/>
      <c r="I4" s="556"/>
      <c r="J4" s="556"/>
    </row>
    <row r="5" spans="1:12" s="203" customFormat="1" ht="14.25">
      <c r="A5" s="557" t="s">
        <v>222</v>
      </c>
      <c r="B5" s="557"/>
      <c r="C5" s="557"/>
      <c r="D5" s="557"/>
      <c r="E5" s="557"/>
      <c r="F5" s="557"/>
      <c r="G5" s="557"/>
      <c r="H5" s="557"/>
      <c r="I5" s="557"/>
      <c r="J5" s="557"/>
    </row>
    <row r="6" spans="1:12">
      <c r="A6" s="151"/>
      <c r="B6" s="151"/>
      <c r="C6" s="151"/>
      <c r="D6" s="151"/>
      <c r="E6" s="151"/>
      <c r="F6" s="151"/>
      <c r="G6" s="151"/>
      <c r="H6" s="151"/>
    </row>
    <row r="7" spans="1:12">
      <c r="A7" s="151"/>
      <c r="B7" s="151"/>
      <c r="C7" s="151"/>
      <c r="D7" s="151"/>
      <c r="E7" s="151"/>
      <c r="F7" s="151" t="s">
        <v>223</v>
      </c>
      <c r="G7" s="151" t="s">
        <v>224</v>
      </c>
      <c r="H7" s="151" t="s">
        <v>225</v>
      </c>
      <c r="J7" s="104"/>
      <c r="K7" s="526" t="s">
        <v>536</v>
      </c>
      <c r="L7" s="526" t="s">
        <v>537</v>
      </c>
    </row>
    <row r="8" spans="1:12" ht="60.75" customHeight="1" thickBot="1">
      <c r="A8" s="527" t="s">
        <v>242</v>
      </c>
      <c r="B8" s="527"/>
      <c r="C8" s="527" t="s">
        <v>88</v>
      </c>
      <c r="D8" s="532"/>
      <c r="E8" s="532"/>
      <c r="F8" s="527" t="s">
        <v>541</v>
      </c>
      <c r="G8" s="527" t="s">
        <v>126</v>
      </c>
      <c r="H8" s="527" t="s">
        <v>542</v>
      </c>
      <c r="I8" s="533"/>
      <c r="J8" s="533"/>
      <c r="K8" s="527" t="s">
        <v>538</v>
      </c>
      <c r="L8" s="527" t="s">
        <v>539</v>
      </c>
    </row>
    <row r="9" spans="1:12">
      <c r="A9" s="193"/>
      <c r="B9" s="193"/>
      <c r="C9" s="193"/>
      <c r="D9" s="193"/>
      <c r="E9" s="193"/>
      <c r="F9" s="193"/>
      <c r="G9" s="193"/>
      <c r="H9" s="193"/>
      <c r="I9" s="104"/>
      <c r="J9" s="104"/>
      <c r="K9" s="104"/>
      <c r="L9" s="104"/>
    </row>
    <row r="10" spans="1:12">
      <c r="A10" s="376">
        <v>1</v>
      </c>
      <c r="B10" s="193"/>
      <c r="C10" s="193" t="s">
        <v>543</v>
      </c>
      <c r="D10" s="193"/>
      <c r="E10" s="193"/>
      <c r="F10" s="195">
        <f>'Attrition 12.2015 to 2017'!Q87</f>
        <v>301295.76677489164</v>
      </c>
      <c r="G10" s="370">
        <f>'Attrition 12.2015 to 2017'!Q98</f>
        <v>1.0244837193288578</v>
      </c>
      <c r="H10" s="195">
        <f>F10/G10</f>
        <v>294095.22190579207</v>
      </c>
      <c r="I10" s="104"/>
      <c r="J10" s="104"/>
      <c r="K10" s="104"/>
      <c r="L10" s="104"/>
    </row>
    <row r="11" spans="1:12">
      <c r="A11" s="376"/>
      <c r="B11" s="193"/>
      <c r="C11" s="193"/>
      <c r="D11" s="193"/>
      <c r="E11" s="193"/>
      <c r="F11" s="195"/>
      <c r="G11" s="195"/>
      <c r="H11" s="195"/>
      <c r="I11" s="104"/>
      <c r="J11" s="104"/>
      <c r="K11" s="104"/>
      <c r="L11" s="104"/>
    </row>
    <row r="12" spans="1:12">
      <c r="A12" s="376">
        <v>2</v>
      </c>
      <c r="B12" s="193"/>
      <c r="C12" s="193" t="s">
        <v>120</v>
      </c>
      <c r="D12" s="193"/>
      <c r="E12" s="193"/>
      <c r="F12" s="190"/>
      <c r="G12" s="191"/>
      <c r="H12" s="373">
        <f>ROR!F15</f>
        <v>7.3000000000000009E-2</v>
      </c>
      <c r="I12" s="104"/>
      <c r="J12" s="104"/>
      <c r="K12" s="104"/>
      <c r="L12" s="104"/>
    </row>
    <row r="13" spans="1:12">
      <c r="A13" s="376"/>
      <c r="B13" s="193"/>
      <c r="C13" s="193"/>
      <c r="D13" s="193"/>
      <c r="E13" s="193"/>
      <c r="F13" s="191"/>
      <c r="G13" s="191"/>
      <c r="H13" s="191"/>
      <c r="I13" s="104"/>
      <c r="J13" s="104"/>
      <c r="K13" s="104"/>
      <c r="L13" s="104"/>
    </row>
    <row r="14" spans="1:12">
      <c r="A14" s="376">
        <v>3</v>
      </c>
      <c r="B14" s="193"/>
      <c r="C14" s="193" t="s">
        <v>121</v>
      </c>
      <c r="D14" s="193"/>
      <c r="E14" s="193"/>
      <c r="F14" s="382"/>
      <c r="G14" s="195"/>
      <c r="H14" s="382">
        <f>ROUND(H10*H12,0)</f>
        <v>21469</v>
      </c>
      <c r="I14" s="104"/>
      <c r="J14" s="104"/>
      <c r="K14" s="104"/>
      <c r="L14" s="104"/>
    </row>
    <row r="15" spans="1:12">
      <c r="A15" s="376"/>
      <c r="B15" s="193"/>
      <c r="C15" s="193"/>
      <c r="D15" s="193"/>
      <c r="E15" s="193"/>
      <c r="F15" s="195"/>
      <c r="G15" s="195"/>
      <c r="H15" s="195"/>
      <c r="I15" s="104"/>
      <c r="J15" s="104"/>
      <c r="K15" s="104"/>
      <c r="L15" s="104"/>
    </row>
    <row r="16" spans="1:12">
      <c r="A16" s="376">
        <v>4</v>
      </c>
      <c r="B16" s="193"/>
      <c r="C16" s="193" t="s">
        <v>544</v>
      </c>
      <c r="D16" s="193"/>
      <c r="E16" s="193"/>
      <c r="F16" s="383">
        <f>'Attrition 12.2015 to 2017'!Q66</f>
        <v>20668.268638066365</v>
      </c>
      <c r="G16" s="323">
        <f>G10</f>
        <v>1.0244837193288578</v>
      </c>
      <c r="H16" s="192">
        <f>F16/G16</f>
        <v>20174.32610018069</v>
      </c>
      <c r="I16" s="104"/>
      <c r="J16" s="104"/>
      <c r="K16" s="104"/>
      <c r="L16" s="104"/>
    </row>
    <row r="17" spans="1:12">
      <c r="A17" s="376"/>
      <c r="B17" s="193"/>
      <c r="C17" s="193"/>
      <c r="D17" s="193"/>
      <c r="E17" s="193"/>
      <c r="F17" s="199"/>
      <c r="G17" s="323"/>
      <c r="H17" s="195"/>
      <c r="I17" s="104"/>
      <c r="J17" s="104"/>
      <c r="K17" s="104"/>
      <c r="L17" s="104"/>
    </row>
    <row r="18" spans="1:12">
      <c r="A18" s="376">
        <v>5</v>
      </c>
      <c r="B18" s="371"/>
      <c r="C18" s="193" t="s">
        <v>545</v>
      </c>
      <c r="D18" s="104"/>
      <c r="E18" s="104"/>
      <c r="F18" s="104"/>
      <c r="G18" s="104"/>
      <c r="H18" s="384">
        <f>H16/H10</f>
        <v>6.8597939026167384E-2</v>
      </c>
      <c r="I18" s="104"/>
      <c r="J18" s="104"/>
      <c r="K18" s="104"/>
      <c r="L18" s="104"/>
    </row>
    <row r="19" spans="1:12">
      <c r="A19" s="376"/>
      <c r="B19" s="193"/>
      <c r="C19" s="193"/>
      <c r="D19" s="193"/>
      <c r="E19" s="193"/>
      <c r="F19" s="193"/>
      <c r="G19" s="193"/>
      <c r="H19" s="193"/>
      <c r="I19" s="104"/>
      <c r="J19" s="104"/>
      <c r="K19" s="104"/>
      <c r="L19" s="104"/>
    </row>
    <row r="20" spans="1:12">
      <c r="A20" s="376">
        <v>6</v>
      </c>
      <c r="B20" s="193"/>
      <c r="C20" s="193" t="s">
        <v>546</v>
      </c>
      <c r="D20" s="193"/>
      <c r="E20" s="193"/>
      <c r="F20" s="195"/>
      <c r="G20" s="195"/>
      <c r="H20" s="195">
        <f>H14-H16</f>
        <v>1294.6738998193105</v>
      </c>
      <c r="I20" s="104"/>
      <c r="J20" s="374"/>
      <c r="K20" s="104"/>
      <c r="L20" s="104"/>
    </row>
    <row r="21" spans="1:12">
      <c r="A21" s="376"/>
      <c r="B21" s="193"/>
      <c r="C21" s="193"/>
      <c r="D21" s="193"/>
      <c r="E21" s="193"/>
      <c r="F21" s="193"/>
      <c r="G21" s="193"/>
      <c r="H21" s="193"/>
      <c r="I21" s="104"/>
      <c r="J21" s="104"/>
      <c r="K21" s="104"/>
      <c r="L21" s="104"/>
    </row>
    <row r="22" spans="1:12">
      <c r="A22" s="376">
        <v>7</v>
      </c>
      <c r="B22" s="193"/>
      <c r="C22" s="193" t="s">
        <v>425</v>
      </c>
      <c r="D22" s="193"/>
      <c r="E22" s="193"/>
      <c r="F22" s="372"/>
      <c r="G22" s="193"/>
      <c r="H22" s="372">
        <f>'Attrition 12.2015 to 2017'!Q96</f>
        <v>0.61944999999999995</v>
      </c>
      <c r="I22" s="104"/>
      <c r="J22" s="104"/>
      <c r="K22" s="104"/>
      <c r="L22" s="104"/>
    </row>
    <row r="23" spans="1:12" ht="13.5" thickBot="1">
      <c r="A23" s="376"/>
      <c r="B23" s="193"/>
      <c r="C23" s="193"/>
      <c r="D23" s="193"/>
      <c r="E23" s="193"/>
      <c r="F23" s="193"/>
      <c r="G23" s="193"/>
      <c r="H23" s="193"/>
      <c r="I23" s="104"/>
      <c r="J23" s="104"/>
      <c r="K23" s="435">
        <v>2017</v>
      </c>
      <c r="L23" s="435">
        <v>2018</v>
      </c>
    </row>
    <row r="24" spans="1:12" ht="13.5" thickBot="1">
      <c r="A24" s="376">
        <v>8</v>
      </c>
      <c r="B24" s="193"/>
      <c r="C24" s="381" t="s">
        <v>547</v>
      </c>
      <c r="D24" s="193"/>
      <c r="E24" s="193"/>
      <c r="F24" s="194"/>
      <c r="G24" s="395"/>
      <c r="H24" s="488">
        <f>ROUND(H20/H22,0)+1</f>
        <v>2091</v>
      </c>
      <c r="I24" s="104"/>
      <c r="J24" s="375"/>
      <c r="K24" s="528">
        <v>3016</v>
      </c>
      <c r="L24" s="488">
        <f>H24-K24</f>
        <v>-925</v>
      </c>
    </row>
    <row r="25" spans="1:12">
      <c r="A25" s="376"/>
      <c r="B25" s="193"/>
      <c r="C25" s="193"/>
      <c r="D25" s="193"/>
      <c r="E25" s="193"/>
      <c r="F25" s="194"/>
      <c r="G25" s="382"/>
      <c r="H25" s="194"/>
      <c r="I25" s="104"/>
      <c r="J25" s="104"/>
      <c r="K25" s="104"/>
      <c r="L25" s="104"/>
    </row>
    <row r="26" spans="1:12">
      <c r="A26" s="376">
        <v>9</v>
      </c>
      <c r="B26" s="371"/>
      <c r="C26" s="193" t="s">
        <v>548</v>
      </c>
      <c r="D26" s="193"/>
      <c r="E26" s="193"/>
      <c r="F26" s="195"/>
      <c r="G26" s="195"/>
      <c r="H26" s="199">
        <f>'Attrition 12.2015 to 2017'!M12+'Attrition 12.2015 to 2017'!M13+1</f>
        <v>88474</v>
      </c>
      <c r="I26" s="195"/>
      <c r="J26" s="377"/>
      <c r="K26" s="199">
        <v>88474</v>
      </c>
      <c r="L26" s="382">
        <f>K24+K26</f>
        <v>91490</v>
      </c>
    </row>
    <row r="27" spans="1:12">
      <c r="A27" s="376"/>
      <c r="B27" s="371"/>
      <c r="C27" s="193"/>
      <c r="D27" s="193"/>
      <c r="E27" s="193"/>
      <c r="F27" s="193"/>
      <c r="G27" s="193"/>
      <c r="H27" s="193"/>
      <c r="I27" s="104"/>
      <c r="J27" s="104"/>
      <c r="K27" s="104"/>
      <c r="L27" s="104"/>
    </row>
    <row r="28" spans="1:12">
      <c r="A28" s="376">
        <v>10</v>
      </c>
      <c r="B28" s="371"/>
      <c r="C28" s="193" t="s">
        <v>549</v>
      </c>
      <c r="D28" s="104"/>
      <c r="E28" s="104"/>
      <c r="F28" s="104"/>
      <c r="G28" s="104"/>
      <c r="H28" s="385">
        <f>H26+H24</f>
        <v>90565</v>
      </c>
      <c r="I28" s="104"/>
      <c r="J28" s="374"/>
      <c r="L28" s="529">
        <f>K26+K24+L24</f>
        <v>90565</v>
      </c>
    </row>
    <row r="29" spans="1:12" ht="13.5" thickBot="1">
      <c r="A29" s="198"/>
      <c r="B29" s="198"/>
      <c r="C29" s="198"/>
      <c r="D29" s="198"/>
      <c r="E29" s="198"/>
      <c r="F29" s="198"/>
      <c r="G29" s="198"/>
      <c r="H29" s="198"/>
      <c r="I29" s="104"/>
      <c r="J29" s="104"/>
      <c r="K29" s="104"/>
      <c r="L29" s="104"/>
    </row>
    <row r="30" spans="1:12" ht="13.5" thickBot="1">
      <c r="A30" s="376">
        <v>11</v>
      </c>
      <c r="B30" s="371"/>
      <c r="C30" s="193" t="s">
        <v>524</v>
      </c>
      <c r="D30" s="193"/>
      <c r="E30" s="193"/>
      <c r="F30" s="197"/>
      <c r="G30" s="190"/>
      <c r="H30" s="489">
        <f>H24/H26</f>
        <v>2.3634061984311776E-2</v>
      </c>
      <c r="I30" s="80"/>
      <c r="J30" s="104"/>
      <c r="K30" s="530">
        <f>K24/K26</f>
        <v>3.4089110925243575E-2</v>
      </c>
      <c r="L30" s="489">
        <f>L24/L26*2</f>
        <v>-2.0220789157284948E-2</v>
      </c>
    </row>
    <row r="31" spans="1:12">
      <c r="A31" s="159"/>
      <c r="B31" s="196"/>
      <c r="C31" s="144"/>
      <c r="D31" s="144"/>
      <c r="E31" s="144"/>
      <c r="F31" s="197"/>
      <c r="G31" s="190"/>
      <c r="H31" s="330"/>
      <c r="J31" s="104"/>
      <c r="K31" s="104"/>
      <c r="L31" s="531" t="s">
        <v>540</v>
      </c>
    </row>
    <row r="32" spans="1:12">
      <c r="A32" s="376">
        <v>12</v>
      </c>
      <c r="C32" s="193" t="s">
        <v>550</v>
      </c>
      <c r="F32" s="104"/>
      <c r="G32" s="104"/>
      <c r="H32" s="199">
        <v>158581</v>
      </c>
      <c r="J32" s="104"/>
      <c r="K32" s="199">
        <v>158581</v>
      </c>
      <c r="L32" s="199">
        <f>K32+K24</f>
        <v>161597</v>
      </c>
    </row>
    <row r="33" spans="1:12" ht="13.5" thickBot="1">
      <c r="G33" s="104"/>
      <c r="J33" s="104"/>
      <c r="K33" s="104"/>
      <c r="L33" s="104"/>
    </row>
    <row r="34" spans="1:12" ht="13.5" thickBot="1">
      <c r="A34" s="376">
        <v>13</v>
      </c>
      <c r="C34" s="193" t="s">
        <v>525</v>
      </c>
      <c r="G34" s="104"/>
      <c r="H34" s="491">
        <f>H24/H32</f>
        <v>1.3185690593450665E-2</v>
      </c>
      <c r="K34" s="530">
        <f>K24/K32</f>
        <v>1.9018671845933623E-2</v>
      </c>
      <c r="L34" s="489">
        <f>L24/L32*2</f>
        <v>-1.1448232331045749E-2</v>
      </c>
    </row>
    <row r="35" spans="1:12">
      <c r="G35" s="104"/>
      <c r="L35" s="531" t="s">
        <v>540</v>
      </c>
    </row>
    <row r="36" spans="1:12">
      <c r="A36" s="534" t="s">
        <v>559</v>
      </c>
      <c r="G36" s="104"/>
    </row>
  </sheetData>
  <mergeCells count="5">
    <mergeCell ref="A1:J1"/>
    <mergeCell ref="A3:J3"/>
    <mergeCell ref="A4:J4"/>
    <mergeCell ref="A5:J5"/>
    <mergeCell ref="A2:J2"/>
  </mergeCells>
  <pageMargins left="1.2" right="0.7" top="0.75" bottom="0.75" header="0.3" footer="0.3"/>
  <pageSetup orientation="landscape" r:id="rId1"/>
  <headerFooter scaleWithDoc="0">
    <oddHeader>&amp;RExhibit No. __(EMA-5)</oddHeader>
    <oddFooter>&amp;LStaff_DR_030 - Attachment E&amp;CNatural Gas - 2018 (6-Months)&amp;RPage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3"/>
  <sheetViews>
    <sheetView view="pageBreakPreview" zoomScale="115" zoomScaleNormal="100" zoomScaleSheetLayoutView="115" workbookViewId="0">
      <selection activeCell="E13" sqref="E13"/>
    </sheetView>
  </sheetViews>
  <sheetFormatPr defaultRowHeight="12.75"/>
  <cols>
    <col min="4" max="6" width="9.28515625" bestFit="1" customWidth="1"/>
    <col min="8" max="8" width="2.140625" customWidth="1"/>
    <col min="9" max="9" width="2.28515625" customWidth="1"/>
    <col min="10" max="10" width="5.42578125" customWidth="1"/>
    <col min="11" max="11" width="3.28515625" customWidth="1"/>
    <col min="13" max="13" width="24.140625" customWidth="1"/>
    <col min="14" max="14" width="11.85546875" bestFit="1" customWidth="1"/>
    <col min="15" max="15" width="3.140625" customWidth="1"/>
  </cols>
  <sheetData>
    <row r="1" spans="1:16" ht="15">
      <c r="A1" s="138"/>
      <c r="B1" s="138"/>
      <c r="C1" s="138"/>
      <c r="D1" s="138"/>
      <c r="E1" s="138"/>
      <c r="F1" s="138"/>
      <c r="G1" s="138"/>
      <c r="H1" s="138"/>
      <c r="I1" s="138"/>
      <c r="J1" s="139"/>
      <c r="K1" s="139"/>
      <c r="L1" s="139"/>
      <c r="M1" s="139"/>
      <c r="N1" s="140"/>
    </row>
    <row r="2" spans="1:16" ht="15">
      <c r="A2" s="558"/>
      <c r="B2" s="558"/>
      <c r="C2" s="558"/>
      <c r="D2" s="558"/>
      <c r="E2" s="558"/>
      <c r="F2" s="558"/>
      <c r="G2" s="558"/>
      <c r="H2" s="138"/>
      <c r="I2" s="138"/>
      <c r="J2" s="398" t="s">
        <v>189</v>
      </c>
      <c r="K2" s="398"/>
      <c r="L2" s="398"/>
      <c r="M2" s="398"/>
      <c r="N2" s="399"/>
    </row>
    <row r="3" spans="1:16" ht="15">
      <c r="A3" s="560" t="s">
        <v>520</v>
      </c>
      <c r="B3" s="560"/>
      <c r="C3" s="560"/>
      <c r="D3" s="560"/>
      <c r="E3" s="560"/>
      <c r="F3" s="560"/>
      <c r="G3" s="560"/>
      <c r="H3" s="138"/>
      <c r="I3" s="138"/>
      <c r="J3" s="139" t="s">
        <v>208</v>
      </c>
      <c r="K3" s="139"/>
      <c r="L3" s="139"/>
      <c r="M3" s="139"/>
      <c r="N3" s="140"/>
    </row>
    <row r="4" spans="1:16" ht="15.75" customHeight="1">
      <c r="A4" s="558" t="s">
        <v>207</v>
      </c>
      <c r="B4" s="558"/>
      <c r="C4" s="558"/>
      <c r="D4" s="558"/>
      <c r="E4" s="558"/>
      <c r="F4" s="558"/>
      <c r="G4" s="558"/>
      <c r="H4" s="138"/>
      <c r="I4" s="138"/>
      <c r="J4" s="558" t="str">
        <f>A5</f>
        <v>Twelve Months Ended December 31, 2015</v>
      </c>
      <c r="K4" s="558"/>
      <c r="L4" s="558"/>
      <c r="M4" s="558"/>
      <c r="N4" s="558"/>
      <c r="O4" s="397"/>
      <c r="P4" s="397"/>
    </row>
    <row r="5" spans="1:16" ht="15.75" thickBot="1">
      <c r="A5" s="558" t="s">
        <v>535</v>
      </c>
      <c r="B5" s="558"/>
      <c r="C5" s="558"/>
      <c r="D5" s="558"/>
      <c r="E5" s="558"/>
      <c r="F5" s="558"/>
      <c r="G5" s="558"/>
      <c r="H5" s="138"/>
      <c r="I5" s="138"/>
      <c r="J5" s="144"/>
      <c r="K5" s="144"/>
      <c r="L5" s="144"/>
      <c r="M5" s="144"/>
      <c r="N5" s="145"/>
    </row>
    <row r="6" spans="1:16" ht="15">
      <c r="A6" s="141" t="s">
        <v>527</v>
      </c>
      <c r="B6" s="142"/>
      <c r="C6" s="142"/>
      <c r="D6" s="142"/>
      <c r="E6" s="142"/>
      <c r="F6" s="142"/>
      <c r="G6" s="143"/>
      <c r="H6" s="138"/>
      <c r="I6" s="138"/>
      <c r="J6" s="151" t="s">
        <v>192</v>
      </c>
      <c r="K6" s="151"/>
      <c r="L6" s="151"/>
      <c r="M6" s="151"/>
      <c r="N6" s="152"/>
    </row>
    <row r="7" spans="1:16" ht="15">
      <c r="A7" s="146"/>
      <c r="B7" s="147"/>
      <c r="C7" s="147"/>
      <c r="D7" s="148"/>
      <c r="E7" s="149"/>
      <c r="F7" s="148"/>
      <c r="G7" s="150"/>
      <c r="H7" s="138"/>
      <c r="I7" s="138"/>
      <c r="J7" s="154" t="s">
        <v>2</v>
      </c>
      <c r="K7" s="151"/>
      <c r="L7" s="154" t="s">
        <v>88</v>
      </c>
      <c r="M7" s="155"/>
      <c r="N7" s="156" t="s">
        <v>157</v>
      </c>
    </row>
    <row r="8" spans="1:16" ht="15">
      <c r="A8" s="146"/>
      <c r="B8" s="153"/>
      <c r="C8" s="148"/>
      <c r="D8" s="148" t="s">
        <v>193</v>
      </c>
      <c r="E8" s="148"/>
      <c r="F8" s="148" t="s">
        <v>108</v>
      </c>
      <c r="G8" s="150"/>
      <c r="H8" s="138"/>
      <c r="I8" s="138"/>
      <c r="J8" s="144"/>
      <c r="K8" s="144"/>
      <c r="L8" s="144"/>
      <c r="M8" s="144"/>
      <c r="N8" s="145"/>
    </row>
    <row r="9" spans="1:16" ht="15">
      <c r="A9" s="146"/>
      <c r="B9" s="157" t="s">
        <v>194</v>
      </c>
      <c r="C9" s="148"/>
      <c r="D9" s="157" t="s">
        <v>195</v>
      </c>
      <c r="E9" s="157" t="s">
        <v>158</v>
      </c>
      <c r="F9" s="157" t="s">
        <v>158</v>
      </c>
      <c r="G9" s="150"/>
      <c r="H9" s="138"/>
      <c r="I9" s="138"/>
      <c r="J9" s="159">
        <v>1</v>
      </c>
      <c r="K9" s="144"/>
      <c r="L9" s="160" t="s">
        <v>196</v>
      </c>
      <c r="M9" s="144"/>
      <c r="N9" s="161">
        <v>1</v>
      </c>
    </row>
    <row r="10" spans="1:16" ht="15">
      <c r="A10" s="146"/>
      <c r="B10" s="147"/>
      <c r="C10" s="147"/>
      <c r="D10" s="147"/>
      <c r="E10" s="149"/>
      <c r="F10" s="147"/>
      <c r="G10" s="158"/>
      <c r="H10" s="138"/>
      <c r="I10" s="138"/>
      <c r="J10" s="159"/>
      <c r="K10" s="144"/>
      <c r="L10" s="144"/>
      <c r="M10" s="144"/>
      <c r="N10" s="161"/>
    </row>
    <row r="11" spans="1:16" ht="15">
      <c r="A11" s="146"/>
      <c r="B11" s="153" t="s">
        <v>197</v>
      </c>
      <c r="C11" s="162"/>
      <c r="D11" s="163">
        <f>100%-D13</f>
        <v>0.51500000000000001</v>
      </c>
      <c r="E11" s="163">
        <v>5.5100000000000003E-2</v>
      </c>
      <c r="F11" s="163">
        <f>ROUND(D11*E11,4)</f>
        <v>2.8400000000000002E-2</v>
      </c>
      <c r="G11" s="165"/>
      <c r="H11" s="138"/>
      <c r="I11" s="138"/>
      <c r="J11" s="159"/>
      <c r="K11" s="144"/>
      <c r="L11" s="168" t="s">
        <v>198</v>
      </c>
      <c r="M11" s="169"/>
      <c r="N11" s="161"/>
    </row>
    <row r="12" spans="1:16" ht="15">
      <c r="A12" s="146"/>
      <c r="B12" s="153"/>
      <c r="C12" s="166"/>
      <c r="D12" s="163"/>
      <c r="E12" s="163"/>
      <c r="F12" s="163"/>
      <c r="G12" s="167"/>
      <c r="H12" s="138"/>
      <c r="I12" s="138"/>
      <c r="J12" s="159">
        <v>2</v>
      </c>
      <c r="K12" s="144"/>
      <c r="L12" s="169" t="s">
        <v>200</v>
      </c>
      <c r="M12" s="169"/>
      <c r="N12" s="169">
        <v>6.7400000000000003E-3</v>
      </c>
    </row>
    <row r="13" spans="1:16" ht="15">
      <c r="A13" s="146"/>
      <c r="B13" s="153" t="s">
        <v>199</v>
      </c>
      <c r="C13" s="166"/>
      <c r="D13" s="163">
        <v>0.48499999999999999</v>
      </c>
      <c r="E13" s="163">
        <v>9.1999999999999998E-2</v>
      </c>
      <c r="F13" s="163">
        <f>ROUND(D13*E13,4)</f>
        <v>4.4600000000000001E-2</v>
      </c>
      <c r="G13" s="158"/>
      <c r="H13" s="138"/>
      <c r="I13" s="138"/>
      <c r="J13" s="159"/>
      <c r="K13" s="144"/>
      <c r="L13" s="169"/>
      <c r="M13" s="169"/>
      <c r="N13" s="169"/>
    </row>
    <row r="14" spans="1:16" ht="15">
      <c r="A14" s="146"/>
      <c r="B14" s="153"/>
      <c r="C14" s="166"/>
      <c r="D14" s="170"/>
      <c r="E14" s="171"/>
      <c r="F14" s="163"/>
      <c r="G14" s="150"/>
      <c r="H14" s="138"/>
      <c r="I14" s="138"/>
      <c r="J14" s="159">
        <v>3</v>
      </c>
      <c r="K14" s="144"/>
      <c r="L14" s="169" t="s">
        <v>201</v>
      </c>
      <c r="M14" s="169"/>
      <c r="N14" s="169">
        <v>2E-3</v>
      </c>
    </row>
    <row r="15" spans="1:16" ht="15.75" thickBot="1">
      <c r="A15" s="146"/>
      <c r="B15" s="153" t="s">
        <v>5</v>
      </c>
      <c r="C15" s="162"/>
      <c r="D15" s="172">
        <f>SUM(D11:D13)</f>
        <v>1</v>
      </c>
      <c r="E15" s="171"/>
      <c r="F15" s="172">
        <f>SUM(F11:F13)</f>
        <v>7.3000000000000009E-2</v>
      </c>
      <c r="G15" s="150"/>
      <c r="H15" s="138"/>
      <c r="I15" s="138"/>
      <c r="J15" s="159"/>
      <c r="K15" s="144"/>
      <c r="L15" s="169"/>
      <c r="M15" s="169"/>
      <c r="N15" s="169"/>
    </row>
    <row r="16" spans="1:16" ht="16.5" thickTop="1" thickBot="1">
      <c r="A16" s="173"/>
      <c r="B16" s="174"/>
      <c r="C16" s="175"/>
      <c r="D16" s="176"/>
      <c r="E16" s="177"/>
      <c r="F16" s="176"/>
      <c r="G16" s="178"/>
      <c r="H16" s="138"/>
      <c r="I16" s="138"/>
      <c r="J16" s="159">
        <v>4</v>
      </c>
      <c r="K16" s="144"/>
      <c r="L16" s="169" t="s">
        <v>202</v>
      </c>
      <c r="M16" s="169"/>
      <c r="N16" s="169">
        <v>3.8260000000000002E-2</v>
      </c>
    </row>
    <row r="17" spans="1:14" ht="15">
      <c r="A17" s="494" t="s">
        <v>526</v>
      </c>
      <c r="H17" s="138"/>
      <c r="I17" s="138"/>
      <c r="J17" s="159"/>
      <c r="K17" s="144"/>
      <c r="L17" s="169"/>
      <c r="M17" s="169"/>
      <c r="N17" s="169"/>
    </row>
    <row r="18" spans="1:14" ht="15">
      <c r="A18" s="104"/>
      <c r="H18" s="138"/>
      <c r="I18" s="138"/>
      <c r="J18" s="159">
        <v>5</v>
      </c>
      <c r="K18" s="144"/>
      <c r="L18" s="169" t="s">
        <v>203</v>
      </c>
      <c r="M18" s="169"/>
      <c r="N18" s="179">
        <f>SUM(N12:N16)</f>
        <v>4.7E-2</v>
      </c>
    </row>
    <row r="19" spans="1:14" ht="15">
      <c r="A19" s="104"/>
      <c r="H19" s="138"/>
      <c r="I19" s="138"/>
      <c r="J19" s="159"/>
      <c r="K19" s="144"/>
      <c r="L19" s="169"/>
      <c r="M19" s="169"/>
      <c r="N19" s="180"/>
    </row>
    <row r="20" spans="1:14" ht="15">
      <c r="A20" s="104"/>
      <c r="H20" s="138"/>
      <c r="I20" s="138"/>
      <c r="J20" s="159">
        <v>6</v>
      </c>
      <c r="K20" s="144"/>
      <c r="L20" s="169" t="s">
        <v>204</v>
      </c>
      <c r="M20" s="169"/>
      <c r="N20" s="180">
        <f>N9-N18</f>
        <v>0.95299999999999996</v>
      </c>
    </row>
    <row r="21" spans="1:14" ht="15">
      <c r="A21" s="104"/>
      <c r="H21" s="138"/>
      <c r="I21" s="138"/>
      <c r="J21" s="144"/>
      <c r="K21" s="144"/>
      <c r="L21" s="169"/>
      <c r="M21" s="169"/>
      <c r="N21" s="180"/>
    </row>
    <row r="22" spans="1:14" ht="15">
      <c r="A22" s="104"/>
      <c r="H22" s="138"/>
      <c r="I22" s="138"/>
      <c r="J22" s="159">
        <v>7</v>
      </c>
      <c r="K22" s="144"/>
      <c r="L22" s="169" t="s">
        <v>205</v>
      </c>
      <c r="M22" s="181"/>
      <c r="N22" s="182">
        <f>N20*0.35</f>
        <v>0.33354999999999996</v>
      </c>
    </row>
    <row r="23" spans="1:14" ht="15">
      <c r="A23" s="104"/>
      <c r="H23" s="138"/>
      <c r="I23" s="138"/>
      <c r="J23" s="144"/>
      <c r="K23" s="144"/>
      <c r="L23" s="169"/>
      <c r="M23" s="169"/>
      <c r="N23" s="180"/>
    </row>
    <row r="24" spans="1:14" ht="15.75" thickBot="1">
      <c r="A24" s="104"/>
      <c r="H24" s="138"/>
      <c r="I24" s="138"/>
      <c r="J24" s="159">
        <v>8</v>
      </c>
      <c r="K24" s="144"/>
      <c r="L24" s="168" t="s">
        <v>206</v>
      </c>
      <c r="M24" s="169"/>
      <c r="N24" s="396">
        <f>ROUND(N20-N22,6)</f>
        <v>0.61944999999999995</v>
      </c>
    </row>
    <row r="25" spans="1:14" ht="15.75" thickTop="1">
      <c r="A25" s="104"/>
      <c r="H25" s="138"/>
      <c r="I25" s="138"/>
      <c r="J25" s="138"/>
      <c r="K25" s="138"/>
      <c r="L25" s="138"/>
      <c r="M25" s="138"/>
      <c r="N25" s="138"/>
    </row>
    <row r="26" spans="1:14" ht="15">
      <c r="A26" s="104"/>
      <c r="H26" s="138"/>
      <c r="I26" s="138"/>
    </row>
    <row r="27" spans="1:14" ht="15">
      <c r="A27" s="104"/>
      <c r="H27" s="138"/>
      <c r="I27" s="138"/>
      <c r="N27" s="98" t="s">
        <v>530</v>
      </c>
    </row>
    <row r="28" spans="1:14">
      <c r="A28" s="104"/>
      <c r="J28" s="120"/>
    </row>
    <row r="29" spans="1:14">
      <c r="A29" s="559" t="s">
        <v>43</v>
      </c>
      <c r="B29" s="558"/>
      <c r="C29" s="558"/>
      <c r="D29" s="558"/>
      <c r="E29" s="558"/>
      <c r="F29" s="558"/>
      <c r="G29" s="558"/>
    </row>
    <row r="30" spans="1:14" ht="11.25" customHeight="1">
      <c r="A30" s="559" t="s">
        <v>452</v>
      </c>
      <c r="B30" s="558"/>
      <c r="C30" s="558"/>
      <c r="D30" s="558"/>
      <c r="E30" s="558"/>
      <c r="F30" s="558"/>
      <c r="G30" s="558"/>
    </row>
    <row r="31" spans="1:14">
      <c r="A31" s="559" t="s">
        <v>207</v>
      </c>
      <c r="B31" s="558"/>
      <c r="C31" s="558"/>
      <c r="D31" s="558"/>
      <c r="E31" s="558"/>
      <c r="F31" s="558"/>
      <c r="G31" s="558"/>
    </row>
    <row r="32" spans="1:14" ht="13.5" thickBot="1">
      <c r="A32" s="559"/>
      <c r="B32" s="558"/>
      <c r="C32" s="558"/>
      <c r="D32" s="558"/>
      <c r="E32" s="558"/>
      <c r="F32" s="558"/>
      <c r="G32" s="558"/>
    </row>
    <row r="33" spans="1:7">
      <c r="A33" s="141" t="s">
        <v>190</v>
      </c>
      <c r="B33" s="142"/>
      <c r="C33" s="142"/>
      <c r="D33" s="142"/>
      <c r="E33" s="142"/>
      <c r="F33" s="142"/>
      <c r="G33" s="143"/>
    </row>
    <row r="34" spans="1:7">
      <c r="A34" s="146"/>
      <c r="B34" s="147"/>
      <c r="C34" s="147"/>
      <c r="D34" s="148"/>
      <c r="E34" s="149"/>
      <c r="F34" s="148" t="s">
        <v>191</v>
      </c>
      <c r="G34" s="150"/>
    </row>
    <row r="35" spans="1:7">
      <c r="A35" s="146"/>
      <c r="B35" s="153"/>
      <c r="C35" s="148"/>
      <c r="D35" s="148" t="s">
        <v>193</v>
      </c>
      <c r="E35" s="148" t="s">
        <v>191</v>
      </c>
      <c r="F35" s="148" t="s">
        <v>108</v>
      </c>
      <c r="G35" s="150"/>
    </row>
    <row r="36" spans="1:7">
      <c r="A36" s="146"/>
      <c r="B36" s="157" t="s">
        <v>194</v>
      </c>
      <c r="C36" s="148"/>
      <c r="D36" s="157" t="s">
        <v>195</v>
      </c>
      <c r="E36" s="157" t="s">
        <v>158</v>
      </c>
      <c r="F36" s="157" t="s">
        <v>158</v>
      </c>
      <c r="G36" s="150"/>
    </row>
    <row r="37" spans="1:7">
      <c r="A37" s="146"/>
      <c r="B37" s="147"/>
      <c r="C37" s="147"/>
      <c r="D37" s="147"/>
      <c r="E37" s="149"/>
      <c r="F37" s="147"/>
      <c r="G37" s="158"/>
    </row>
    <row r="38" spans="1:7">
      <c r="A38" s="146"/>
      <c r="B38" s="153" t="s">
        <v>197</v>
      </c>
      <c r="C38" s="162"/>
      <c r="D38" s="163">
        <f>100%-D40</f>
        <v>0.51629999999999998</v>
      </c>
      <c r="E38" s="164">
        <v>5.3199999999999997E-2</v>
      </c>
      <c r="F38" s="170">
        <f>ROUND(D38*E38,5)</f>
        <v>2.7470000000000001E-2</v>
      </c>
      <c r="G38" s="165"/>
    </row>
    <row r="39" spans="1:7">
      <c r="A39" s="146"/>
      <c r="B39" s="153"/>
      <c r="C39" s="166"/>
      <c r="D39" s="163"/>
      <c r="E39" s="164"/>
      <c r="F39" s="163"/>
      <c r="G39" s="167"/>
    </row>
    <row r="40" spans="1:7">
      <c r="A40" s="146"/>
      <c r="B40" s="153" t="s">
        <v>199</v>
      </c>
      <c r="C40" s="166"/>
      <c r="D40" s="163">
        <v>0.48370000000000002</v>
      </c>
      <c r="E40" s="164">
        <v>9.8000000000000004E-2</v>
      </c>
      <c r="F40" s="163">
        <f>ROUND(D40*E40,4)</f>
        <v>4.7399999999999998E-2</v>
      </c>
      <c r="G40" s="158"/>
    </row>
    <row r="41" spans="1:7">
      <c r="A41" s="146"/>
      <c r="B41" s="153"/>
      <c r="C41" s="166"/>
      <c r="D41" s="170"/>
      <c r="E41" s="171"/>
      <c r="F41" s="163"/>
      <c r="G41" s="150"/>
    </row>
    <row r="42" spans="1:7" ht="13.5" thickBot="1">
      <c r="A42" s="146"/>
      <c r="B42" s="153" t="s">
        <v>5</v>
      </c>
      <c r="C42" s="162"/>
      <c r="D42" s="172">
        <f>SUM(D38:D40)</f>
        <v>1</v>
      </c>
      <c r="E42" s="171"/>
      <c r="F42" s="172">
        <f>SUM(F38:F40)</f>
        <v>7.4869999999999992E-2</v>
      </c>
      <c r="G42" s="150"/>
    </row>
    <row r="43" spans="1:7" ht="14.25" thickTop="1" thickBot="1">
      <c r="A43" s="173"/>
      <c r="B43" s="174"/>
      <c r="C43" s="175"/>
      <c r="D43" s="176"/>
      <c r="E43" s="177"/>
      <c r="F43" s="176"/>
      <c r="G43" s="178"/>
    </row>
    <row r="262" spans="7:7">
      <c r="G262" t="s">
        <v>403</v>
      </c>
    </row>
    <row r="263" spans="7:7">
      <c r="G263" t="s">
        <v>404</v>
      </c>
    </row>
  </sheetData>
  <mergeCells count="9">
    <mergeCell ref="J4:N4"/>
    <mergeCell ref="A32:G32"/>
    <mergeCell ref="A2:G2"/>
    <mergeCell ref="A3:G3"/>
    <mergeCell ref="A4:G4"/>
    <mergeCell ref="A5:G5"/>
    <mergeCell ref="A29:G29"/>
    <mergeCell ref="A30:G30"/>
    <mergeCell ref="A31:G31"/>
  </mergeCells>
  <printOptions horizontalCentered="1"/>
  <pageMargins left="0.7" right="0.7" top="0.75" bottom="0.75" header="0.3" footer="0.3"/>
  <pageSetup scale="120" orientation="portrait" r:id="rId1"/>
  <headerFooter scaleWithDoc="0">
    <oddHeader>&amp;RExhibit No. __(EMA-5)</oddHeader>
    <oddFooter>&amp;LStaff_DR_030 - Attachment E&amp;RPage &amp;P of &amp;N</oddFooter>
  </headerFooter>
  <colBreaks count="1" manualBreakCount="1">
    <brk id="8" max="2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08"/>
  <sheetViews>
    <sheetView tabSelected="1" view="pageBreakPreview" topLeftCell="A55" zoomScale="115" zoomScaleNormal="100" zoomScaleSheetLayoutView="115" workbookViewId="0">
      <selection activeCell="K72" sqref="K72"/>
    </sheetView>
  </sheetViews>
  <sheetFormatPr defaultColWidth="10.7109375" defaultRowHeight="12"/>
  <cols>
    <col min="1" max="1" width="5" style="22" customWidth="1"/>
    <col min="2" max="3" width="1.7109375" style="3" customWidth="1"/>
    <col min="4" max="4" width="25.28515625" style="3" customWidth="1"/>
    <col min="5" max="5" width="10" style="4" customWidth="1"/>
    <col min="6" max="6" width="9" style="28" customWidth="1"/>
    <col min="7" max="7" width="10.7109375" style="3" customWidth="1"/>
    <col min="8" max="8" width="8.7109375" style="3" customWidth="1"/>
    <col min="9" max="9" width="9.5703125" style="3" customWidth="1"/>
    <col min="10" max="10" width="0.5703125" style="3" customWidth="1"/>
    <col min="11" max="11" width="7.7109375" style="3" customWidth="1"/>
    <col min="12" max="12" width="8.42578125" style="3" customWidth="1"/>
    <col min="13" max="13" width="10.28515625" style="3" customWidth="1"/>
    <col min="14" max="14" width="1.140625" style="3" hidden="1" customWidth="1"/>
    <col min="15" max="15" width="9.42578125" style="3" customWidth="1"/>
    <col min="16" max="16" width="10.140625" style="3" customWidth="1"/>
    <col min="17" max="17" width="10.5703125" style="3" customWidth="1"/>
    <col min="18" max="16384" width="10.7109375" style="3"/>
  </cols>
  <sheetData>
    <row r="1" spans="1:19" ht="5.25" customHeight="1">
      <c r="A1" s="2"/>
      <c r="B1" s="582"/>
      <c r="C1" s="582"/>
      <c r="D1" s="582"/>
      <c r="E1" s="582"/>
      <c r="F1" s="582"/>
      <c r="G1" s="582"/>
      <c r="H1" s="582"/>
      <c r="I1" s="582"/>
      <c r="J1" s="582"/>
      <c r="K1" s="582"/>
      <c r="L1" s="582"/>
      <c r="M1" s="582"/>
      <c r="N1" s="582"/>
      <c r="O1" s="582"/>
      <c r="P1" s="582"/>
      <c r="Q1" s="582"/>
    </row>
    <row r="2" spans="1:19" ht="19.5" thickBot="1">
      <c r="A2" s="561" t="s">
        <v>605</v>
      </c>
      <c r="B2" s="561"/>
      <c r="C2" s="561"/>
      <c r="D2" s="561"/>
      <c r="E2" s="561"/>
      <c r="F2" s="561"/>
      <c r="G2" s="561"/>
      <c r="H2" s="561"/>
      <c r="I2" s="561"/>
      <c r="J2" s="561"/>
      <c r="K2" s="561"/>
      <c r="L2" s="561"/>
      <c r="M2" s="561"/>
      <c r="N2" s="561"/>
      <c r="O2" s="561"/>
      <c r="P2" s="561"/>
      <c r="Q2" s="561"/>
    </row>
    <row r="3" spans="1:19" ht="1.5" customHeight="1">
      <c r="A3" s="2"/>
    </row>
    <row r="4" spans="1:19" ht="2.25" customHeight="1" thickBot="1">
      <c r="A4" s="2"/>
      <c r="B4" s="2"/>
      <c r="C4" s="2"/>
      <c r="D4" s="2"/>
    </row>
    <row r="5" spans="1:19" ht="13.5" thickBot="1">
      <c r="A5" s="324"/>
      <c r="B5" s="325"/>
      <c r="C5" s="325"/>
      <c r="D5" s="326" t="s">
        <v>209</v>
      </c>
      <c r="E5" s="577" t="s">
        <v>230</v>
      </c>
      <c r="F5" s="577"/>
      <c r="G5" s="577"/>
      <c r="H5" s="577"/>
      <c r="I5" s="578"/>
      <c r="J5" s="327"/>
      <c r="K5" s="328"/>
      <c r="L5" s="579" t="s">
        <v>159</v>
      </c>
      <c r="M5" s="579"/>
      <c r="N5" s="328"/>
      <c r="O5" s="579"/>
      <c r="P5" s="588"/>
      <c r="Q5" s="329"/>
    </row>
    <row r="6" spans="1:19" s="6" customFormat="1" ht="13.15" customHeight="1">
      <c r="A6" s="136"/>
      <c r="B6" s="360"/>
      <c r="C6" s="360"/>
      <c r="D6" s="360"/>
      <c r="E6" s="568" t="s">
        <v>529</v>
      </c>
      <c r="F6" s="583" t="s">
        <v>518</v>
      </c>
      <c r="G6" s="583" t="s">
        <v>378</v>
      </c>
      <c r="H6" s="583" t="s">
        <v>517</v>
      </c>
      <c r="I6" s="580" t="s">
        <v>519</v>
      </c>
      <c r="J6" s="400"/>
      <c r="K6" s="580" t="s">
        <v>186</v>
      </c>
      <c r="L6" s="580" t="s">
        <v>402</v>
      </c>
      <c r="M6" s="580" t="s">
        <v>551</v>
      </c>
      <c r="N6" s="401"/>
      <c r="O6" s="580" t="s">
        <v>277</v>
      </c>
      <c r="P6" s="587" t="s">
        <v>552</v>
      </c>
      <c r="Q6" s="580" t="s">
        <v>553</v>
      </c>
    </row>
    <row r="7" spans="1:19" s="6" customFormat="1" ht="12" customHeight="1">
      <c r="A7" s="402" t="s">
        <v>210</v>
      </c>
      <c r="B7" s="403"/>
      <c r="C7" s="403"/>
      <c r="D7" s="316"/>
      <c r="E7" s="569"/>
      <c r="F7" s="584"/>
      <c r="G7" s="583"/>
      <c r="H7" s="583"/>
      <c r="I7" s="580"/>
      <c r="J7" s="403"/>
      <c r="K7" s="580"/>
      <c r="L7" s="580"/>
      <c r="M7" s="580"/>
      <c r="N7" s="404"/>
      <c r="O7" s="580"/>
      <c r="P7" s="575"/>
      <c r="Q7" s="580"/>
    </row>
    <row r="8" spans="1:19" s="6" customFormat="1" ht="12" customHeight="1">
      <c r="A8" s="402" t="s">
        <v>0</v>
      </c>
      <c r="B8" s="403"/>
      <c r="C8" s="403"/>
      <c r="D8" s="316"/>
      <c r="E8" s="569"/>
      <c r="F8" s="584"/>
      <c r="G8" s="583"/>
      <c r="H8" s="583"/>
      <c r="I8" s="580"/>
      <c r="J8" s="403"/>
      <c r="K8" s="580"/>
      <c r="L8" s="580"/>
      <c r="M8" s="580"/>
      <c r="N8" s="404"/>
      <c r="O8" s="580"/>
      <c r="P8" s="575"/>
      <c r="Q8" s="580"/>
    </row>
    <row r="9" spans="1:19" s="6" customFormat="1" ht="42" customHeight="1">
      <c r="A9" s="405" t="s">
        <v>2</v>
      </c>
      <c r="B9" s="406"/>
      <c r="C9" s="406"/>
      <c r="D9" s="406" t="s">
        <v>3</v>
      </c>
      <c r="E9" s="570"/>
      <c r="F9" s="585"/>
      <c r="G9" s="586"/>
      <c r="H9" s="586"/>
      <c r="I9" s="581"/>
      <c r="J9" s="407"/>
      <c r="K9" s="581"/>
      <c r="L9" s="581"/>
      <c r="M9" s="581"/>
      <c r="N9" s="408"/>
      <c r="O9" s="581"/>
      <c r="P9" s="576"/>
      <c r="Q9" s="581"/>
      <c r="R9" s="307"/>
    </row>
    <row r="10" spans="1:19" s="6" customFormat="1" ht="12.75">
      <c r="A10" s="402"/>
      <c r="B10" s="403"/>
      <c r="C10" s="403"/>
      <c r="D10" s="403"/>
      <c r="E10" s="202" t="s">
        <v>231</v>
      </c>
      <c r="F10" s="202" t="s">
        <v>232</v>
      </c>
      <c r="G10" s="202" t="s">
        <v>233</v>
      </c>
      <c r="H10" s="202" t="s">
        <v>234</v>
      </c>
      <c r="I10" s="202" t="s">
        <v>235</v>
      </c>
      <c r="J10" s="403"/>
      <c r="K10" s="202" t="s">
        <v>236</v>
      </c>
      <c r="L10" s="202" t="s">
        <v>237</v>
      </c>
      <c r="M10" s="202" t="s">
        <v>238</v>
      </c>
      <c r="N10" s="202"/>
      <c r="O10" s="202" t="s">
        <v>239</v>
      </c>
      <c r="P10" s="202" t="s">
        <v>240</v>
      </c>
      <c r="Q10" s="202" t="s">
        <v>241</v>
      </c>
      <c r="R10" s="307"/>
    </row>
    <row r="11" spans="1:19">
      <c r="A11" s="402"/>
      <c r="B11" s="28" t="s">
        <v>6</v>
      </c>
      <c r="C11" s="28"/>
      <c r="D11" s="28"/>
      <c r="E11" s="539" t="s">
        <v>534</v>
      </c>
      <c r="F11" s="539" t="s">
        <v>534</v>
      </c>
      <c r="G11" s="539" t="s">
        <v>534</v>
      </c>
      <c r="H11" s="539" t="s">
        <v>557</v>
      </c>
      <c r="I11" s="28"/>
      <c r="J11" s="28"/>
      <c r="K11" s="28"/>
      <c r="L11" s="28"/>
      <c r="M11" s="28"/>
      <c r="N11" s="28"/>
      <c r="O11" s="28"/>
      <c r="P11" s="539" t="s">
        <v>557</v>
      </c>
      <c r="Q11" s="28"/>
      <c r="R11" s="307"/>
    </row>
    <row r="12" spans="1:19" s="23" customFormat="1">
      <c r="A12" s="402">
        <v>1</v>
      </c>
      <c r="B12" s="409" t="s">
        <v>7</v>
      </c>
      <c r="C12" s="409"/>
      <c r="D12" s="409"/>
      <c r="E12" s="126">
        <f>'Cost Trends'!U12</f>
        <v>149865</v>
      </c>
      <c r="F12" s="126">
        <v>0</v>
      </c>
      <c r="G12" s="126">
        <v>-65808</v>
      </c>
      <c r="H12" s="126"/>
      <c r="I12" s="126">
        <f>SUM(E12:H12)</f>
        <v>84057</v>
      </c>
      <c r="J12" s="410"/>
      <c r="K12" s="336">
        <f>'Weighted Revenue Growth'!J20</f>
        <v>2.5688711650290949E-2</v>
      </c>
      <c r="L12" s="126"/>
      <c r="M12" s="127">
        <f>I12+L12</f>
        <v>84057</v>
      </c>
      <c r="N12" s="126"/>
      <c r="O12" s="126">
        <f>(M12)*K12</f>
        <v>2159.3160351885062</v>
      </c>
      <c r="P12" s="126"/>
      <c r="Q12" s="126">
        <f>SUM(M12:P12)</f>
        <v>86216.316035188502</v>
      </c>
      <c r="R12" s="307"/>
    </row>
    <row r="13" spans="1:19">
      <c r="A13" s="402">
        <v>2</v>
      </c>
      <c r="B13" s="411" t="s">
        <v>8</v>
      </c>
      <c r="C13" s="28"/>
      <c r="D13" s="411"/>
      <c r="E13" s="126">
        <f>'Cost Trends'!U13</f>
        <v>4054</v>
      </c>
      <c r="F13" s="126">
        <v>0</v>
      </c>
      <c r="G13" s="126">
        <v>362</v>
      </c>
      <c r="H13" s="127"/>
      <c r="I13" s="126">
        <f>SUM(E13:H13)</f>
        <v>4416</v>
      </c>
      <c r="J13" s="410"/>
      <c r="K13" s="535">
        <f>'Weighted Revenue Growth'!J27</f>
        <v>1.5471161670123396E-3</v>
      </c>
      <c r="L13" s="127"/>
      <c r="M13" s="127">
        <f>I13+L13</f>
        <v>4416</v>
      </c>
      <c r="N13" s="127"/>
      <c r="O13" s="126">
        <f>M13*K13</f>
        <v>6.8320649935264912</v>
      </c>
      <c r="P13" s="126"/>
      <c r="Q13" s="126">
        <f>SUM(M13:P13)</f>
        <v>4422.8320649935267</v>
      </c>
      <c r="R13" s="307"/>
    </row>
    <row r="14" spans="1:19">
      <c r="A14" s="402">
        <v>3</v>
      </c>
      <c r="B14" s="411" t="s">
        <v>9</v>
      </c>
      <c r="C14" s="28"/>
      <c r="D14" s="411"/>
      <c r="E14" s="126">
        <f>'Cost Trends'!U14</f>
        <v>7129</v>
      </c>
      <c r="F14" s="126">
        <v>0</v>
      </c>
      <c r="G14" s="126">
        <v>-6914</v>
      </c>
      <c r="H14" s="133"/>
      <c r="I14" s="126">
        <f>SUM(E14:H14)</f>
        <v>215</v>
      </c>
      <c r="J14" s="127"/>
      <c r="K14" s="549">
        <f>'UTC - Other Revenue'!D9</f>
        <v>0.46899224806201539</v>
      </c>
      <c r="L14" s="133"/>
      <c r="M14" s="127">
        <f>I14+L14</f>
        <v>215</v>
      </c>
      <c r="N14" s="133"/>
      <c r="O14" s="126">
        <f>M14*K14</f>
        <v>100.83333333333331</v>
      </c>
      <c r="P14" s="126"/>
      <c r="Q14" s="473">
        <f>SUM(M14:P14)</f>
        <v>315.83333333333331</v>
      </c>
      <c r="R14" s="307"/>
    </row>
    <row r="15" spans="1:19">
      <c r="A15" s="402">
        <v>4</v>
      </c>
      <c r="B15" s="28" t="s">
        <v>10</v>
      </c>
      <c r="C15" s="411"/>
      <c r="D15" s="411"/>
      <c r="E15" s="310">
        <f>SUM(E12:E14)</f>
        <v>161048</v>
      </c>
      <c r="F15" s="310">
        <f>SUM(F12:F14)</f>
        <v>0</v>
      </c>
      <c r="G15" s="310">
        <f>SUM(G12:G14)</f>
        <v>-72360</v>
      </c>
      <c r="H15" s="310">
        <f>SUM(H12:H14)</f>
        <v>0</v>
      </c>
      <c r="I15" s="310">
        <f>SUM(I12:I14)</f>
        <v>88688</v>
      </c>
      <c r="J15" s="28"/>
      <c r="K15" s="412"/>
      <c r="L15" s="310">
        <f t="shared" ref="L15:Q15" si="0">SUM(L12:L14)</f>
        <v>0</v>
      </c>
      <c r="M15" s="310">
        <f t="shared" si="0"/>
        <v>88688</v>
      </c>
      <c r="N15" s="310">
        <f t="shared" si="0"/>
        <v>0</v>
      </c>
      <c r="O15" s="310">
        <f t="shared" si="0"/>
        <v>2266.981433515366</v>
      </c>
      <c r="P15" s="310"/>
      <c r="Q15" s="310">
        <f t="shared" si="0"/>
        <v>90954.981433515364</v>
      </c>
      <c r="R15" s="307"/>
      <c r="S15" s="319"/>
    </row>
    <row r="16" spans="1:19">
      <c r="A16" s="402"/>
      <c r="B16" s="28"/>
      <c r="C16" s="411"/>
      <c r="D16" s="411"/>
      <c r="E16" s="127"/>
      <c r="F16" s="127"/>
      <c r="G16" s="127"/>
      <c r="H16" s="127"/>
      <c r="I16" s="127"/>
      <c r="J16" s="28"/>
      <c r="K16" s="412"/>
      <c r="L16" s="127"/>
      <c r="M16" s="127"/>
      <c r="N16" s="127"/>
      <c r="O16" s="127"/>
      <c r="P16" s="127"/>
      <c r="Q16" s="127"/>
      <c r="R16" s="307"/>
    </row>
    <row r="17" spans="1:22">
      <c r="A17" s="402"/>
      <c r="B17" s="28" t="s">
        <v>11</v>
      </c>
      <c r="C17" s="411"/>
      <c r="D17" s="411"/>
      <c r="E17" s="127"/>
      <c r="F17" s="127"/>
      <c r="G17" s="127"/>
      <c r="H17" s="127"/>
      <c r="I17" s="127"/>
      <c r="J17" s="28"/>
      <c r="K17" s="412"/>
      <c r="L17" s="127"/>
      <c r="M17" s="127"/>
      <c r="N17" s="127"/>
      <c r="O17" s="127"/>
      <c r="P17" s="127"/>
      <c r="Q17" s="127"/>
      <c r="R17" s="307"/>
    </row>
    <row r="18" spans="1:22">
      <c r="A18" s="402"/>
      <c r="B18" s="411" t="s">
        <v>51</v>
      </c>
      <c r="C18" s="28"/>
      <c r="D18" s="411"/>
      <c r="E18" s="127"/>
      <c r="F18" s="127"/>
      <c r="G18" s="127"/>
      <c r="H18" s="127"/>
      <c r="I18" s="127"/>
      <c r="J18" s="28"/>
      <c r="K18" s="412"/>
      <c r="L18" s="127"/>
      <c r="M18" s="127"/>
      <c r="N18" s="127"/>
      <c r="O18" s="127"/>
      <c r="P18" s="127"/>
      <c r="Q18" s="127"/>
      <c r="R18" s="307"/>
    </row>
    <row r="19" spans="1:22">
      <c r="A19" s="402">
        <v>5</v>
      </c>
      <c r="B19" s="28"/>
      <c r="C19" s="411" t="s">
        <v>12</v>
      </c>
      <c r="D19" s="411"/>
      <c r="E19" s="126">
        <f>'Cost Trends'!U19</f>
        <v>79634</v>
      </c>
      <c r="F19" s="126">
        <v>0</v>
      </c>
      <c r="G19" s="126">
        <v>-79634</v>
      </c>
      <c r="H19" s="126"/>
      <c r="I19" s="126">
        <f>SUM(E19:H19)</f>
        <v>0</v>
      </c>
      <c r="J19" s="28"/>
      <c r="K19" s="413"/>
      <c r="L19" s="127"/>
      <c r="M19" s="127">
        <f>I19+L19</f>
        <v>0</v>
      </c>
      <c r="N19" s="127"/>
      <c r="O19" s="394"/>
      <c r="P19" s="127"/>
      <c r="Q19" s="317">
        <f>SUM(M19:P19)</f>
        <v>0</v>
      </c>
      <c r="R19" s="307"/>
    </row>
    <row r="20" spans="1:22">
      <c r="A20" s="402">
        <v>6</v>
      </c>
      <c r="B20" s="28"/>
      <c r="C20" s="411" t="s">
        <v>13</v>
      </c>
      <c r="D20" s="411"/>
      <c r="E20" s="126">
        <f>'Cost Trends'!U20</f>
        <v>840</v>
      </c>
      <c r="F20" s="126">
        <v>0</v>
      </c>
      <c r="G20" s="126">
        <v>1</v>
      </c>
      <c r="H20" s="127" t="s">
        <v>453</v>
      </c>
      <c r="I20" s="126">
        <f>SUM(E20:H20)</f>
        <v>841</v>
      </c>
      <c r="J20" s="410"/>
      <c r="K20" s="550">
        <f>'Op Exp'!B30</f>
        <v>8.6484291420071635E-2</v>
      </c>
      <c r="L20" s="127">
        <f>I20*K20</f>
        <v>72.733289084280244</v>
      </c>
      <c r="M20" s="127">
        <f>I20+L20</f>
        <v>913.73328908428027</v>
      </c>
      <c r="N20" s="127"/>
      <c r="O20" s="127"/>
      <c r="P20" s="127"/>
      <c r="Q20" s="317">
        <f>SUM(M20:P20)</f>
        <v>913.73328908428027</v>
      </c>
      <c r="R20" s="307"/>
      <c r="S20" s="319"/>
    </row>
    <row r="21" spans="1:22">
      <c r="A21" s="402">
        <v>7</v>
      </c>
      <c r="B21" s="28"/>
      <c r="C21" s="411" t="s">
        <v>14</v>
      </c>
      <c r="D21" s="411"/>
      <c r="E21" s="126">
        <f>'Cost Trends'!U21</f>
        <v>0</v>
      </c>
      <c r="F21" s="126">
        <v>0</v>
      </c>
      <c r="G21" s="126">
        <v>0</v>
      </c>
      <c r="H21" s="133"/>
      <c r="I21" s="126">
        <f>SUM(E21:H21)</f>
        <v>0</v>
      </c>
      <c r="J21" s="127"/>
      <c r="K21" s="414"/>
      <c r="L21" s="133">
        <f>I21*K21</f>
        <v>0</v>
      </c>
      <c r="M21" s="127">
        <f>I21+L21</f>
        <v>0</v>
      </c>
      <c r="N21" s="133"/>
      <c r="O21" s="133"/>
      <c r="P21" s="394"/>
      <c r="Q21" s="474">
        <f>SUM(M21:P21)</f>
        <v>0</v>
      </c>
      <c r="R21" s="307"/>
      <c r="S21" s="27"/>
      <c r="T21" s="27"/>
      <c r="U21" s="27"/>
      <c r="V21" s="27"/>
    </row>
    <row r="22" spans="1:22">
      <c r="A22" s="402">
        <v>8</v>
      </c>
      <c r="B22" s="411" t="s">
        <v>15</v>
      </c>
      <c r="C22" s="411"/>
      <c r="D22" s="28"/>
      <c r="E22" s="310">
        <f>SUM(E19:E21)</f>
        <v>80474</v>
      </c>
      <c r="F22" s="310">
        <f>SUM(F19:F21)</f>
        <v>0</v>
      </c>
      <c r="G22" s="310">
        <f>SUM(G19:G21)</f>
        <v>-79633</v>
      </c>
      <c r="H22" s="310">
        <f>SUM(H19:H21)</f>
        <v>0</v>
      </c>
      <c r="I22" s="310">
        <f>SUM(I19:I21)</f>
        <v>841</v>
      </c>
      <c r="J22" s="28"/>
      <c r="K22" s="412"/>
      <c r="L22" s="310">
        <f t="shared" ref="L22:Q22" si="1">SUM(L19:L21)</f>
        <v>72.733289084280244</v>
      </c>
      <c r="M22" s="310">
        <f t="shared" si="1"/>
        <v>913.73328908428027</v>
      </c>
      <c r="N22" s="310">
        <f t="shared" si="1"/>
        <v>0</v>
      </c>
      <c r="O22" s="310">
        <f t="shared" si="1"/>
        <v>0</v>
      </c>
      <c r="P22" s="310"/>
      <c r="Q22" s="310">
        <f t="shared" si="1"/>
        <v>913.73328908428027</v>
      </c>
      <c r="R22" s="307"/>
      <c r="S22" s="27"/>
      <c r="T22" s="27"/>
      <c r="U22" s="27"/>
      <c r="V22" s="27"/>
    </row>
    <row r="23" spans="1:22">
      <c r="A23" s="402"/>
      <c r="B23" s="411"/>
      <c r="C23" s="411"/>
      <c r="D23" s="28"/>
      <c r="E23" s="127"/>
      <c r="F23" s="127"/>
      <c r="G23" s="127"/>
      <c r="H23" s="127"/>
      <c r="I23" s="127"/>
      <c r="J23" s="28"/>
      <c r="K23" s="412"/>
      <c r="L23" s="127"/>
      <c r="M23" s="127"/>
      <c r="N23" s="127"/>
      <c r="O23" s="127"/>
      <c r="P23" s="127"/>
      <c r="Q23" s="127"/>
      <c r="R23" s="307"/>
      <c r="S23" s="27"/>
      <c r="T23" s="27"/>
      <c r="U23" s="27"/>
      <c r="V23" s="27"/>
    </row>
    <row r="24" spans="1:22">
      <c r="A24" s="402"/>
      <c r="B24" s="411" t="s">
        <v>16</v>
      </c>
      <c r="C24" s="28"/>
      <c r="D24" s="411"/>
      <c r="E24" s="127"/>
      <c r="F24" s="127"/>
      <c r="G24" s="127"/>
      <c r="H24" s="127"/>
      <c r="I24" s="127"/>
      <c r="J24" s="28"/>
      <c r="K24" s="412"/>
      <c r="L24" s="127"/>
      <c r="M24" s="127"/>
      <c r="N24" s="127"/>
      <c r="O24" s="127"/>
      <c r="P24" s="127"/>
      <c r="Q24" s="127"/>
      <c r="R24" s="307"/>
      <c r="S24" s="27"/>
      <c r="T24" s="27"/>
      <c r="U24" s="27"/>
      <c r="V24" s="27"/>
    </row>
    <row r="25" spans="1:22">
      <c r="A25" s="402">
        <v>9</v>
      </c>
      <c r="B25" s="28"/>
      <c r="C25" s="411" t="s">
        <v>17</v>
      </c>
      <c r="D25" s="411"/>
      <c r="E25" s="126">
        <f>'Cost Trends'!U25</f>
        <v>857</v>
      </c>
      <c r="F25" s="126">
        <v>0</v>
      </c>
      <c r="G25" s="126">
        <v>0</v>
      </c>
      <c r="H25" s="127"/>
      <c r="I25" s="126">
        <f>SUM(E25:H25)</f>
        <v>857</v>
      </c>
      <c r="J25" s="410"/>
      <c r="K25" s="336">
        <f>K20</f>
        <v>8.6484291420071635E-2</v>
      </c>
      <c r="L25" s="127">
        <f>I25*K25</f>
        <v>74.11703774700139</v>
      </c>
      <c r="M25" s="127">
        <f>I25+L25</f>
        <v>931.1170377470014</v>
      </c>
      <c r="N25" s="127"/>
      <c r="O25" s="127"/>
      <c r="P25" s="127"/>
      <c r="Q25" s="317">
        <f t="shared" ref="Q25:Q27" si="2">SUM(M25:P25)</f>
        <v>931.1170377470014</v>
      </c>
      <c r="R25" s="307"/>
      <c r="S25" s="319"/>
      <c r="T25" s="27"/>
      <c r="U25" s="27"/>
      <c r="V25" s="27"/>
    </row>
    <row r="26" spans="1:22">
      <c r="A26" s="402">
        <v>10</v>
      </c>
      <c r="B26" s="28"/>
      <c r="C26" s="411" t="s">
        <v>47</v>
      </c>
      <c r="D26" s="411"/>
      <c r="E26" s="126">
        <f>'Cost Trends'!U26</f>
        <v>439</v>
      </c>
      <c r="F26" s="126">
        <v>0</v>
      </c>
      <c r="G26" s="126">
        <v>0</v>
      </c>
      <c r="H26" s="127">
        <v>0</v>
      </c>
      <c r="I26" s="126">
        <f>SUM(E26:H26)</f>
        <v>439</v>
      </c>
      <c r="J26" s="410"/>
      <c r="K26" s="550">
        <f>'UTC - UGStorDeprAmorExp'!B29</f>
        <v>7.2741078208048565E-2</v>
      </c>
      <c r="L26" s="127">
        <f>I26*K26</f>
        <v>31.933333333333319</v>
      </c>
      <c r="M26" s="127">
        <f>I26+L26</f>
        <v>470.93333333333334</v>
      </c>
      <c r="N26" s="127"/>
      <c r="O26" s="127"/>
      <c r="P26" s="127"/>
      <c r="Q26" s="317">
        <f t="shared" si="2"/>
        <v>470.93333333333334</v>
      </c>
      <c r="R26" s="307"/>
      <c r="S26" s="319"/>
      <c r="T26" s="27"/>
      <c r="U26" s="27"/>
      <c r="V26" s="27"/>
    </row>
    <row r="27" spans="1:22">
      <c r="A27" s="402">
        <v>11</v>
      </c>
      <c r="B27" s="28"/>
      <c r="C27" s="411" t="s">
        <v>4</v>
      </c>
      <c r="D27" s="411"/>
      <c r="E27" s="126">
        <f>'Cost Trends'!U27</f>
        <v>196</v>
      </c>
      <c r="F27" s="126">
        <v>0</v>
      </c>
      <c r="G27" s="126">
        <v>0</v>
      </c>
      <c r="H27" s="133"/>
      <c r="I27" s="126">
        <f>SUM(E27:H27)</f>
        <v>196</v>
      </c>
      <c r="J27" s="410"/>
      <c r="K27" s="550">
        <f>'Taxes (other than income)'!B30</f>
        <v>0.1165616183444384</v>
      </c>
      <c r="L27" s="133">
        <f>I27*K27</f>
        <v>22.846077195509928</v>
      </c>
      <c r="M27" s="127">
        <f>I27+L27</f>
        <v>218.84607719550993</v>
      </c>
      <c r="N27" s="133"/>
      <c r="O27" s="133"/>
      <c r="P27" s="394"/>
      <c r="Q27" s="475">
        <f t="shared" si="2"/>
        <v>218.84607719550993</v>
      </c>
      <c r="R27" s="307"/>
      <c r="S27" s="319"/>
      <c r="T27" s="27"/>
      <c r="U27" s="27"/>
      <c r="V27" s="27"/>
    </row>
    <row r="28" spans="1:22">
      <c r="A28" s="402">
        <v>12</v>
      </c>
      <c r="B28" s="411" t="s">
        <v>18</v>
      </c>
      <c r="C28" s="411"/>
      <c r="D28" s="28"/>
      <c r="E28" s="310">
        <f>SUM(E25:E27)</f>
        <v>1492</v>
      </c>
      <c r="F28" s="310">
        <f>SUM(F25:F27)</f>
        <v>0</v>
      </c>
      <c r="G28" s="310">
        <f>SUM(G25:G27)</f>
        <v>0</v>
      </c>
      <c r="H28" s="310">
        <f>SUM(H25:H27)</f>
        <v>0</v>
      </c>
      <c r="I28" s="310">
        <f>SUM(I25:I27)</f>
        <v>1492</v>
      </c>
      <c r="J28" s="28"/>
      <c r="K28" s="412"/>
      <c r="L28" s="310">
        <f t="shared" ref="L28:Q28" si="3">SUM(L25:L27)</f>
        <v>128.89644827584465</v>
      </c>
      <c r="M28" s="310">
        <f t="shared" si="3"/>
        <v>1620.8964482758447</v>
      </c>
      <c r="N28" s="310">
        <f t="shared" si="3"/>
        <v>0</v>
      </c>
      <c r="O28" s="310">
        <f t="shared" si="3"/>
        <v>0</v>
      </c>
      <c r="P28" s="310"/>
      <c r="Q28" s="310">
        <f t="shared" si="3"/>
        <v>1620.8964482758447</v>
      </c>
      <c r="R28" s="307"/>
      <c r="S28" s="319"/>
      <c r="T28" s="27"/>
      <c r="U28" s="27"/>
      <c r="V28" s="27"/>
    </row>
    <row r="29" spans="1:22">
      <c r="A29" s="402"/>
      <c r="B29" s="411"/>
      <c r="C29" s="411"/>
      <c r="D29" s="28"/>
      <c r="E29" s="127"/>
      <c r="F29" s="127"/>
      <c r="G29" s="127"/>
      <c r="H29" s="127"/>
      <c r="I29" s="127"/>
      <c r="J29" s="28"/>
      <c r="K29" s="412"/>
      <c r="L29" s="127"/>
      <c r="M29" s="127"/>
      <c r="N29" s="127"/>
      <c r="O29" s="127"/>
      <c r="P29" s="127"/>
      <c r="Q29" s="127"/>
      <c r="R29" s="307"/>
      <c r="S29" s="27"/>
      <c r="T29" s="135"/>
      <c r="U29" s="27"/>
      <c r="V29" s="27"/>
    </row>
    <row r="30" spans="1:22" ht="11.25" customHeight="1">
      <c r="A30" s="402"/>
      <c r="B30" s="411" t="s">
        <v>19</v>
      </c>
      <c r="C30" s="28"/>
      <c r="D30" s="411"/>
      <c r="E30" s="127"/>
      <c r="F30" s="127"/>
      <c r="G30" s="127"/>
      <c r="H30" s="127"/>
      <c r="I30" s="127"/>
      <c r="J30" s="28"/>
      <c r="K30" s="412"/>
      <c r="L30" s="127"/>
      <c r="M30" s="127"/>
      <c r="N30" s="127"/>
      <c r="O30" s="127"/>
      <c r="P30" s="127"/>
      <c r="Q30" s="127"/>
      <c r="S30" s="27"/>
      <c r="T30" s="27"/>
      <c r="U30" s="27"/>
      <c r="V30" s="27"/>
    </row>
    <row r="31" spans="1:22">
      <c r="A31" s="402">
        <v>13</v>
      </c>
      <c r="B31" s="28"/>
      <c r="C31" s="411" t="s">
        <v>17</v>
      </c>
      <c r="D31" s="319"/>
      <c r="E31" s="126">
        <f>'Cost Trends'!U31</f>
        <v>12315</v>
      </c>
      <c r="F31" s="126">
        <v>0</v>
      </c>
      <c r="G31" s="126">
        <v>0</v>
      </c>
      <c r="H31" s="127"/>
      <c r="I31" s="126">
        <f>SUM(E31:H31)</f>
        <v>12315</v>
      </c>
      <c r="J31" s="410"/>
      <c r="K31" s="336">
        <f>K20</f>
        <v>8.6484291420071635E-2</v>
      </c>
      <c r="L31" s="127">
        <f>I31*K31</f>
        <v>1065.0540488381821</v>
      </c>
      <c r="M31" s="127">
        <f>I31+L31</f>
        <v>13380.054048838181</v>
      </c>
      <c r="N31" s="127"/>
      <c r="O31" s="127"/>
      <c r="P31" s="127"/>
      <c r="Q31" s="317">
        <f t="shared" ref="Q31:Q33" si="4">SUM(M31:P31)</f>
        <v>13380.054048838181</v>
      </c>
      <c r="R31" s="307"/>
      <c r="S31" s="319"/>
      <c r="T31" s="27"/>
      <c r="U31" s="27"/>
      <c r="V31" s="27"/>
    </row>
    <row r="32" spans="1:22">
      <c r="A32" s="402">
        <v>14</v>
      </c>
      <c r="B32" s="28"/>
      <c r="C32" s="411" t="s">
        <v>47</v>
      </c>
      <c r="D32" s="411"/>
      <c r="E32" s="126">
        <f>'Cost Trends'!U32</f>
        <v>9088</v>
      </c>
      <c r="F32" s="126">
        <v>0</v>
      </c>
      <c r="G32" s="126">
        <v>0</v>
      </c>
      <c r="H32" s="127">
        <v>0</v>
      </c>
      <c r="I32" s="126">
        <f>SUM(E32:H32)</f>
        <v>9088</v>
      </c>
      <c r="J32" s="410"/>
      <c r="K32" s="535">
        <f>'UTC - DistrDeprAmorExp'!B29</f>
        <v>9.8243104460093864E-2</v>
      </c>
      <c r="L32" s="127">
        <f>I32*K32</f>
        <v>892.83333333333303</v>
      </c>
      <c r="M32" s="127">
        <f>I32+L32</f>
        <v>9980.8333333333321</v>
      </c>
      <c r="N32" s="127"/>
      <c r="O32" s="127"/>
      <c r="P32" s="127"/>
      <c r="Q32" s="317">
        <f t="shared" si="4"/>
        <v>9980.8333333333321</v>
      </c>
      <c r="R32" s="320"/>
      <c r="S32" s="319"/>
      <c r="T32" s="27"/>
      <c r="U32" s="27"/>
      <c r="V32" s="27"/>
    </row>
    <row r="33" spans="1:25">
      <c r="A33" s="30">
        <v>15</v>
      </c>
      <c r="B33" s="28"/>
      <c r="C33" s="411" t="s">
        <v>4</v>
      </c>
      <c r="D33" s="411"/>
      <c r="E33" s="126">
        <f>'Cost Trends'!U33</f>
        <v>8554</v>
      </c>
      <c r="F33" s="126">
        <v>0</v>
      </c>
      <c r="G33" s="126">
        <f>ROUND((G$12+G$13)*ROR!$N$16,0)</f>
        <v>-2504</v>
      </c>
      <c r="H33" s="126"/>
      <c r="I33" s="126">
        <f>SUM(E33:H33)</f>
        <v>6050</v>
      </c>
      <c r="J33" s="410"/>
      <c r="K33" s="336">
        <f>K27</f>
        <v>0.1165616183444384</v>
      </c>
      <c r="L33" s="133">
        <f>I33*K33</f>
        <v>705.19779098385231</v>
      </c>
      <c r="M33" s="127">
        <f>I33+L33</f>
        <v>6755.1977909838524</v>
      </c>
      <c r="N33" s="133"/>
      <c r="O33" s="126">
        <f>ROUND((O$12+O$13)*ROR!$N$16,0)</f>
        <v>83</v>
      </c>
      <c r="P33" s="126"/>
      <c r="Q33" s="475">
        <f t="shared" si="4"/>
        <v>6838.1977909838524</v>
      </c>
      <c r="R33" s="320"/>
      <c r="S33" s="319"/>
      <c r="T33" s="27"/>
      <c r="U33" s="27"/>
      <c r="V33" s="27"/>
    </row>
    <row r="34" spans="1:25" ht="12.75">
      <c r="A34" s="30">
        <v>16</v>
      </c>
      <c r="B34" s="411" t="s">
        <v>20</v>
      </c>
      <c r="C34" s="415"/>
      <c r="D34" s="28"/>
      <c r="E34" s="310">
        <f>SUM(E31:E33)</f>
        <v>29957</v>
      </c>
      <c r="F34" s="310">
        <f>SUM(F31:F33)</f>
        <v>0</v>
      </c>
      <c r="G34" s="310">
        <f>SUM(G31:G33)</f>
        <v>-2504</v>
      </c>
      <c r="H34" s="310">
        <f>SUM(H31:H33)</f>
        <v>0</v>
      </c>
      <c r="I34" s="310">
        <f>SUM(I31:I33)</f>
        <v>27453</v>
      </c>
      <c r="J34" s="28"/>
      <c r="K34" s="412"/>
      <c r="L34" s="310">
        <f t="shared" ref="L34:P34" si="5">SUM(L31:L33)</f>
        <v>2663.0851731553676</v>
      </c>
      <c r="M34" s="310">
        <f t="shared" si="5"/>
        <v>30116.085173155367</v>
      </c>
      <c r="N34" s="310">
        <f t="shared" si="5"/>
        <v>0</v>
      </c>
      <c r="O34" s="310">
        <f t="shared" si="5"/>
        <v>83</v>
      </c>
      <c r="P34" s="310">
        <f t="shared" si="5"/>
        <v>0</v>
      </c>
      <c r="Q34" s="310">
        <f>SUM(Q31:Q33)</f>
        <v>30199.085173155367</v>
      </c>
      <c r="R34" s="319"/>
      <c r="S34" s="496"/>
      <c r="T34" s="320"/>
      <c r="U34" s="135"/>
      <c r="V34" s="321"/>
    </row>
    <row r="35" spans="1:25">
      <c r="A35" s="30"/>
      <c r="B35" s="28"/>
      <c r="C35" s="411"/>
      <c r="D35" s="411"/>
      <c r="E35" s="127"/>
      <c r="F35" s="127"/>
      <c r="G35" s="127"/>
      <c r="H35" s="127"/>
      <c r="I35" s="127"/>
      <c r="J35" s="28"/>
      <c r="K35" s="412"/>
      <c r="L35" s="127"/>
      <c r="M35" s="127"/>
      <c r="N35" s="127"/>
      <c r="O35" s="127"/>
      <c r="P35" s="127"/>
      <c r="Q35" s="127"/>
      <c r="R35" s="320"/>
      <c r="S35" s="27"/>
      <c r="T35" s="27"/>
      <c r="U35" s="27"/>
      <c r="V35" s="27"/>
    </row>
    <row r="36" spans="1:25">
      <c r="A36" s="30">
        <v>17</v>
      </c>
      <c r="B36" s="28" t="s">
        <v>21</v>
      </c>
      <c r="C36" s="411"/>
      <c r="D36" s="411"/>
      <c r="E36" s="126">
        <f>'Cost Trends'!U36</f>
        <v>6632</v>
      </c>
      <c r="F36" s="126">
        <v>0</v>
      </c>
      <c r="G36" s="126">
        <f>ROUND((G$12+G$13)*ROR!$N$12,0)</f>
        <v>-441</v>
      </c>
      <c r="H36" s="126"/>
      <c r="I36" s="126">
        <f>SUM(E36:H36)</f>
        <v>6191</v>
      </c>
      <c r="J36" s="410"/>
      <c r="K36" s="336">
        <f>K20</f>
        <v>8.6484291420071635E-2</v>
      </c>
      <c r="L36" s="127">
        <f>I36*K36</f>
        <v>535.42424818166353</v>
      </c>
      <c r="M36" s="127">
        <f>I36+L36</f>
        <v>6726.4242481816636</v>
      </c>
      <c r="N36" s="127"/>
      <c r="O36" s="126">
        <f>ROUND((O$12+O$13)*ROR!$N$12,0)</f>
        <v>15</v>
      </c>
      <c r="P36" s="126"/>
      <c r="Q36" s="317">
        <f>SUM(M36:P36)</f>
        <v>6741.4242481816636</v>
      </c>
      <c r="R36" s="320"/>
      <c r="S36" s="319"/>
      <c r="T36" s="135"/>
      <c r="U36" s="27"/>
      <c r="V36" s="27"/>
    </row>
    <row r="37" spans="1:25">
      <c r="A37" s="30">
        <v>18</v>
      </c>
      <c r="B37" s="28" t="s">
        <v>22</v>
      </c>
      <c r="C37" s="411"/>
      <c r="D37" s="411"/>
      <c r="E37" s="126">
        <f>'Cost Trends'!U37</f>
        <v>837</v>
      </c>
      <c r="F37" s="126">
        <v>0</v>
      </c>
      <c r="G37" s="126">
        <v>0</v>
      </c>
      <c r="H37" s="127"/>
      <c r="I37" s="126">
        <f>SUM(E37:H37)</f>
        <v>837</v>
      </c>
      <c r="J37" s="410"/>
      <c r="K37" s="336">
        <f>K20</f>
        <v>8.6484291420071635E-2</v>
      </c>
      <c r="L37" s="127">
        <f>I37*K37</f>
        <v>72.387351918599961</v>
      </c>
      <c r="M37" s="127">
        <f>I37+L37</f>
        <v>909.38735191859996</v>
      </c>
      <c r="N37" s="127"/>
      <c r="O37" s="127"/>
      <c r="P37" s="127"/>
      <c r="Q37" s="317">
        <f t="shared" ref="Q37:Q38" si="6">SUM(M37:P37)</f>
        <v>909.38735191859996</v>
      </c>
      <c r="R37" s="320"/>
      <c r="S37" s="319"/>
    </row>
    <row r="38" spans="1:25">
      <c r="A38" s="30">
        <v>19</v>
      </c>
      <c r="B38" s="28" t="s">
        <v>23</v>
      </c>
      <c r="C38" s="411"/>
      <c r="D38" s="411"/>
      <c r="E38" s="126">
        <f>'Cost Trends'!U38</f>
        <v>0</v>
      </c>
      <c r="F38" s="126">
        <v>0</v>
      </c>
      <c r="G38" s="126">
        <v>0</v>
      </c>
      <c r="H38" s="127"/>
      <c r="I38" s="126">
        <f>SUM(E38:H38)</f>
        <v>0</v>
      </c>
      <c r="J38" s="410"/>
      <c r="K38" s="336">
        <f>K20</f>
        <v>8.6484291420071635E-2</v>
      </c>
      <c r="L38" s="127">
        <f>I38*K38</f>
        <v>0</v>
      </c>
      <c r="M38" s="127">
        <f>I38+L38</f>
        <v>0</v>
      </c>
      <c r="N38" s="127"/>
      <c r="O38" s="127"/>
      <c r="P38" s="127"/>
      <c r="Q38" s="317">
        <f t="shared" si="6"/>
        <v>0</v>
      </c>
      <c r="R38" s="320"/>
      <c r="S38" s="321"/>
      <c r="T38" s="27"/>
      <c r="U38" s="27"/>
    </row>
    <row r="39" spans="1:25">
      <c r="A39" s="30"/>
      <c r="B39" s="28"/>
      <c r="C39" s="411"/>
      <c r="D39" s="411"/>
      <c r="E39" s="127"/>
      <c r="F39" s="127"/>
      <c r="G39" s="127"/>
      <c r="H39" s="127"/>
      <c r="I39" s="127"/>
      <c r="J39" s="28"/>
      <c r="K39" s="412"/>
      <c r="L39" s="127"/>
      <c r="M39" s="127"/>
      <c r="N39" s="127"/>
      <c r="O39" s="127"/>
      <c r="P39" s="127"/>
      <c r="Q39" s="127"/>
      <c r="R39" s="320"/>
      <c r="S39" s="27"/>
      <c r="T39" s="27"/>
      <c r="U39" s="27"/>
    </row>
    <row r="40" spans="1:25">
      <c r="A40" s="30"/>
      <c r="B40" s="28" t="s">
        <v>24</v>
      </c>
      <c r="C40" s="411"/>
      <c r="D40" s="411"/>
      <c r="E40" s="127"/>
      <c r="F40" s="127"/>
      <c r="G40" s="127"/>
      <c r="H40" s="127"/>
      <c r="I40" s="127"/>
      <c r="J40" s="28"/>
      <c r="K40" s="412"/>
      <c r="L40" s="127"/>
      <c r="M40" s="127"/>
      <c r="N40" s="127"/>
      <c r="O40" s="127"/>
      <c r="P40" s="127"/>
      <c r="Q40" s="127"/>
      <c r="R40" s="320"/>
      <c r="S40" s="319"/>
      <c r="T40" s="320"/>
      <c r="U40" s="135"/>
      <c r="Y40" s="3" t="s">
        <v>281</v>
      </c>
    </row>
    <row r="41" spans="1:25">
      <c r="A41" s="30">
        <v>20</v>
      </c>
      <c r="B41" s="28"/>
      <c r="C41" s="411" t="s">
        <v>17</v>
      </c>
      <c r="D41" s="411"/>
      <c r="E41" s="126">
        <f>'Cost Trends'!U41</f>
        <v>14007</v>
      </c>
      <c r="F41" s="126">
        <f>-162-17</f>
        <v>-179</v>
      </c>
      <c r="G41" s="126">
        <f>ROUND((G$12+G$13)*ROR!$N$14,0)</f>
        <v>-131</v>
      </c>
      <c r="H41" s="126">
        <v>0</v>
      </c>
      <c r="I41" s="126">
        <f>SUM(E41:H41)</f>
        <v>13697</v>
      </c>
      <c r="J41" s="410"/>
      <c r="K41" s="336">
        <f>K20</f>
        <v>8.6484291420071635E-2</v>
      </c>
      <c r="L41" s="127">
        <f>I41*K41</f>
        <v>1184.5753395807212</v>
      </c>
      <c r="M41" s="127">
        <f>I41+L41</f>
        <v>14881.575339580721</v>
      </c>
      <c r="N41" s="127"/>
      <c r="O41" s="126">
        <f>ROUND((O$12+O$13)*ROR!$N$14,0)</f>
        <v>4</v>
      </c>
      <c r="P41" s="126"/>
      <c r="Q41" s="317">
        <f>SUM(M41:P41)</f>
        <v>14885.575339580721</v>
      </c>
      <c r="R41" s="320"/>
      <c r="S41" s="319"/>
      <c r="T41" s="27"/>
      <c r="U41" s="27"/>
    </row>
    <row r="42" spans="1:25">
      <c r="A42" s="30">
        <v>21</v>
      </c>
      <c r="B42" s="28"/>
      <c r="C42" s="411" t="s">
        <v>47</v>
      </c>
      <c r="D42" s="411"/>
      <c r="E42" s="126">
        <f>'Cost Trends'!U42</f>
        <v>5649</v>
      </c>
      <c r="F42" s="126">
        <v>0</v>
      </c>
      <c r="G42" s="126">
        <v>0</v>
      </c>
      <c r="H42" s="127"/>
      <c r="I42" s="126">
        <f>SUM(E42:H42)</f>
        <v>5649</v>
      </c>
      <c r="J42" s="410"/>
      <c r="K42" s="535">
        <f>'UTC - GenrlDeprAmorExp'!B29</f>
        <v>0.17090930548179614</v>
      </c>
      <c r="L42" s="127">
        <f>I42*K42</f>
        <v>965.46666666666636</v>
      </c>
      <c r="M42" s="127">
        <f>I42+L42</f>
        <v>6614.4666666666662</v>
      </c>
      <c r="N42" s="127"/>
      <c r="O42" s="127"/>
      <c r="P42" s="394"/>
      <c r="Q42" s="317">
        <f t="shared" ref="Q42:Q44" si="7">SUM(M42:P42)</f>
        <v>6614.4666666666662</v>
      </c>
      <c r="R42" s="320"/>
      <c r="S42" s="319"/>
      <c r="T42" s="135"/>
      <c r="U42" s="27"/>
    </row>
    <row r="43" spans="1:25">
      <c r="A43" s="30">
        <v>22</v>
      </c>
      <c r="B43" s="28"/>
      <c r="C43" s="416" t="s">
        <v>52</v>
      </c>
      <c r="D43" s="411"/>
      <c r="E43" s="126">
        <f>'Cost Trends'!U43</f>
        <v>-2087</v>
      </c>
      <c r="F43" s="543">
        <v>2626</v>
      </c>
      <c r="G43" s="126">
        <v>0</v>
      </c>
      <c r="H43" s="127"/>
      <c r="I43" s="126">
        <f>SUM(E43:H43)</f>
        <v>539</v>
      </c>
      <c r="J43" s="127"/>
      <c r="K43" s="336">
        <v>0</v>
      </c>
      <c r="L43" s="127">
        <f>I43*K43</f>
        <v>0</v>
      </c>
      <c r="M43" s="127">
        <f>I43+L43</f>
        <v>539</v>
      </c>
      <c r="N43" s="127"/>
      <c r="O43" s="127"/>
      <c r="P43" s="127"/>
      <c r="Q43" s="317">
        <f t="shared" si="7"/>
        <v>539</v>
      </c>
      <c r="R43" s="320"/>
      <c r="S43" s="319"/>
      <c r="T43" s="27"/>
      <c r="U43" s="27"/>
    </row>
    <row r="44" spans="1:25">
      <c r="A44" s="30">
        <v>23</v>
      </c>
      <c r="B44" s="28"/>
      <c r="C44" s="411" t="s">
        <v>4</v>
      </c>
      <c r="D44" s="411"/>
      <c r="E44" s="126">
        <f>'Cost Trends'!U44</f>
        <v>0</v>
      </c>
      <c r="F44" s="126">
        <v>0</v>
      </c>
      <c r="G44" s="126">
        <v>0</v>
      </c>
      <c r="H44" s="133"/>
      <c r="I44" s="126">
        <f>SUM(E44:H44)</f>
        <v>0</v>
      </c>
      <c r="J44" s="410"/>
      <c r="K44" s="336">
        <f>K27</f>
        <v>0.1165616183444384</v>
      </c>
      <c r="L44" s="133">
        <f>I44*K44</f>
        <v>0</v>
      </c>
      <c r="M44" s="127">
        <f>I44+L44</f>
        <v>0</v>
      </c>
      <c r="N44" s="133"/>
      <c r="O44" s="133"/>
      <c r="P44" s="394"/>
      <c r="Q44" s="317">
        <f t="shared" si="7"/>
        <v>0</v>
      </c>
      <c r="R44" s="27"/>
    </row>
    <row r="45" spans="1:25">
      <c r="A45" s="30">
        <v>24</v>
      </c>
      <c r="B45" s="411" t="s">
        <v>25</v>
      </c>
      <c r="C45" s="411"/>
      <c r="D45" s="28"/>
      <c r="E45" s="310">
        <f t="shared" ref="E45:J45" si="8">SUM(E41:E44)</f>
        <v>17569</v>
      </c>
      <c r="F45" s="310">
        <f t="shared" si="8"/>
        <v>2447</v>
      </c>
      <c r="G45" s="310">
        <f t="shared" si="8"/>
        <v>-131</v>
      </c>
      <c r="H45" s="310">
        <f t="shared" si="8"/>
        <v>0</v>
      </c>
      <c r="I45" s="310">
        <f t="shared" si="8"/>
        <v>19885</v>
      </c>
      <c r="J45" s="310">
        <f t="shared" si="8"/>
        <v>0</v>
      </c>
      <c r="K45" s="412"/>
      <c r="L45" s="310">
        <f t="shared" ref="L45:N45" si="9">SUM(L41:L44)</f>
        <v>2150.0420062473877</v>
      </c>
      <c r="M45" s="310">
        <f t="shared" si="9"/>
        <v>22035.042006247386</v>
      </c>
      <c r="N45" s="310">
        <f t="shared" si="9"/>
        <v>0</v>
      </c>
      <c r="O45" s="310">
        <f>SUM(O41:O44)</f>
        <v>4</v>
      </c>
      <c r="P45" s="310">
        <f>P42</f>
        <v>0</v>
      </c>
      <c r="Q45" s="310">
        <f>SUM(Q41:Q44)</f>
        <v>22039.042006247386</v>
      </c>
      <c r="R45" s="307"/>
    </row>
    <row r="46" spans="1:25">
      <c r="A46" s="30">
        <v>25</v>
      </c>
      <c r="B46" s="28" t="s">
        <v>26</v>
      </c>
      <c r="C46" s="411"/>
      <c r="D46" s="411"/>
      <c r="E46" s="310">
        <f t="shared" ref="E46:J46" si="10">E22+E28+E34+E36+E37+E38+E45</f>
        <v>136961</v>
      </c>
      <c r="F46" s="310">
        <f t="shared" si="10"/>
        <v>2447</v>
      </c>
      <c r="G46" s="310">
        <f t="shared" si="10"/>
        <v>-82709</v>
      </c>
      <c r="H46" s="310">
        <f t="shared" si="10"/>
        <v>0</v>
      </c>
      <c r="I46" s="310">
        <f t="shared" si="10"/>
        <v>56699</v>
      </c>
      <c r="J46" s="310">
        <f t="shared" si="10"/>
        <v>0</v>
      </c>
      <c r="K46" s="412"/>
      <c r="L46" s="310">
        <f t="shared" ref="L46:N46" si="11">L22+L28+L34+L36+L37+L38+L45</f>
        <v>5622.5685168631444</v>
      </c>
      <c r="M46" s="310">
        <f t="shared" si="11"/>
        <v>62321.568516863146</v>
      </c>
      <c r="N46" s="310">
        <f t="shared" si="11"/>
        <v>0</v>
      </c>
      <c r="O46" s="310">
        <f>O22+O28+O34+O36+O37+O38+O45</f>
        <v>102</v>
      </c>
      <c r="P46" s="310">
        <f>P22+P28+P34+P36+P37+P38+P45</f>
        <v>0</v>
      </c>
      <c r="Q46" s="310">
        <f>Q22+Q28+Q34+Q36+Q37+Q38+Q45</f>
        <v>62423.568516863146</v>
      </c>
      <c r="R46" s="307"/>
    </row>
    <row r="47" spans="1:25" ht="5.25" customHeight="1">
      <c r="A47" s="30"/>
      <c r="B47" s="28"/>
      <c r="C47" s="411"/>
      <c r="D47" s="411"/>
      <c r="E47" s="310"/>
      <c r="F47" s="310"/>
      <c r="G47" s="310"/>
      <c r="H47" s="312"/>
      <c r="I47" s="312"/>
      <c r="J47" s="312"/>
      <c r="K47" s="28"/>
      <c r="L47" s="312"/>
      <c r="M47" s="312"/>
      <c r="N47" s="312"/>
      <c r="O47" s="312"/>
      <c r="P47" s="312"/>
      <c r="Q47" s="312"/>
      <c r="R47" s="307"/>
    </row>
    <row r="48" spans="1:25">
      <c r="A48" s="30">
        <v>26</v>
      </c>
      <c r="B48" s="28" t="s">
        <v>27</v>
      </c>
      <c r="C48" s="411"/>
      <c r="D48" s="411"/>
      <c r="E48" s="126">
        <f t="shared" ref="E48:J48" si="12">E15-E46</f>
        <v>24087</v>
      </c>
      <c r="F48" s="126">
        <f t="shared" si="12"/>
        <v>-2447</v>
      </c>
      <c r="G48" s="126">
        <f t="shared" si="12"/>
        <v>10349</v>
      </c>
      <c r="H48" s="126">
        <f t="shared" si="12"/>
        <v>0</v>
      </c>
      <c r="I48" s="126">
        <f t="shared" si="12"/>
        <v>31989</v>
      </c>
      <c r="J48" s="126">
        <f t="shared" si="12"/>
        <v>0</v>
      </c>
      <c r="K48" s="28"/>
      <c r="L48" s="126">
        <f t="shared" ref="L48:Q48" si="13">L15-L46</f>
        <v>-5622.5685168631444</v>
      </c>
      <c r="M48" s="126">
        <f t="shared" si="13"/>
        <v>26366.431483136854</v>
      </c>
      <c r="N48" s="126">
        <f t="shared" si="13"/>
        <v>0</v>
      </c>
      <c r="O48" s="126">
        <f t="shared" si="13"/>
        <v>2164.981433515366</v>
      </c>
      <c r="P48" s="126">
        <f>-P46</f>
        <v>0</v>
      </c>
      <c r="Q48" s="126">
        <f t="shared" si="13"/>
        <v>28531.412916652218</v>
      </c>
      <c r="R48" s="307"/>
      <c r="S48" s="308"/>
      <c r="T48" s="308"/>
    </row>
    <row r="49" spans="1:18" ht="15.75">
      <c r="A49" s="30"/>
      <c r="B49" s="28"/>
      <c r="C49" s="411"/>
      <c r="D49" s="536" t="s">
        <v>558</v>
      </c>
      <c r="E49" s="537"/>
      <c r="F49" s="537"/>
      <c r="G49" s="537"/>
      <c r="H49" s="537"/>
      <c r="I49" s="537"/>
      <c r="J49" s="538"/>
      <c r="K49" s="538"/>
      <c r="L49" s="537"/>
      <c r="M49" s="127"/>
      <c r="N49" s="127"/>
      <c r="O49" s="127"/>
      <c r="P49" s="127"/>
      <c r="Q49" s="127"/>
      <c r="R49" s="307"/>
    </row>
    <row r="50" spans="1:18" ht="12.75">
      <c r="A50" s="30"/>
      <c r="B50" s="28"/>
      <c r="C50" s="411"/>
      <c r="D50" s="525"/>
      <c r="E50" s="127"/>
      <c r="F50" s="127"/>
      <c r="G50" s="127"/>
      <c r="H50" s="127"/>
      <c r="I50" s="127"/>
      <c r="J50" s="28"/>
      <c r="K50" s="28"/>
      <c r="L50" s="127"/>
      <c r="M50" s="127"/>
      <c r="N50" s="127"/>
      <c r="O50" s="127"/>
      <c r="P50" s="127"/>
      <c r="Q50" s="127"/>
      <c r="R50" s="307"/>
    </row>
    <row r="51" spans="1:18" ht="19.5" thickBot="1">
      <c r="A51" s="561" t="str">
        <f>A2</f>
        <v>12 ME Jun 2018 NATURAL GAS ATTRITION STUDY</v>
      </c>
      <c r="B51" s="561"/>
      <c r="C51" s="561"/>
      <c r="D51" s="561"/>
      <c r="E51" s="561"/>
      <c r="F51" s="561"/>
      <c r="G51" s="561"/>
      <c r="H51" s="561"/>
      <c r="I51" s="561"/>
      <c r="J51" s="561"/>
      <c r="K51" s="561"/>
      <c r="L51" s="561"/>
      <c r="M51" s="561"/>
      <c r="N51" s="561"/>
      <c r="O51" s="561"/>
      <c r="P51" s="561"/>
      <c r="Q51" s="561"/>
      <c r="R51" s="307"/>
    </row>
    <row r="52" spans="1:18" ht="1.5" customHeight="1">
      <c r="A52" s="417"/>
      <c r="B52" s="28"/>
      <c r="C52" s="28"/>
      <c r="D52" s="28"/>
      <c r="E52" s="29"/>
      <c r="G52" s="28"/>
      <c r="H52" s="28"/>
      <c r="I52" s="28"/>
      <c r="J52" s="28"/>
      <c r="K52" s="28"/>
      <c r="L52" s="28"/>
      <c r="M52" s="28"/>
      <c r="N52" s="28"/>
      <c r="O52" s="28"/>
      <c r="P52" s="28"/>
      <c r="Q52" s="28"/>
    </row>
    <row r="53" spans="1:18" ht="3" customHeight="1" thickBot="1">
      <c r="A53" s="417"/>
      <c r="B53" s="417"/>
      <c r="C53" s="417"/>
      <c r="D53" s="417"/>
      <c r="E53" s="29"/>
      <c r="G53" s="28"/>
      <c r="H53" s="28"/>
      <c r="I53" s="28"/>
      <c r="J53" s="28"/>
      <c r="K53" s="28"/>
      <c r="L53" s="28"/>
      <c r="M53" s="28"/>
      <c r="N53" s="28"/>
      <c r="O53" s="28"/>
      <c r="P53" s="28"/>
      <c r="Q53" s="28"/>
    </row>
    <row r="54" spans="1:18" ht="13.5" customHeight="1" thickBot="1">
      <c r="A54" s="418"/>
      <c r="B54" s="419"/>
      <c r="C54" s="419"/>
      <c r="D54" s="420" t="s">
        <v>209</v>
      </c>
      <c r="E54" s="562" t="s">
        <v>230</v>
      </c>
      <c r="F54" s="562"/>
      <c r="G54" s="562"/>
      <c r="H54" s="562"/>
      <c r="I54" s="563"/>
      <c r="J54" s="421"/>
      <c r="K54" s="422"/>
      <c r="L54" s="564" t="s">
        <v>159</v>
      </c>
      <c r="M54" s="564"/>
      <c r="N54" s="422"/>
      <c r="O54" s="564"/>
      <c r="P54" s="564"/>
      <c r="Q54" s="423"/>
    </row>
    <row r="55" spans="1:18" s="6" customFormat="1" ht="13.15" customHeight="1">
      <c r="A55" s="136"/>
      <c r="B55" s="360"/>
      <c r="C55" s="360"/>
      <c r="D55" s="360"/>
      <c r="E55" s="568" t="s">
        <v>529</v>
      </c>
      <c r="F55" s="571" t="str">
        <f>F6</f>
        <v>Regulatory Amorts &amp; Misc Adjs</v>
      </c>
      <c r="G55" s="571" t="str">
        <f>G6</f>
        <v>Pro Forma Revenue Normalization Adjustment</v>
      </c>
      <c r="H55" s="571" t="str">
        <f>H6</f>
        <v>Add 12.2015 Plant</v>
      </c>
      <c r="I55" s="565" t="str">
        <f>I6</f>
        <v>12ME 12.2015 AMA Escalation Base</v>
      </c>
      <c r="J55" s="360"/>
      <c r="K55" s="565" t="str">
        <f>K6</f>
        <v>Escalation Factor</v>
      </c>
      <c r="L55" s="565" t="str">
        <f>L6</f>
        <v>Escalation Amount      [E] *[F]=[G]</v>
      </c>
      <c r="M55" s="565" t="str">
        <f>M6</f>
        <v>Trended 12ME 06.2018 Non-Energy Cost [E]+[G]=[H]</v>
      </c>
      <c r="N55" s="360"/>
      <c r="O55" s="565" t="str">
        <f>O6</f>
        <v>(plus) Revenue Growth</v>
      </c>
      <c r="P55" s="574" t="str">
        <f>P6</f>
        <v>After Attrition Adj AMI Capital Project 2017</v>
      </c>
      <c r="Q55" s="574" t="str">
        <f>Q6</f>
        <v>12ME 06.2018 Revenue and Cost [H]+[I]+[J] = [K]</v>
      </c>
    </row>
    <row r="56" spans="1:18" s="6" customFormat="1" ht="12" customHeight="1">
      <c r="A56" s="402" t="s">
        <v>210</v>
      </c>
      <c r="B56" s="403"/>
      <c r="C56" s="403"/>
      <c r="D56" s="316"/>
      <c r="E56" s="569"/>
      <c r="F56" s="572"/>
      <c r="G56" s="572"/>
      <c r="H56" s="572"/>
      <c r="I56" s="566"/>
      <c r="J56" s="424"/>
      <c r="K56" s="566"/>
      <c r="L56" s="566"/>
      <c r="M56" s="566"/>
      <c r="N56" s="424"/>
      <c r="O56" s="566"/>
      <c r="P56" s="575"/>
      <c r="Q56" s="575"/>
    </row>
    <row r="57" spans="1:18" s="6" customFormat="1" ht="12" customHeight="1">
      <c r="A57" s="402" t="s">
        <v>0</v>
      </c>
      <c r="B57" s="403"/>
      <c r="C57" s="403"/>
      <c r="D57" s="316"/>
      <c r="E57" s="569"/>
      <c r="F57" s="572"/>
      <c r="G57" s="572"/>
      <c r="H57" s="572"/>
      <c r="I57" s="566"/>
      <c r="J57" s="424"/>
      <c r="K57" s="566"/>
      <c r="L57" s="566"/>
      <c r="M57" s="566"/>
      <c r="N57" s="424"/>
      <c r="O57" s="566"/>
      <c r="P57" s="575"/>
      <c r="Q57" s="575"/>
    </row>
    <row r="58" spans="1:18" s="6" customFormat="1" ht="37.5" customHeight="1">
      <c r="A58" s="405" t="s">
        <v>2</v>
      </c>
      <c r="B58" s="406"/>
      <c r="C58" s="406"/>
      <c r="D58" s="406" t="s">
        <v>3</v>
      </c>
      <c r="E58" s="570"/>
      <c r="F58" s="573"/>
      <c r="G58" s="573"/>
      <c r="H58" s="573"/>
      <c r="I58" s="567"/>
      <c r="J58" s="424"/>
      <c r="K58" s="567"/>
      <c r="L58" s="567"/>
      <c r="M58" s="567"/>
      <c r="N58" s="424"/>
      <c r="O58" s="567"/>
      <c r="P58" s="576"/>
      <c r="Q58" s="576"/>
    </row>
    <row r="59" spans="1:18" s="6" customFormat="1">
      <c r="A59" s="402"/>
      <c r="B59" s="403"/>
      <c r="C59" s="403"/>
      <c r="D59" s="403"/>
      <c r="E59" s="311" t="str">
        <f>E10</f>
        <v>[A]</v>
      </c>
      <c r="F59" s="311" t="str">
        <f t="shared" ref="F59:Q59" si="14">F10</f>
        <v>[B]</v>
      </c>
      <c r="G59" s="311" t="str">
        <f t="shared" si="14"/>
        <v>[C]</v>
      </c>
      <c r="H59" s="311" t="str">
        <f t="shared" si="14"/>
        <v>[D]</v>
      </c>
      <c r="I59" s="311" t="str">
        <f t="shared" si="14"/>
        <v>[E]</v>
      </c>
      <c r="J59" s="425"/>
      <c r="K59" s="311" t="str">
        <f t="shared" si="14"/>
        <v>[F]</v>
      </c>
      <c r="L59" s="311" t="str">
        <f t="shared" si="14"/>
        <v>[G]</v>
      </c>
      <c r="M59" s="311" t="str">
        <f t="shared" si="14"/>
        <v>[H]</v>
      </c>
      <c r="N59" s="425"/>
      <c r="O59" s="311" t="str">
        <f t="shared" si="14"/>
        <v>[I]</v>
      </c>
      <c r="P59" s="311" t="str">
        <f t="shared" si="14"/>
        <v>[J]</v>
      </c>
      <c r="Q59" s="311" t="str">
        <f t="shared" si="14"/>
        <v>[K]</v>
      </c>
    </row>
    <row r="60" spans="1:18">
      <c r="A60" s="30"/>
      <c r="B60" s="28" t="s">
        <v>28</v>
      </c>
      <c r="C60" s="411"/>
      <c r="D60" s="411"/>
      <c r="E60" s="127"/>
      <c r="F60" s="127"/>
      <c r="G60" s="127"/>
      <c r="H60" s="127"/>
      <c r="I60" s="127"/>
      <c r="J60" s="28"/>
      <c r="K60" s="28"/>
      <c r="L60" s="127"/>
      <c r="M60" s="127"/>
      <c r="N60" s="127"/>
      <c r="O60" s="127"/>
      <c r="P60" s="127"/>
      <c r="Q60" s="127"/>
    </row>
    <row r="61" spans="1:18">
      <c r="A61" s="30">
        <v>27</v>
      </c>
      <c r="B61" s="411" t="s">
        <v>29</v>
      </c>
      <c r="C61" s="28"/>
      <c r="D61" s="411"/>
      <c r="E61" s="126">
        <v>-456</v>
      </c>
      <c r="F61" s="126">
        <f>0.35*F48-647</f>
        <v>-1503.4499999999998</v>
      </c>
      <c r="G61" s="127">
        <f>0.35*G48</f>
        <v>3622.1499999999996</v>
      </c>
      <c r="H61" s="127">
        <f>0.35*H48</f>
        <v>0</v>
      </c>
      <c r="I61" s="126">
        <f>SUM(E61:H61)</f>
        <v>1662.6999999999998</v>
      </c>
      <c r="J61" s="28"/>
      <c r="K61" s="28"/>
      <c r="L61" s="127">
        <f>0.35*L48</f>
        <v>-1967.8989809021004</v>
      </c>
      <c r="M61" s="127">
        <f>I61+L61</f>
        <v>-305.19898090210063</v>
      </c>
      <c r="N61" s="127"/>
      <c r="O61" s="127">
        <f>0.35*O48</f>
        <v>757.74350173037806</v>
      </c>
      <c r="P61" s="394">
        <f>0.35*P48</f>
        <v>0</v>
      </c>
      <c r="Q61" s="394">
        <f>SUM(M61:P61)</f>
        <v>452.54452082827743</v>
      </c>
      <c r="R61" s="499"/>
    </row>
    <row r="62" spans="1:18">
      <c r="A62" s="30">
        <v>28</v>
      </c>
      <c r="B62" s="411" t="s">
        <v>46</v>
      </c>
      <c r="C62" s="28"/>
      <c r="D62" s="411"/>
      <c r="E62" s="126">
        <f>'Cost Trends'!U52</f>
        <v>-37</v>
      </c>
      <c r="F62" s="126">
        <f>F87*ROR!$F$38*-0.35</f>
        <v>32.554697000000004</v>
      </c>
      <c r="G62" s="126">
        <f>G87*ROR!$F$38*-0.35</f>
        <v>0</v>
      </c>
      <c r="H62" s="126">
        <f>H87*ROR!$F$38*-0.35</f>
        <v>0</v>
      </c>
      <c r="I62" s="126">
        <f>SUM(E62:H62)</f>
        <v>-4.4453029999999956</v>
      </c>
      <c r="J62" s="28"/>
      <c r="K62" s="28"/>
      <c r="L62" s="127">
        <f>(ROR!F11*-0.35*L87)+(ROR!F11-ROR!F38)*I87*-0.35</f>
        <v>-402.95493924242408</v>
      </c>
      <c r="M62" s="127">
        <f>I62+L62</f>
        <v>-407.40024224242404</v>
      </c>
      <c r="N62" s="127"/>
      <c r="O62" s="127"/>
      <c r="P62" s="394">
        <f>P87*ROR!$F$11*-0.35</f>
        <v>0</v>
      </c>
      <c r="Q62" s="394">
        <f>SUM(M62:P62)</f>
        <v>-407.40024224242404</v>
      </c>
      <c r="R62" s="499"/>
    </row>
    <row r="63" spans="1:18">
      <c r="A63" s="30">
        <v>29</v>
      </c>
      <c r="B63" s="411" t="s">
        <v>30</v>
      </c>
      <c r="C63" s="28"/>
      <c r="D63" s="411"/>
      <c r="E63" s="126">
        <v>7838</v>
      </c>
      <c r="F63" s="126">
        <v>0</v>
      </c>
      <c r="G63" s="126">
        <v>0</v>
      </c>
      <c r="H63" s="127"/>
      <c r="I63" s="126">
        <f>SUM(E63:H63)</f>
        <v>7838</v>
      </c>
      <c r="J63" s="28"/>
      <c r="K63" s="28"/>
      <c r="L63" s="127"/>
      <c r="M63" s="127">
        <f>I63+L63</f>
        <v>7838</v>
      </c>
      <c r="N63" s="127"/>
      <c r="O63" s="127"/>
      <c r="P63" s="394"/>
      <c r="Q63" s="394">
        <f>SUM(M63:P63)</f>
        <v>7838</v>
      </c>
      <c r="R63" s="499"/>
    </row>
    <row r="64" spans="1:18">
      <c r="A64" s="30">
        <v>30</v>
      </c>
      <c r="B64" s="411" t="s">
        <v>31</v>
      </c>
      <c r="C64" s="28"/>
      <c r="D64" s="411"/>
      <c r="E64" s="126">
        <f>'Cost Trends'!U54</f>
        <v>-20</v>
      </c>
      <c r="F64" s="126">
        <v>0</v>
      </c>
      <c r="G64" s="126">
        <v>0</v>
      </c>
      <c r="H64" s="133"/>
      <c r="I64" s="126">
        <f>SUM(E64:H64)</f>
        <v>-20</v>
      </c>
      <c r="J64" s="28"/>
      <c r="K64" s="28"/>
      <c r="L64" s="133"/>
      <c r="M64" s="127">
        <f>I64+L64</f>
        <v>-20</v>
      </c>
      <c r="N64" s="133"/>
      <c r="O64" s="133"/>
      <c r="P64" s="133"/>
      <c r="Q64" s="127">
        <f>SUM(M64:P64)</f>
        <v>-20</v>
      </c>
      <c r="R64" s="499"/>
    </row>
    <row r="65" spans="1:21">
      <c r="A65" s="30"/>
      <c r="B65" s="28"/>
      <c r="C65" s="28"/>
      <c r="D65" s="28"/>
      <c r="E65" s="312"/>
      <c r="F65" s="312"/>
      <c r="G65" s="312"/>
      <c r="H65" s="127"/>
      <c r="I65" s="312"/>
      <c r="J65" s="28"/>
      <c r="K65" s="28"/>
      <c r="L65" s="127"/>
      <c r="M65" s="312"/>
      <c r="N65" s="127"/>
      <c r="O65" s="127"/>
      <c r="P65" s="127"/>
      <c r="Q65" s="312"/>
      <c r="R65" s="499"/>
      <c r="S65" s="499"/>
      <c r="T65" s="308"/>
      <c r="U65" s="307"/>
    </row>
    <row r="66" spans="1:21" s="23" customFormat="1" ht="12.75" thickBot="1">
      <c r="A66" s="30">
        <v>31</v>
      </c>
      <c r="B66" s="409" t="s">
        <v>32</v>
      </c>
      <c r="C66" s="409"/>
      <c r="D66" s="409"/>
      <c r="E66" s="128">
        <f>E48-E61-E62-E63-E64</f>
        <v>16762</v>
      </c>
      <c r="F66" s="128">
        <f>F48-F61-F62-F63-F64</f>
        <v>-976.10469700000021</v>
      </c>
      <c r="G66" s="128">
        <f>G48-G61-G62-G63-G64</f>
        <v>6726.85</v>
      </c>
      <c r="H66" s="128">
        <f>H48-H61-H62-H63-H64</f>
        <v>0</v>
      </c>
      <c r="I66" s="128">
        <f>I48-I61-I62-I63-I64</f>
        <v>22512.745303</v>
      </c>
      <c r="J66" s="409"/>
      <c r="K66" s="426"/>
      <c r="L66" s="128">
        <f t="shared" ref="L66:N66" si="15">L48-L61-L62-L63-L64</f>
        <v>-3251.7145967186198</v>
      </c>
      <c r="M66" s="128">
        <f>M48-M61-M62-M63-M64</f>
        <v>19261.030706281377</v>
      </c>
      <c r="N66" s="128">
        <f t="shared" si="15"/>
        <v>0</v>
      </c>
      <c r="O66" s="128">
        <f>O48-O61-O62-O63-O64</f>
        <v>1407.2379317849879</v>
      </c>
      <c r="P66" s="128">
        <f>P48-P61-P62-P63-P64</f>
        <v>0</v>
      </c>
      <c r="Q66" s="128">
        <f>Q48-Q61-Q62-Q63-Q64</f>
        <v>20668.268638066365</v>
      </c>
      <c r="R66" s="37"/>
    </row>
    <row r="67" spans="1:21" ht="6.75" customHeight="1" thickTop="1">
      <c r="A67" s="30"/>
      <c r="B67" s="28"/>
      <c r="C67" s="28"/>
      <c r="D67" s="28"/>
      <c r="E67" s="127"/>
      <c r="F67" s="127"/>
      <c r="G67" s="127"/>
      <c r="H67" s="127"/>
      <c r="I67" s="127"/>
      <c r="J67" s="28"/>
      <c r="K67" s="412"/>
      <c r="L67" s="127"/>
      <c r="M67" s="127"/>
      <c r="N67" s="127"/>
      <c r="O67" s="127"/>
      <c r="P67" s="127"/>
      <c r="Q67" s="127"/>
    </row>
    <row r="68" spans="1:21">
      <c r="A68" s="30"/>
      <c r="B68" s="28" t="s">
        <v>40</v>
      </c>
      <c r="C68" s="28"/>
      <c r="D68" s="28"/>
      <c r="E68" s="127"/>
      <c r="F68" s="127"/>
      <c r="G68" s="127"/>
      <c r="H68" s="127"/>
      <c r="I68" s="127"/>
      <c r="J68" s="28"/>
      <c r="K68" s="412"/>
      <c r="L68" s="127"/>
      <c r="M68" s="127"/>
      <c r="N68" s="127"/>
      <c r="O68" s="127"/>
      <c r="P68" s="127"/>
      <c r="Q68" s="127"/>
      <c r="S68" s="307"/>
      <c r="T68" s="497"/>
    </row>
    <row r="69" spans="1:21">
      <c r="A69" s="30"/>
      <c r="B69" s="28" t="s">
        <v>41</v>
      </c>
      <c r="C69" s="28"/>
      <c r="D69" s="28"/>
      <c r="E69" s="127"/>
      <c r="F69" s="127"/>
      <c r="G69" s="127"/>
      <c r="H69" s="127"/>
      <c r="I69" s="127"/>
      <c r="J69" s="28"/>
      <c r="K69" s="412"/>
      <c r="L69" s="127"/>
      <c r="M69" s="127"/>
      <c r="N69" s="127"/>
      <c r="O69" s="127"/>
      <c r="P69" s="127"/>
      <c r="Q69" s="127"/>
    </row>
    <row r="70" spans="1:21">
      <c r="A70" s="30">
        <v>32</v>
      </c>
      <c r="B70" s="411"/>
      <c r="C70" s="411" t="s">
        <v>16</v>
      </c>
      <c r="D70" s="411"/>
      <c r="E70" s="126">
        <f>'Cost Trends'!U72</f>
        <v>25720</v>
      </c>
      <c r="F70" s="126">
        <v>0</v>
      </c>
      <c r="G70" s="126">
        <v>0</v>
      </c>
      <c r="H70" s="126">
        <v>0</v>
      </c>
      <c r="I70" s="126">
        <f>SUM(E70:H70)</f>
        <v>25720</v>
      </c>
      <c r="J70" s="410"/>
      <c r="K70" s="550">
        <f>'UTC - UGStorPlant'!C30</f>
        <v>-7.6975949788934388E-3</v>
      </c>
      <c r="L70" s="126">
        <f>I70*K70</f>
        <v>-197.98214285713925</v>
      </c>
      <c r="M70" s="127">
        <f>I70+L70</f>
        <v>25522.017857142862</v>
      </c>
      <c r="N70" s="126"/>
      <c r="O70" s="126"/>
      <c r="P70" s="126"/>
      <c r="Q70" s="394">
        <f>SUM(M70:P70)</f>
        <v>25522.017857142862</v>
      </c>
    </row>
    <row r="71" spans="1:21">
      <c r="A71" s="30">
        <v>33</v>
      </c>
      <c r="B71" s="411"/>
      <c r="C71" s="411" t="s">
        <v>33</v>
      </c>
      <c r="D71" s="411"/>
      <c r="E71" s="126">
        <f>'Cost Trends'!U73</f>
        <v>360612</v>
      </c>
      <c r="F71" s="126">
        <v>0</v>
      </c>
      <c r="G71" s="126"/>
      <c r="H71" s="127">
        <v>0</v>
      </c>
      <c r="I71" s="126">
        <f>SUM(E71:H71)</f>
        <v>360612</v>
      </c>
      <c r="J71" s="410"/>
      <c r="K71" s="535">
        <f>'UTC - DistrPlant'!C30</f>
        <v>0.1571749757615036</v>
      </c>
      <c r="L71" s="127">
        <f>I71*K71</f>
        <v>56679.182359307335</v>
      </c>
      <c r="M71" s="127">
        <f>I71+L71</f>
        <v>417291.18235930731</v>
      </c>
      <c r="N71" s="127"/>
      <c r="O71" s="127"/>
      <c r="P71" s="127"/>
      <c r="Q71" s="394">
        <f>SUM(M71:P71)</f>
        <v>417291.18235930731</v>
      </c>
    </row>
    <row r="72" spans="1:21">
      <c r="A72" s="30">
        <v>34</v>
      </c>
      <c r="B72" s="411"/>
      <c r="C72" s="411" t="s">
        <v>34</v>
      </c>
      <c r="D72" s="411"/>
      <c r="E72" s="126">
        <f>'Cost Trends'!U74</f>
        <v>75514</v>
      </c>
      <c r="F72" s="126">
        <v>0</v>
      </c>
      <c r="G72" s="126">
        <v>0</v>
      </c>
      <c r="H72" s="133">
        <v>0</v>
      </c>
      <c r="I72" s="126">
        <f>SUM(E72:H72)</f>
        <v>75514</v>
      </c>
      <c r="J72" s="410"/>
      <c r="K72" s="535">
        <f>'UTC - GeneralPlant'!B29</f>
        <v>0.20985236733144408</v>
      </c>
      <c r="L72" s="133">
        <f>I72*K72</f>
        <v>15846.791666666668</v>
      </c>
      <c r="M72" s="127">
        <f>I72+L72</f>
        <v>91360.791666666672</v>
      </c>
      <c r="N72" s="133"/>
      <c r="O72" s="133"/>
      <c r="P72" s="133"/>
      <c r="Q72" s="133">
        <f>SUM(M72:P72)</f>
        <v>91360.791666666672</v>
      </c>
    </row>
    <row r="73" spans="1:21">
      <c r="A73" s="30">
        <v>35</v>
      </c>
      <c r="B73" s="411" t="s">
        <v>35</v>
      </c>
      <c r="C73" s="411"/>
      <c r="D73" s="28"/>
      <c r="E73" s="310">
        <f t="shared" ref="E73:J73" si="16">SUM(E70:E72)</f>
        <v>461846</v>
      </c>
      <c r="F73" s="310">
        <f t="shared" si="16"/>
        <v>0</v>
      </c>
      <c r="G73" s="310">
        <f t="shared" si="16"/>
        <v>0</v>
      </c>
      <c r="H73" s="310">
        <f t="shared" si="16"/>
        <v>0</v>
      </c>
      <c r="I73" s="310">
        <f t="shared" si="16"/>
        <v>461846</v>
      </c>
      <c r="J73" s="310">
        <f t="shared" si="16"/>
        <v>0</v>
      </c>
      <c r="K73" s="412"/>
      <c r="L73" s="127">
        <f>SUM(L70:L72)</f>
        <v>72327.991883116862</v>
      </c>
      <c r="M73" s="312">
        <f>SUM(M70:M72)</f>
        <v>534173.99188311677</v>
      </c>
      <c r="N73" s="127"/>
      <c r="O73" s="127"/>
      <c r="P73" s="127">
        <f>SUM(P70:P72)</f>
        <v>0</v>
      </c>
      <c r="Q73" s="312">
        <f>SUM(Q70:Q72)</f>
        <v>534173.99188311677</v>
      </c>
    </row>
    <row r="74" spans="1:21">
      <c r="A74" s="30"/>
      <c r="B74" s="411"/>
      <c r="C74" s="411"/>
      <c r="D74" s="28"/>
      <c r="E74" s="127"/>
      <c r="F74" s="127"/>
      <c r="G74" s="127"/>
      <c r="H74" s="127"/>
      <c r="I74" s="127"/>
      <c r="J74" s="28"/>
      <c r="K74" s="412"/>
      <c r="L74" s="127"/>
      <c r="M74" s="127"/>
      <c r="N74" s="127"/>
      <c r="O74" s="127"/>
      <c r="P74" s="127"/>
      <c r="Q74" s="127"/>
    </row>
    <row r="75" spans="1:21">
      <c r="A75" s="30"/>
      <c r="B75" s="411" t="s">
        <v>447</v>
      </c>
      <c r="C75" s="411"/>
      <c r="D75" s="411"/>
      <c r="E75" s="127"/>
      <c r="F75" s="127"/>
      <c r="G75" s="127"/>
      <c r="H75" s="127"/>
      <c r="I75" s="127"/>
      <c r="J75" s="28"/>
      <c r="K75" s="412"/>
      <c r="L75" s="127"/>
      <c r="M75" s="127"/>
      <c r="N75" s="127"/>
      <c r="O75" s="127"/>
      <c r="P75" s="127"/>
      <c r="Q75" s="127"/>
    </row>
    <row r="76" spans="1:21">
      <c r="A76" s="30">
        <v>36</v>
      </c>
      <c r="B76" s="411"/>
      <c r="C76" s="411" t="s">
        <v>16</v>
      </c>
      <c r="D76" s="411"/>
      <c r="E76" s="126">
        <f>-'Cost Trends'!U78</f>
        <v>-9906</v>
      </c>
      <c r="F76" s="126">
        <v>0</v>
      </c>
      <c r="G76" s="126">
        <v>0</v>
      </c>
      <c r="H76" s="127">
        <v>0</v>
      </c>
      <c r="I76" s="126">
        <f>SUM(E76:H76)</f>
        <v>-9906</v>
      </c>
      <c r="J76" s="410"/>
      <c r="K76" s="550">
        <f>'UTC - UGStorAccumDeprAmort'!C30</f>
        <v>0.12857063103126098</v>
      </c>
      <c r="L76" s="127">
        <f>I76*K76</f>
        <v>-1273.6206709956714</v>
      </c>
      <c r="M76" s="127">
        <f>I76+L76</f>
        <v>-11179.620670995671</v>
      </c>
      <c r="N76" s="127"/>
      <c r="O76" s="127"/>
      <c r="P76" s="127"/>
      <c r="Q76" s="394">
        <f>SUM(M76:P76)</f>
        <v>-11179.620670995671</v>
      </c>
    </row>
    <row r="77" spans="1:21">
      <c r="A77" s="30">
        <v>37</v>
      </c>
      <c r="B77" s="411"/>
      <c r="C77" s="411" t="s">
        <v>33</v>
      </c>
      <c r="D77" s="411"/>
      <c r="E77" s="126">
        <f>-'Cost Trends'!U79</f>
        <v>-121623</v>
      </c>
      <c r="F77" s="126">
        <v>0</v>
      </c>
      <c r="G77" s="126"/>
      <c r="H77" s="127">
        <v>0</v>
      </c>
      <c r="I77" s="126">
        <f>SUM(E77:H77)</f>
        <v>-121623</v>
      </c>
      <c r="J77" s="410"/>
      <c r="K77" s="535">
        <f>'UTC - DistrAccumAmortDepr'!C30</f>
        <v>0.15148684567914483</v>
      </c>
      <c r="L77" s="127">
        <f>I77*K77</f>
        <v>-18424.284632034633</v>
      </c>
      <c r="M77" s="127">
        <f>I77+L77</f>
        <v>-140047.28463203463</v>
      </c>
      <c r="N77" s="127"/>
      <c r="O77" s="127"/>
      <c r="P77" s="127"/>
      <c r="Q77" s="394">
        <f>SUM(M77:P77)</f>
        <v>-140047.28463203463</v>
      </c>
    </row>
    <row r="78" spans="1:21">
      <c r="A78" s="30">
        <v>38</v>
      </c>
      <c r="B78" s="411"/>
      <c r="C78" s="411" t="s">
        <v>34</v>
      </c>
      <c r="D78" s="411"/>
      <c r="E78" s="126">
        <f>-'Cost Trends'!U80</f>
        <v>-20741</v>
      </c>
      <c r="F78" s="126">
        <v>0</v>
      </c>
      <c r="G78" s="126">
        <v>0</v>
      </c>
      <c r="H78" s="127">
        <v>0</v>
      </c>
      <c r="I78" s="126">
        <f>SUM(E78:H78)</f>
        <v>-20741</v>
      </c>
      <c r="J78" s="410"/>
      <c r="K78" s="535">
        <f>'UTC - GeneralAccumAmortDepr'!B29</f>
        <v>0.19070118766372562</v>
      </c>
      <c r="L78" s="127">
        <f>I78*K78</f>
        <v>-3955.333333333333</v>
      </c>
      <c r="M78" s="127">
        <f>I78+L78</f>
        <v>-24696.333333333332</v>
      </c>
      <c r="N78" s="127"/>
      <c r="O78" s="127"/>
      <c r="P78" s="133"/>
      <c r="Q78" s="394">
        <f>SUM(M78:P78)</f>
        <v>-24696.333333333332</v>
      </c>
    </row>
    <row r="79" spans="1:21">
      <c r="A79" s="30">
        <v>39</v>
      </c>
      <c r="B79" s="411" t="s">
        <v>446</v>
      </c>
      <c r="C79" s="411"/>
      <c r="D79" s="28"/>
      <c r="E79" s="313">
        <f>SUM(E76:E78)</f>
        <v>-152270</v>
      </c>
      <c r="F79" s="313">
        <f>SUM(F76:F78)</f>
        <v>0</v>
      </c>
      <c r="G79" s="313">
        <f>SUM(G76:G78)</f>
        <v>0</v>
      </c>
      <c r="H79" s="313">
        <f>SUM(H76:H78)</f>
        <v>0</v>
      </c>
      <c r="I79" s="313">
        <f>SUM(I76:I78)</f>
        <v>-152270</v>
      </c>
      <c r="J79" s="28"/>
      <c r="K79" s="412"/>
      <c r="L79" s="427">
        <f>SUM(L76:L78)</f>
        <v>-23653.238636363636</v>
      </c>
      <c r="M79" s="427">
        <f>SUM(M76:M78)</f>
        <v>-175923.23863636365</v>
      </c>
      <c r="N79" s="427">
        <f>SUM(N76:N78)</f>
        <v>0</v>
      </c>
      <c r="O79" s="427"/>
      <c r="P79" s="427">
        <f>SUM(P76:P78)</f>
        <v>0</v>
      </c>
      <c r="Q79" s="427">
        <f>SUM(Q76:Q78)</f>
        <v>-175923.23863636365</v>
      </c>
    </row>
    <row r="80" spans="1:21">
      <c r="A80" s="30">
        <v>40</v>
      </c>
      <c r="B80" s="411" t="s">
        <v>44</v>
      </c>
      <c r="C80" s="411"/>
      <c r="D80" s="411"/>
      <c r="E80" s="126">
        <f>E73+E79</f>
        <v>309576</v>
      </c>
      <c r="F80" s="126">
        <f>F73+F79</f>
        <v>0</v>
      </c>
      <c r="G80" s="126">
        <f>G73+G79</f>
        <v>0</v>
      </c>
      <c r="H80" s="126">
        <f>H73+H79</f>
        <v>0</v>
      </c>
      <c r="I80" s="126">
        <f>I73+I79</f>
        <v>309576</v>
      </c>
      <c r="J80" s="28"/>
      <c r="K80" s="412"/>
      <c r="L80" s="126">
        <f>L73+L79</f>
        <v>48674.753246753229</v>
      </c>
      <c r="M80" s="126">
        <f>M73+M79</f>
        <v>358250.75324675313</v>
      </c>
      <c r="N80" s="394">
        <f>N73-N79</f>
        <v>0</v>
      </c>
      <c r="O80" s="394"/>
      <c r="P80" s="126">
        <f>P73+P79</f>
        <v>0</v>
      </c>
      <c r="Q80" s="394">
        <f>Q73+Q79</f>
        <v>358250.75324675313</v>
      </c>
    </row>
    <row r="81" spans="1:22" s="27" customFormat="1">
      <c r="A81" s="402">
        <v>41</v>
      </c>
      <c r="B81" s="428" t="s">
        <v>42</v>
      </c>
      <c r="C81" s="428"/>
      <c r="D81" s="428"/>
      <c r="E81" s="126">
        <f>'Cost Trends'!U83</f>
        <v>-64929</v>
      </c>
      <c r="F81" s="126">
        <v>0</v>
      </c>
      <c r="G81" s="126"/>
      <c r="H81" s="133">
        <v>0</v>
      </c>
      <c r="I81" s="126">
        <f>SUM(E81:H81)</f>
        <v>-64929</v>
      </c>
      <c r="J81" s="410"/>
      <c r="K81" s="550">
        <f>'UTC - Deferred Taxes'!C30</f>
        <v>0.26126979426545111</v>
      </c>
      <c r="L81" s="133">
        <f>I81*K81</f>
        <v>-16963.986471861474</v>
      </c>
      <c r="M81" s="127">
        <f>I81+L81</f>
        <v>-81892.98647186147</v>
      </c>
      <c r="N81" s="133"/>
      <c r="O81" s="133"/>
      <c r="P81" s="133"/>
      <c r="Q81" s="127">
        <f>SUM(M81:P81)</f>
        <v>-81892.98647186147</v>
      </c>
      <c r="S81" s="75"/>
      <c r="T81" s="3"/>
      <c r="U81" s="3"/>
    </row>
    <row r="82" spans="1:22" s="27" customFormat="1">
      <c r="A82" s="402">
        <v>42</v>
      </c>
      <c r="B82" s="428" t="s">
        <v>50</v>
      </c>
      <c r="C82" s="428"/>
      <c r="D82" s="428"/>
      <c r="E82" s="310">
        <f>E80+E81</f>
        <v>244647</v>
      </c>
      <c r="F82" s="310">
        <f>F80+F81</f>
        <v>0</v>
      </c>
      <c r="G82" s="310">
        <f>G80+G81</f>
        <v>0</v>
      </c>
      <c r="H82" s="310">
        <f>H80+H81</f>
        <v>0</v>
      </c>
      <c r="I82" s="310">
        <f>I80+I81</f>
        <v>244647</v>
      </c>
      <c r="J82" s="316"/>
      <c r="K82" s="429"/>
      <c r="L82" s="394">
        <f>L80+L81</f>
        <v>31710.766774891756</v>
      </c>
      <c r="M82" s="312">
        <f>M80+M81</f>
        <v>276357.76677489164</v>
      </c>
      <c r="N82" s="394"/>
      <c r="O82" s="394"/>
      <c r="P82" s="312">
        <f>P80+P81</f>
        <v>0</v>
      </c>
      <c r="Q82" s="312">
        <f>Q80+Q81</f>
        <v>276357.76677489164</v>
      </c>
      <c r="S82" s="308"/>
      <c r="T82" s="307"/>
      <c r="U82" s="3"/>
    </row>
    <row r="83" spans="1:22">
      <c r="A83" s="30">
        <v>43</v>
      </c>
      <c r="B83" s="411" t="s">
        <v>36</v>
      </c>
      <c r="C83" s="411"/>
      <c r="D83" s="411"/>
      <c r="E83" s="126">
        <f>'Cost Trends'!U85</f>
        <v>12740</v>
      </c>
      <c r="F83" s="126">
        <v>0</v>
      </c>
      <c r="G83" s="126">
        <v>0</v>
      </c>
      <c r="H83" s="127"/>
      <c r="I83" s="126">
        <f>SUM(E83:H83)</f>
        <v>12740</v>
      </c>
      <c r="J83" s="410"/>
      <c r="K83" s="336">
        <v>0</v>
      </c>
      <c r="L83" s="127">
        <f>I83*K83</f>
        <v>0</v>
      </c>
      <c r="M83" s="127">
        <f>I83+L83</f>
        <v>12740</v>
      </c>
      <c r="N83" s="127"/>
      <c r="O83" s="127"/>
      <c r="P83" s="127"/>
      <c r="Q83" s="127">
        <f>SUM(M83:O83)</f>
        <v>12740</v>
      </c>
      <c r="T83" s="115"/>
    </row>
    <row r="84" spans="1:22" s="27" customFormat="1">
      <c r="A84" s="402">
        <v>44</v>
      </c>
      <c r="B84" s="428" t="s">
        <v>37</v>
      </c>
      <c r="C84" s="428"/>
      <c r="D84" s="428"/>
      <c r="E84" s="126">
        <f>'Cost Trends'!U86</f>
        <v>0</v>
      </c>
      <c r="F84" s="126">
        <v>0</v>
      </c>
      <c r="G84" s="126">
        <v>0</v>
      </c>
      <c r="H84" s="394"/>
      <c r="I84" s="126">
        <f>SUM(E84:H84)</f>
        <v>0</v>
      </c>
      <c r="J84" s="410"/>
      <c r="K84" s="410">
        <v>0</v>
      </c>
      <c r="L84" s="394">
        <f>I84*K84</f>
        <v>0</v>
      </c>
      <c r="M84" s="127">
        <f>I84+L84</f>
        <v>0</v>
      </c>
      <c r="N84" s="394"/>
      <c r="O84" s="394"/>
      <c r="P84" s="394"/>
      <c r="Q84" s="127">
        <f>SUM(M84:O84)</f>
        <v>0</v>
      </c>
      <c r="T84" s="37"/>
      <c r="U84" s="3"/>
    </row>
    <row r="85" spans="1:22" s="27" customFormat="1">
      <c r="A85" s="402">
        <v>45</v>
      </c>
      <c r="B85" s="428" t="s">
        <v>54</v>
      </c>
      <c r="C85" s="428"/>
      <c r="D85" s="428"/>
      <c r="E85" s="126">
        <f>'Cost Trends'!U87</f>
        <v>-485</v>
      </c>
      <c r="F85" s="126">
        <v>0</v>
      </c>
      <c r="G85" s="126">
        <v>0</v>
      </c>
      <c r="H85" s="394"/>
      <c r="I85" s="126">
        <f>SUM(E85:H85)</f>
        <v>-485</v>
      </c>
      <c r="J85" s="410"/>
      <c r="K85" s="410">
        <v>0</v>
      </c>
      <c r="L85" s="394">
        <f>I85*K85</f>
        <v>0</v>
      </c>
      <c r="M85" s="127">
        <f>I85+L85</f>
        <v>-485</v>
      </c>
      <c r="N85" s="394"/>
      <c r="O85" s="394"/>
      <c r="P85" s="394"/>
      <c r="Q85" s="127">
        <f>SUM(M85:O85)</f>
        <v>-485</v>
      </c>
      <c r="S85" s="37"/>
      <c r="U85" s="3"/>
    </row>
    <row r="86" spans="1:22">
      <c r="A86" s="30">
        <v>46</v>
      </c>
      <c r="B86" s="411" t="s">
        <v>45</v>
      </c>
      <c r="C86" s="411"/>
      <c r="D86" s="411"/>
      <c r="E86" s="126">
        <f>'Cost Trends'!U88</f>
        <v>16069</v>
      </c>
      <c r="F86" s="543">
        <v>-3386</v>
      </c>
      <c r="G86" s="126">
        <v>0</v>
      </c>
      <c r="H86" s="133"/>
      <c r="I86" s="126">
        <f>SUM(E86:H86)</f>
        <v>12683</v>
      </c>
      <c r="J86" s="410"/>
      <c r="K86" s="410">
        <v>0</v>
      </c>
      <c r="L86" s="133">
        <f>I86*K86</f>
        <v>0</v>
      </c>
      <c r="M86" s="127">
        <f>I86+L86</f>
        <v>12683</v>
      </c>
      <c r="N86" s="133"/>
      <c r="O86" s="133"/>
      <c r="P86" s="133"/>
      <c r="Q86" s="127">
        <f>SUM(M86:O86)</f>
        <v>12683</v>
      </c>
      <c r="S86" s="37"/>
      <c r="T86" s="37"/>
    </row>
    <row r="87" spans="1:22" s="37" customFormat="1" ht="12.75" thickBot="1">
      <c r="A87" s="136">
        <v>47</v>
      </c>
      <c r="B87" s="430" t="s">
        <v>38</v>
      </c>
      <c r="C87" s="430"/>
      <c r="D87" s="430"/>
      <c r="E87" s="314">
        <f>SUM(E82:E86)</f>
        <v>272971</v>
      </c>
      <c r="F87" s="314">
        <f>SUM(F82:F86)</f>
        <v>-3386</v>
      </c>
      <c r="G87" s="314">
        <f>SUM(G82:G86)</f>
        <v>0</v>
      </c>
      <c r="H87" s="314">
        <f>SUM(H82:H86)</f>
        <v>0</v>
      </c>
      <c r="I87" s="314">
        <f>SUM(I82:I86)</f>
        <v>269585</v>
      </c>
      <c r="J87" s="430"/>
      <c r="K87" s="430"/>
      <c r="L87" s="128">
        <f>SUM(L82:L86)</f>
        <v>31710.766774891756</v>
      </c>
      <c r="M87" s="314">
        <f>SUM(M82:M86)</f>
        <v>301295.76677489164</v>
      </c>
      <c r="N87" s="128"/>
      <c r="O87" s="128"/>
      <c r="P87" s="314">
        <f>SUM(P82:P86)</f>
        <v>0</v>
      </c>
      <c r="Q87" s="314">
        <f>SUM(Q82:Q86)</f>
        <v>301295.76677489164</v>
      </c>
      <c r="R87" s="37">
        <f>Q87/Q98</f>
        <v>294095.22190579207</v>
      </c>
      <c r="S87" s="317"/>
      <c r="T87" s="317"/>
    </row>
    <row r="88" spans="1:22" s="37" customFormat="1" ht="3" customHeight="1" thickTop="1">
      <c r="A88" s="5"/>
      <c r="D88" s="24"/>
      <c r="E88" s="132"/>
      <c r="F88" s="134"/>
      <c r="G88" s="132"/>
      <c r="H88" s="132"/>
      <c r="I88" s="132"/>
      <c r="L88" s="132"/>
      <c r="M88" s="132"/>
      <c r="N88" s="132"/>
      <c r="O88" s="132"/>
      <c r="P88" s="132"/>
      <c r="Q88" s="132"/>
      <c r="S88" s="23"/>
      <c r="T88" s="321"/>
      <c r="U88" s="322"/>
    </row>
    <row r="89" spans="1:22" s="37" customFormat="1">
      <c r="A89" s="22">
        <v>48</v>
      </c>
      <c r="B89" s="23" t="s">
        <v>161</v>
      </c>
      <c r="C89" s="23"/>
      <c r="D89" s="23"/>
      <c r="E89" s="135">
        <f>E66/E87</f>
        <v>6.1405790358682794E-2</v>
      </c>
      <c r="F89" s="134"/>
      <c r="G89" s="132"/>
      <c r="H89" s="132"/>
      <c r="L89" s="132"/>
      <c r="M89" s="132"/>
      <c r="N89" s="132"/>
      <c r="O89" s="132"/>
      <c r="P89" s="132">
        <f>((P87*ROR!F15)-'Attrition 12.2015 to 2017'!P66)/ROR!N24</f>
        <v>0</v>
      </c>
      <c r="Q89" s="135">
        <f>Q66/Q87</f>
        <v>6.8597939026167384E-2</v>
      </c>
      <c r="S89" s="3"/>
      <c r="T89" s="27"/>
      <c r="U89" s="322"/>
    </row>
    <row r="90" spans="1:22" s="28" customFormat="1">
      <c r="A90" s="30"/>
      <c r="D90" s="31"/>
      <c r="E90" s="76"/>
      <c r="I90" s="76"/>
      <c r="L90" s="76"/>
      <c r="M90" s="76"/>
      <c r="N90" s="76"/>
      <c r="O90" s="76"/>
      <c r="P90" s="76"/>
      <c r="S90" s="3"/>
      <c r="T90" s="27"/>
      <c r="U90" s="498"/>
      <c r="V90" s="317"/>
    </row>
    <row r="91" spans="1:22">
      <c r="B91" s="81" t="s">
        <v>119</v>
      </c>
      <c r="C91" s="82"/>
      <c r="D91" s="82"/>
      <c r="E91" s="83"/>
      <c r="F91" s="315"/>
      <c r="G91" s="82"/>
      <c r="H91" s="82"/>
      <c r="I91" s="82"/>
      <c r="J91" s="82"/>
      <c r="K91" s="82"/>
      <c r="L91" s="82"/>
      <c r="M91" s="82"/>
      <c r="N91" s="82"/>
      <c r="O91" s="82"/>
      <c r="P91" s="82"/>
      <c r="Q91" s="11"/>
      <c r="S91" s="214"/>
      <c r="T91" s="27"/>
      <c r="U91" s="27"/>
    </row>
    <row r="92" spans="1:22" ht="12" customHeight="1">
      <c r="A92" s="22">
        <v>49</v>
      </c>
      <c r="B92" s="84" t="s">
        <v>120</v>
      </c>
      <c r="C92" s="27"/>
      <c r="D92" s="27"/>
      <c r="E92" s="125">
        <f>ROR!F15</f>
        <v>7.3000000000000009E-2</v>
      </c>
      <c r="F92" s="436"/>
      <c r="G92" s="436"/>
      <c r="H92" s="436"/>
      <c r="I92" s="436"/>
      <c r="J92" s="436"/>
      <c r="K92" s="436"/>
      <c r="L92" s="436"/>
      <c r="M92" s="436"/>
      <c r="N92" s="436"/>
      <c r="O92" s="436"/>
      <c r="P92" s="436"/>
      <c r="Q92" s="86">
        <f>E92</f>
        <v>7.3000000000000009E-2</v>
      </c>
      <c r="T92" s="27"/>
      <c r="U92" s="27"/>
    </row>
    <row r="93" spans="1:22" ht="12" customHeight="1">
      <c r="A93" s="22">
        <v>50</v>
      </c>
      <c r="B93" s="84" t="s">
        <v>121</v>
      </c>
      <c r="C93" s="27"/>
      <c r="D93" s="27"/>
      <c r="E93" s="132">
        <f>E87*E92</f>
        <v>19926.883000000002</v>
      </c>
      <c r="F93" s="436"/>
      <c r="G93" s="436"/>
      <c r="H93" s="436"/>
      <c r="I93" s="436"/>
      <c r="J93" s="436"/>
      <c r="K93" s="436"/>
      <c r="L93" s="436"/>
      <c r="M93" s="436"/>
      <c r="N93" s="436"/>
      <c r="O93" s="436"/>
      <c r="P93" s="436"/>
      <c r="Q93" s="87">
        <f>Q87*Q92</f>
        <v>21994.590974567094</v>
      </c>
      <c r="S93" s="308"/>
      <c r="T93" s="319"/>
      <c r="U93" s="135"/>
    </row>
    <row r="94" spans="1:22" ht="12" customHeight="1">
      <c r="A94" s="22">
        <v>51</v>
      </c>
      <c r="B94" s="84" t="s">
        <v>122</v>
      </c>
      <c r="C94" s="27"/>
      <c r="D94" s="27"/>
      <c r="E94" s="133">
        <f>E66</f>
        <v>16762</v>
      </c>
      <c r="F94" s="436"/>
      <c r="G94" s="436"/>
      <c r="H94" s="436"/>
      <c r="I94" s="436"/>
      <c r="J94" s="436"/>
      <c r="K94" s="436"/>
      <c r="L94" s="436"/>
      <c r="M94" s="436"/>
      <c r="N94" s="436"/>
      <c r="O94" s="436"/>
      <c r="P94" s="436"/>
      <c r="Q94" s="130">
        <f>Q66</f>
        <v>20668.268638066365</v>
      </c>
      <c r="T94" s="27"/>
      <c r="U94" s="27"/>
    </row>
    <row r="95" spans="1:22" ht="12" customHeight="1">
      <c r="A95" s="22">
        <v>52</v>
      </c>
      <c r="B95" s="84" t="s">
        <v>123</v>
      </c>
      <c r="C95" s="27"/>
      <c r="D95" s="27"/>
      <c r="E95" s="134">
        <f>E93-E94</f>
        <v>3164.8830000000016</v>
      </c>
      <c r="F95" s="436"/>
      <c r="G95" s="436"/>
      <c r="H95" s="436"/>
      <c r="I95" s="436"/>
      <c r="J95" s="436"/>
      <c r="K95" s="436"/>
      <c r="L95" s="436"/>
      <c r="M95" s="436"/>
      <c r="N95" s="436"/>
      <c r="O95" s="436"/>
      <c r="P95" s="436"/>
      <c r="Q95" s="131">
        <f>Q93-Q94</f>
        <v>1326.3223365007289</v>
      </c>
      <c r="T95" s="135"/>
      <c r="U95" s="27"/>
    </row>
    <row r="96" spans="1:22" ht="12" customHeight="1">
      <c r="A96" s="22">
        <v>53</v>
      </c>
      <c r="B96" s="84" t="s">
        <v>124</v>
      </c>
      <c r="C96" s="27"/>
      <c r="D96" s="27"/>
      <c r="E96" s="73">
        <f>ROR!N24</f>
        <v>0.61944999999999995</v>
      </c>
      <c r="F96" s="436"/>
      <c r="G96" s="436"/>
      <c r="H96" s="436"/>
      <c r="I96" s="436"/>
      <c r="J96" s="436"/>
      <c r="K96" s="436"/>
      <c r="L96" s="436"/>
      <c r="M96" s="436"/>
      <c r="N96" s="436"/>
      <c r="O96" s="436"/>
      <c r="P96" s="436"/>
      <c r="Q96" s="73">
        <f>E96</f>
        <v>0.61944999999999995</v>
      </c>
      <c r="S96" s="75"/>
      <c r="T96" s="27"/>
      <c r="U96" s="27"/>
    </row>
    <row r="97" spans="1:22" ht="12" customHeight="1">
      <c r="A97" s="22">
        <v>54</v>
      </c>
      <c r="B97" s="84" t="s">
        <v>125</v>
      </c>
      <c r="C97" s="27"/>
      <c r="D97" s="27"/>
      <c r="E97" s="134">
        <f>E95/E96</f>
        <v>5109.182339171849</v>
      </c>
      <c r="F97" s="436"/>
      <c r="G97" s="436"/>
      <c r="H97" s="436"/>
      <c r="I97" s="436"/>
      <c r="J97" s="436"/>
      <c r="K97" s="436"/>
      <c r="L97" s="436"/>
      <c r="M97" s="436"/>
      <c r="N97" s="436"/>
      <c r="O97" s="436"/>
      <c r="P97" s="436"/>
      <c r="Q97" s="131">
        <f>Q95/Q96</f>
        <v>2141.128963597916</v>
      </c>
      <c r="T97" s="27"/>
      <c r="U97" s="27"/>
    </row>
    <row r="98" spans="1:22">
      <c r="A98" s="22">
        <v>55</v>
      </c>
      <c r="B98" s="84" t="s">
        <v>126</v>
      </c>
      <c r="C98" s="27"/>
      <c r="D98" s="27"/>
      <c r="E98" s="85"/>
      <c r="F98" s="386"/>
      <c r="G98" s="386"/>
      <c r="H98" s="386"/>
      <c r="I98" s="386"/>
      <c r="J98" s="386"/>
      <c r="K98" s="386"/>
      <c r="L98" s="386"/>
      <c r="M98" s="386"/>
      <c r="N98" s="386"/>
      <c r="O98" s="386"/>
      <c r="P98" s="386"/>
      <c r="Q98" s="379">
        <f>(Q12+Q13)/(I12+I13-H12)</f>
        <v>1.0244837193288578</v>
      </c>
      <c r="S98" s="318"/>
      <c r="T98" s="27"/>
      <c r="U98" s="27"/>
      <c r="V98" s="27"/>
    </row>
    <row r="99" spans="1:22">
      <c r="A99" s="22">
        <v>56</v>
      </c>
      <c r="B99" s="88" t="s">
        <v>127</v>
      </c>
      <c r="C99" s="73"/>
      <c r="D99" s="73"/>
      <c r="E99" s="62"/>
      <c r="F99" s="387"/>
      <c r="G99" s="387"/>
      <c r="H99" s="387"/>
      <c r="I99" s="387"/>
      <c r="J99" s="387"/>
      <c r="K99" s="387"/>
      <c r="L99" s="387"/>
      <c r="M99" s="387"/>
      <c r="N99" s="387"/>
      <c r="O99" s="387"/>
      <c r="P99" s="387"/>
      <c r="Q99" s="380">
        <f>Q97/Q98</f>
        <v>2089.9589941756963</v>
      </c>
      <c r="S99" s="27"/>
      <c r="T99" s="27"/>
      <c r="U99" s="27"/>
      <c r="V99" s="27"/>
    </row>
    <row r="100" spans="1:22">
      <c r="S100" s="319"/>
      <c r="T100" s="319"/>
      <c r="U100" s="135"/>
      <c r="V100" s="27"/>
    </row>
    <row r="101" spans="1:22" ht="27" customHeight="1">
      <c r="A101" s="495"/>
      <c r="B101" s="495"/>
      <c r="C101" s="495"/>
      <c r="D101" s="495"/>
      <c r="E101" s="495"/>
      <c r="F101" s="495"/>
      <c r="G101" s="495"/>
      <c r="H101" s="495"/>
      <c r="I101" s="495"/>
      <c r="J101" s="495"/>
      <c r="K101" s="495"/>
      <c r="L101" s="495"/>
      <c r="M101" s="495"/>
      <c r="N101" s="495"/>
      <c r="O101" s="495"/>
      <c r="P101" s="495"/>
      <c r="Q101" s="495"/>
      <c r="R101" s="201"/>
      <c r="S101" s="27"/>
      <c r="T101" s="27"/>
      <c r="U101" s="27"/>
      <c r="V101" s="27"/>
    </row>
    <row r="102" spans="1:22">
      <c r="S102" s="27"/>
      <c r="T102" s="135"/>
      <c r="U102" s="27"/>
      <c r="V102" s="27"/>
    </row>
    <row r="103" spans="1:22" ht="12.75">
      <c r="I103"/>
      <c r="J103"/>
      <c r="K103"/>
      <c r="L103"/>
      <c r="M103"/>
      <c r="S103" s="27"/>
      <c r="T103" s="27"/>
      <c r="U103" s="27"/>
      <c r="V103" s="27"/>
    </row>
    <row r="104" spans="1:22" ht="12.75">
      <c r="I104"/>
      <c r="J104"/>
      <c r="K104"/>
      <c r="L104"/>
      <c r="M104"/>
      <c r="S104" s="27"/>
      <c r="T104" s="27"/>
      <c r="U104" s="27"/>
      <c r="V104" s="27"/>
    </row>
    <row r="105" spans="1:22" ht="12.75">
      <c r="I105"/>
      <c r="J105"/>
      <c r="K105"/>
      <c r="L105"/>
      <c r="M105"/>
    </row>
    <row r="106" spans="1:22" ht="12.75">
      <c r="I106"/>
      <c r="J106"/>
      <c r="K106"/>
      <c r="L106"/>
      <c r="M106"/>
    </row>
    <row r="107" spans="1:22" ht="12.75">
      <c r="I107"/>
      <c r="J107"/>
      <c r="K107"/>
      <c r="L107"/>
      <c r="M107"/>
    </row>
    <row r="108" spans="1:22" ht="12.75">
      <c r="I108"/>
      <c r="J108"/>
      <c r="K108"/>
      <c r="L108"/>
      <c r="M108"/>
    </row>
    <row r="109" spans="1:22" ht="12.75">
      <c r="I109"/>
      <c r="J109"/>
      <c r="K109"/>
      <c r="L109"/>
      <c r="M109"/>
    </row>
    <row r="110" spans="1:22" ht="12.75">
      <c r="I110"/>
      <c r="J110"/>
      <c r="K110"/>
      <c r="L110"/>
      <c r="M110"/>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row r="208" spans="7:7">
      <c r="G208" s="4"/>
    </row>
  </sheetData>
  <mergeCells count="31">
    <mergeCell ref="E5:I5"/>
    <mergeCell ref="L5:M5"/>
    <mergeCell ref="O6:O9"/>
    <mergeCell ref="B1:Q1"/>
    <mergeCell ref="A2:Q2"/>
    <mergeCell ref="E6:E9"/>
    <mergeCell ref="F6:F9"/>
    <mergeCell ref="G6:G9"/>
    <mergeCell ref="H6:H9"/>
    <mergeCell ref="I6:I9"/>
    <mergeCell ref="K6:K9"/>
    <mergeCell ref="L6:L9"/>
    <mergeCell ref="M6:M9"/>
    <mergeCell ref="Q6:Q9"/>
    <mergeCell ref="P6:P9"/>
    <mergeCell ref="O5:P5"/>
    <mergeCell ref="A51:Q51"/>
    <mergeCell ref="E54:I54"/>
    <mergeCell ref="L54:M54"/>
    <mergeCell ref="O55:O58"/>
    <mergeCell ref="E55:E58"/>
    <mergeCell ref="F55:F58"/>
    <mergeCell ref="G55:G58"/>
    <mergeCell ref="H55:H58"/>
    <mergeCell ref="I55:I58"/>
    <mergeCell ref="K55:K58"/>
    <mergeCell ref="L55:L58"/>
    <mergeCell ref="M55:M58"/>
    <mergeCell ref="O54:P54"/>
    <mergeCell ref="Q55:Q58"/>
    <mergeCell ref="P55:P58"/>
  </mergeCells>
  <pageMargins left="0.7" right="0.7" top="0.75" bottom="0.75" header="0.3" footer="0.3"/>
  <pageSetup scale="78" orientation="landscape" r:id="rId1"/>
  <headerFooter scaleWithDoc="0">
    <oddHeader>&amp;RExhibit No. CSH-7
Dockets UE-160228/UG-160229
Page &amp;P of &amp;N</oddHeader>
  </headerFooter>
  <rowBreaks count="1" manualBreakCount="1">
    <brk id="50" max="1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202"/>
  <sheetViews>
    <sheetView tabSelected="1" view="pageBreakPreview" topLeftCell="A109" zoomScaleNormal="100" zoomScaleSheetLayoutView="100" workbookViewId="0">
      <selection activeCell="K72" sqref="K72"/>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hidden="1" customWidth="1"/>
    <col min="8" max="8" width="10.42578125" style="4" hidden="1" customWidth="1"/>
    <col min="9" max="9" width="8.28515625" style="4" hidden="1" customWidth="1"/>
    <col min="10" max="10" width="8.5703125" style="4" hidden="1" customWidth="1"/>
    <col min="11" max="11" width="8.42578125" style="4" hidden="1" customWidth="1"/>
    <col min="12" max="12" width="8.7109375" style="4" hidden="1" customWidth="1"/>
    <col min="13" max="17" width="10.42578125" style="4" customWidth="1"/>
    <col min="18" max="20" width="10.42578125" style="3" customWidth="1"/>
    <col min="21" max="21" width="10.42578125" style="28" customWidth="1"/>
    <col min="22" max="22" width="10.42578125" style="316" customWidth="1"/>
    <col min="23" max="16384" width="10.7109375" style="3"/>
  </cols>
  <sheetData>
    <row r="1" spans="1:22" ht="21" customHeight="1">
      <c r="A1" s="582"/>
      <c r="B1" s="582"/>
      <c r="C1" s="582"/>
      <c r="D1" s="582"/>
      <c r="E1" s="582"/>
      <c r="F1" s="582"/>
      <c r="G1" s="582"/>
      <c r="H1" s="582"/>
      <c r="I1" s="582"/>
      <c r="J1" s="582"/>
      <c r="K1" s="582"/>
      <c r="L1" s="582"/>
      <c r="M1" s="582"/>
      <c r="N1" s="582"/>
      <c r="O1" s="582"/>
      <c r="P1" s="582"/>
      <c r="Q1" s="582"/>
      <c r="R1" s="582"/>
    </row>
    <row r="2" spans="1:22" ht="28.9" customHeight="1">
      <c r="A2" s="590" t="s">
        <v>522</v>
      </c>
      <c r="B2" s="590"/>
      <c r="C2" s="590"/>
      <c r="D2" s="590"/>
      <c r="E2" s="590"/>
      <c r="F2" s="590"/>
      <c r="G2" s="590"/>
      <c r="H2" s="590"/>
      <c r="I2" s="590"/>
      <c r="J2" s="590"/>
      <c r="K2" s="590"/>
      <c r="L2" s="590"/>
      <c r="M2" s="590"/>
      <c r="N2" s="590"/>
      <c r="O2" s="590"/>
      <c r="P2" s="590"/>
      <c r="Q2" s="590"/>
      <c r="R2" s="590"/>
    </row>
    <row r="3" spans="1:22" ht="37.15" customHeight="1">
      <c r="A3" s="204" t="s">
        <v>43</v>
      </c>
      <c r="F3" s="183"/>
      <c r="G3" s="183"/>
      <c r="H3" s="183"/>
      <c r="I3" s="183"/>
      <c r="J3" s="183"/>
      <c r="K3" s="183"/>
      <c r="L3" s="183"/>
      <c r="M3" s="183"/>
      <c r="N3" s="183"/>
      <c r="O3" s="183"/>
      <c r="P3" s="183"/>
      <c r="Q3" s="183"/>
      <c r="R3" s="183"/>
    </row>
    <row r="4" spans="1:22" ht="13.5" customHeight="1">
      <c r="A4" s="204" t="s">
        <v>48</v>
      </c>
      <c r="E4" s="592" t="s">
        <v>211</v>
      </c>
      <c r="F4" s="592"/>
      <c r="G4" s="592"/>
      <c r="H4" s="592"/>
      <c r="I4" s="592"/>
      <c r="J4" s="592"/>
      <c r="K4" s="592"/>
      <c r="L4" s="592"/>
      <c r="M4" s="592"/>
      <c r="N4" s="592"/>
      <c r="O4" s="592"/>
      <c r="P4" s="592"/>
      <c r="Q4" s="592"/>
      <c r="R4" s="592"/>
    </row>
    <row r="5" spans="1:22" ht="5.25" customHeight="1">
      <c r="A5" s="200"/>
    </row>
    <row r="6" spans="1:22" s="6" customFormat="1" ht="11.45" customHeight="1">
      <c r="A6" s="204" t="s">
        <v>39</v>
      </c>
      <c r="B6" s="2"/>
      <c r="C6" s="2"/>
      <c r="D6" s="2"/>
      <c r="E6" s="2"/>
      <c r="F6" s="4"/>
      <c r="G6" s="4"/>
      <c r="H6" s="4"/>
      <c r="I6" s="4"/>
      <c r="J6" s="4"/>
      <c r="K6" s="4"/>
      <c r="L6" s="4"/>
      <c r="M6" s="4"/>
      <c r="N6" s="4"/>
      <c r="O6" s="4"/>
      <c r="P6" s="4"/>
      <c r="Q6" s="4"/>
      <c r="R6" s="3"/>
      <c r="S6" s="24"/>
      <c r="T6" s="360"/>
      <c r="U6" s="360"/>
      <c r="V6" s="400"/>
    </row>
    <row r="7" spans="1:22" s="6" customFormat="1" ht="3.75" customHeight="1">
      <c r="A7" s="5"/>
      <c r="F7" s="7"/>
      <c r="G7" s="7"/>
      <c r="H7" s="7"/>
      <c r="I7" s="7"/>
      <c r="J7" s="7"/>
      <c r="K7" s="7"/>
      <c r="L7" s="7"/>
      <c r="M7" s="7"/>
      <c r="N7" s="7"/>
      <c r="O7" s="7"/>
      <c r="P7" s="7"/>
      <c r="Q7" s="7"/>
      <c r="U7" s="360"/>
      <c r="V7" s="400"/>
    </row>
    <row r="8" spans="1:22"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c r="U8" s="540">
        <v>12.201499999999999</v>
      </c>
      <c r="V8" s="478"/>
    </row>
    <row r="9" spans="1:22">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c r="U9" s="476" t="s">
        <v>1</v>
      </c>
      <c r="V9" s="479"/>
    </row>
    <row r="10" spans="1:22"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c r="U10" s="477" t="s">
        <v>5</v>
      </c>
      <c r="V10" s="479"/>
    </row>
    <row r="11" spans="1:22">
      <c r="B11" s="3" t="s">
        <v>6</v>
      </c>
      <c r="R11" s="4"/>
      <c r="S11" s="4"/>
      <c r="T11" s="4"/>
      <c r="U11" s="29"/>
      <c r="V11" s="238"/>
    </row>
    <row r="12" spans="1:22">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c r="U12" s="234">
        <v>149865</v>
      </c>
      <c r="V12" s="480"/>
    </row>
    <row r="13" spans="1:22">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c r="U13" s="233">
        <v>4054</v>
      </c>
      <c r="V13" s="236"/>
    </row>
    <row r="14" spans="1:22"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c r="U14" s="235">
        <v>7129</v>
      </c>
      <c r="V14" s="236"/>
    </row>
    <row r="15" spans="1:22">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U15" si="1">SUM(T12:T14)</f>
        <v>158838</v>
      </c>
      <c r="U15" s="233">
        <f t="shared" si="1"/>
        <v>161048</v>
      </c>
      <c r="V15" s="236"/>
    </row>
    <row r="16" spans="1:22">
      <c r="C16" s="24"/>
      <c r="D16" s="24"/>
      <c r="E16" s="24"/>
      <c r="F16" s="32"/>
      <c r="G16" s="32"/>
      <c r="H16" s="32"/>
      <c r="I16" s="32"/>
      <c r="J16" s="32"/>
      <c r="K16" s="32"/>
      <c r="L16" s="32"/>
      <c r="M16" s="32"/>
      <c r="N16" s="32"/>
      <c r="O16" s="32"/>
      <c r="P16" s="32"/>
      <c r="Q16" s="32"/>
      <c r="R16" s="32"/>
      <c r="S16" s="32"/>
      <c r="T16" s="32"/>
      <c r="U16" s="233"/>
      <c r="V16" s="236"/>
    </row>
    <row r="17" spans="1:22">
      <c r="B17" s="3" t="s">
        <v>11</v>
      </c>
      <c r="C17" s="24"/>
      <c r="D17" s="24"/>
      <c r="E17" s="24"/>
      <c r="F17" s="32"/>
      <c r="G17" s="32"/>
      <c r="H17" s="32"/>
      <c r="I17" s="32"/>
      <c r="J17" s="32"/>
      <c r="K17" s="32"/>
      <c r="L17" s="32"/>
      <c r="M17" s="32"/>
      <c r="N17" s="32"/>
      <c r="O17" s="32"/>
      <c r="P17" s="32"/>
      <c r="Q17" s="32"/>
      <c r="R17" s="32"/>
      <c r="S17" s="32"/>
      <c r="T17" s="32"/>
      <c r="U17" s="233"/>
      <c r="V17" s="236"/>
    </row>
    <row r="18" spans="1:22">
      <c r="B18" s="24" t="s">
        <v>51</v>
      </c>
      <c r="D18" s="24"/>
      <c r="E18" s="24"/>
      <c r="F18" s="32"/>
      <c r="G18" s="32"/>
      <c r="H18" s="32"/>
      <c r="I18" s="32"/>
      <c r="J18" s="32"/>
      <c r="K18" s="32"/>
      <c r="L18" s="32"/>
      <c r="M18" s="32"/>
      <c r="N18" s="32"/>
      <c r="O18" s="32"/>
      <c r="P18" s="32"/>
      <c r="Q18" s="32"/>
      <c r="R18" s="32"/>
      <c r="S18" s="32"/>
      <c r="T18" s="32"/>
      <c r="U18" s="233"/>
      <c r="V18" s="236"/>
    </row>
    <row r="19" spans="1:22">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c r="U19" s="233">
        <v>79634</v>
      </c>
      <c r="V19" s="236"/>
    </row>
    <row r="20" spans="1:22">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c r="U20" s="233">
        <v>840</v>
      </c>
      <c r="V20" s="236"/>
    </row>
    <row r="21" spans="1:22"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c r="U21" s="235">
        <v>0</v>
      </c>
      <c r="V21" s="236"/>
    </row>
    <row r="22" spans="1:22">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U22" si="3">SUM(T19:T21)</f>
        <v>84966</v>
      </c>
      <c r="U22" s="233">
        <f t="shared" si="3"/>
        <v>80474</v>
      </c>
      <c r="V22" s="236"/>
    </row>
    <row r="23" spans="1:22">
      <c r="B23" s="24"/>
      <c r="C23" s="24"/>
      <c r="F23" s="32"/>
      <c r="G23" s="32"/>
      <c r="H23" s="32"/>
      <c r="I23" s="32"/>
      <c r="J23" s="32"/>
      <c r="K23" s="32"/>
      <c r="L23" s="32"/>
      <c r="M23" s="32"/>
      <c r="N23" s="32"/>
      <c r="O23" s="32"/>
      <c r="P23" s="32"/>
      <c r="Q23" s="32"/>
      <c r="R23" s="32"/>
      <c r="S23" s="32"/>
      <c r="T23" s="32"/>
      <c r="U23" s="233"/>
      <c r="V23" s="236"/>
    </row>
    <row r="24" spans="1:22">
      <c r="B24" s="24" t="s">
        <v>16</v>
      </c>
      <c r="D24" s="24"/>
      <c r="E24" s="24"/>
      <c r="F24" s="32"/>
      <c r="G24" s="32"/>
      <c r="H24" s="32"/>
      <c r="I24" s="32"/>
      <c r="J24" s="32"/>
      <c r="K24" s="32"/>
      <c r="L24" s="32"/>
      <c r="M24" s="32"/>
      <c r="N24" s="32"/>
      <c r="O24" s="32"/>
      <c r="P24" s="32"/>
      <c r="Q24" s="32"/>
      <c r="R24" s="32"/>
      <c r="S24" s="32"/>
      <c r="T24" s="32"/>
      <c r="U24" s="233"/>
      <c r="V24" s="236"/>
    </row>
    <row r="25" spans="1:22">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c r="U25" s="233">
        <v>857</v>
      </c>
      <c r="V25" s="236"/>
    </row>
    <row r="26" spans="1:22">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c r="U26" s="233">
        <v>439</v>
      </c>
      <c r="V26" s="236"/>
    </row>
    <row r="27" spans="1:22"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c r="U27" s="235">
        <v>196</v>
      </c>
      <c r="V27" s="236"/>
    </row>
    <row r="28" spans="1:22">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U28" si="5">SUM(T25:T27)</f>
        <v>1479</v>
      </c>
      <c r="U28" s="233">
        <f t="shared" si="5"/>
        <v>1492</v>
      </c>
      <c r="V28" s="236"/>
    </row>
    <row r="29" spans="1:22">
      <c r="B29" s="24"/>
      <c r="C29" s="24"/>
      <c r="F29" s="32"/>
      <c r="G29" s="32"/>
      <c r="H29" s="32"/>
      <c r="I29" s="32"/>
      <c r="J29" s="32"/>
      <c r="K29" s="32"/>
      <c r="L29" s="32"/>
      <c r="M29" s="32"/>
      <c r="N29" s="32"/>
      <c r="O29" s="32"/>
      <c r="P29" s="32"/>
      <c r="Q29" s="32"/>
      <c r="R29" s="32"/>
      <c r="S29" s="32"/>
      <c r="T29" s="32"/>
      <c r="U29" s="233"/>
      <c r="V29" s="236"/>
    </row>
    <row r="30" spans="1:22" ht="11.25" customHeight="1">
      <c r="B30" s="24" t="s">
        <v>19</v>
      </c>
      <c r="D30" s="24"/>
      <c r="E30" s="24"/>
      <c r="F30" s="32"/>
      <c r="G30" s="32"/>
      <c r="H30" s="32"/>
      <c r="I30" s="32"/>
      <c r="J30" s="32"/>
      <c r="K30" s="32"/>
      <c r="L30" s="32"/>
      <c r="M30" s="32"/>
      <c r="N30" s="32"/>
      <c r="O30" s="32"/>
      <c r="P30" s="32"/>
      <c r="Q30" s="32"/>
      <c r="R30" s="32"/>
      <c r="S30" s="32"/>
      <c r="T30" s="32"/>
      <c r="U30" s="233"/>
      <c r="V30" s="236"/>
    </row>
    <row r="31" spans="1:22">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c r="U31" s="233">
        <v>12315</v>
      </c>
      <c r="V31" s="236"/>
    </row>
    <row r="32" spans="1:22"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c r="U32" s="233">
        <v>9088</v>
      </c>
      <c r="V32" s="236"/>
    </row>
    <row r="33" spans="1:22"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c r="U33" s="235">
        <v>8554</v>
      </c>
      <c r="V33" s="236"/>
    </row>
    <row r="34" spans="1:22" ht="12.95" customHeight="1">
      <c r="A34" s="22">
        <v>16</v>
      </c>
      <c r="B34" s="24" t="s">
        <v>20</v>
      </c>
      <c r="C34" s="239"/>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U34" si="7">SUM(T31:T33)</f>
        <v>27936</v>
      </c>
      <c r="U34" s="233">
        <f t="shared" si="7"/>
        <v>29957</v>
      </c>
      <c r="V34" s="236"/>
    </row>
    <row r="35" spans="1:22">
      <c r="C35" s="24"/>
      <c r="D35" s="24"/>
      <c r="E35" s="24"/>
      <c r="F35" s="32"/>
      <c r="G35" s="32"/>
      <c r="H35" s="32"/>
      <c r="I35" s="32"/>
      <c r="J35" s="32"/>
      <c r="K35" s="32"/>
      <c r="L35" s="32"/>
      <c r="M35" s="32"/>
      <c r="N35" s="32"/>
      <c r="O35" s="32"/>
      <c r="P35" s="32"/>
      <c r="Q35" s="32"/>
      <c r="R35" s="32"/>
      <c r="S35" s="32"/>
      <c r="T35" s="32"/>
      <c r="U35" s="233"/>
      <c r="V35" s="236"/>
    </row>
    <row r="36" spans="1:22">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c r="U36" s="233">
        <v>6632</v>
      </c>
      <c r="V36" s="236"/>
    </row>
    <row r="37" spans="1:22"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c r="U37" s="233">
        <v>837</v>
      </c>
      <c r="V37" s="236"/>
    </row>
    <row r="38" spans="1:22">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c r="U38" s="233">
        <v>0</v>
      </c>
      <c r="V38" s="236"/>
    </row>
    <row r="39" spans="1:22">
      <c r="C39" s="24"/>
      <c r="D39" s="24"/>
      <c r="E39" s="24"/>
      <c r="F39" s="32"/>
      <c r="G39" s="32"/>
      <c r="H39" s="32"/>
      <c r="I39" s="32"/>
      <c r="J39" s="32"/>
      <c r="K39" s="32"/>
      <c r="L39" s="32"/>
      <c r="M39" s="32"/>
      <c r="N39" s="32"/>
      <c r="O39" s="32"/>
      <c r="P39" s="32"/>
      <c r="Q39" s="32"/>
      <c r="R39" s="32"/>
      <c r="S39" s="32"/>
      <c r="T39" s="32"/>
      <c r="U39" s="233"/>
      <c r="V39" s="236"/>
    </row>
    <row r="40" spans="1:22">
      <c r="B40" s="3" t="s">
        <v>24</v>
      </c>
      <c r="C40" s="24"/>
      <c r="D40" s="24"/>
      <c r="E40" s="24"/>
      <c r="F40" s="32"/>
      <c r="G40" s="32"/>
      <c r="H40" s="32"/>
      <c r="I40" s="32"/>
      <c r="J40" s="32"/>
      <c r="K40" s="32"/>
      <c r="L40" s="32"/>
      <c r="M40" s="32"/>
      <c r="N40" s="32"/>
      <c r="O40" s="32"/>
      <c r="P40" s="32"/>
      <c r="Q40" s="32"/>
      <c r="R40" s="32"/>
      <c r="S40" s="32"/>
      <c r="T40" s="32"/>
      <c r="U40" s="233"/>
      <c r="V40" s="236"/>
    </row>
    <row r="41" spans="1:22">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c r="U41" s="233">
        <v>14007</v>
      </c>
      <c r="V41" s="236"/>
    </row>
    <row r="42" spans="1:22">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c r="U42" s="233">
        <v>5649</v>
      </c>
      <c r="V42" s="236"/>
    </row>
    <row r="43" spans="1:22">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c r="U43" s="233">
        <v>-2087</v>
      </c>
      <c r="V43" s="236"/>
    </row>
    <row r="44" spans="1:22"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c r="U44" s="235">
        <v>0</v>
      </c>
      <c r="V44" s="236"/>
    </row>
    <row r="45" spans="1:22" ht="10.9"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U45" si="9">SUM(T41:T44)</f>
        <v>17075</v>
      </c>
      <c r="U45" s="235">
        <f t="shared" si="9"/>
        <v>17569</v>
      </c>
      <c r="V45" s="236"/>
    </row>
    <row r="46" spans="1:22" ht="12.95"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U46" si="11">T22+T28+T34+T36+T37+T38+T45</f>
        <v>138429</v>
      </c>
      <c r="U46" s="235">
        <f t="shared" si="11"/>
        <v>136961</v>
      </c>
      <c r="V46" s="236"/>
    </row>
    <row r="47" spans="1:22" ht="9" customHeight="1">
      <c r="C47" s="24"/>
      <c r="D47" s="24"/>
      <c r="E47" s="24"/>
      <c r="F47" s="32"/>
      <c r="G47" s="32"/>
      <c r="H47" s="32"/>
      <c r="I47" s="32"/>
      <c r="J47" s="32"/>
      <c r="K47" s="32"/>
      <c r="L47" s="32"/>
      <c r="M47" s="32"/>
      <c r="N47" s="32"/>
      <c r="O47" s="32"/>
      <c r="P47" s="32"/>
      <c r="Q47" s="32"/>
      <c r="R47" s="32"/>
      <c r="S47" s="32"/>
      <c r="T47" s="32"/>
      <c r="U47" s="233"/>
      <c r="V47" s="236"/>
    </row>
    <row r="48" spans="1:22" ht="12.95"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U48" si="14">T15-T46</f>
        <v>20409</v>
      </c>
      <c r="U48" s="32">
        <f t="shared" si="14"/>
        <v>24087</v>
      </c>
      <c r="V48" s="236"/>
    </row>
    <row r="49" spans="1:22">
      <c r="C49" s="24"/>
      <c r="D49" s="24"/>
      <c r="E49" s="24"/>
      <c r="F49" s="32"/>
      <c r="G49" s="32"/>
      <c r="H49" s="32"/>
      <c r="I49" s="32"/>
      <c r="J49" s="32"/>
      <c r="K49" s="32"/>
      <c r="L49" s="32"/>
      <c r="M49" s="32"/>
      <c r="N49" s="32"/>
      <c r="O49" s="32"/>
      <c r="P49" s="32"/>
      <c r="Q49" s="32"/>
      <c r="R49" s="32"/>
      <c r="S49" s="32"/>
      <c r="T49" s="32"/>
      <c r="U49" s="233"/>
      <c r="V49" s="236"/>
    </row>
    <row r="50" spans="1:22">
      <c r="B50" s="3" t="s">
        <v>28</v>
      </c>
      <c r="C50" s="24"/>
      <c r="D50" s="24"/>
      <c r="E50" s="24"/>
      <c r="F50" s="32"/>
      <c r="G50" s="32"/>
      <c r="H50" s="32"/>
      <c r="I50" s="32"/>
      <c r="J50" s="32"/>
      <c r="K50" s="32"/>
      <c r="L50" s="32"/>
      <c r="M50" s="32"/>
      <c r="N50" s="32"/>
      <c r="O50" s="32"/>
      <c r="P50" s="32"/>
      <c r="Q50" s="32"/>
      <c r="R50" s="32"/>
      <c r="S50" s="32"/>
      <c r="T50" s="32"/>
      <c r="U50" s="233"/>
      <c r="V50" s="236"/>
    </row>
    <row r="51" spans="1:22">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c r="U51" s="233">
        <v>-729</v>
      </c>
      <c r="V51" s="236"/>
    </row>
    <row r="52" spans="1:22">
      <c r="A52" s="22">
        <v>28</v>
      </c>
      <c r="B52" s="24" t="s">
        <v>46</v>
      </c>
      <c r="D52" s="24"/>
      <c r="E52" s="24"/>
      <c r="F52" s="32"/>
      <c r="G52" s="32"/>
      <c r="H52" s="32"/>
      <c r="I52" s="32"/>
      <c r="J52" s="32"/>
      <c r="K52" s="32"/>
      <c r="L52" s="32"/>
      <c r="M52" s="32"/>
      <c r="N52" s="32"/>
      <c r="O52" s="32"/>
      <c r="P52" s="32"/>
      <c r="Q52" s="32">
        <v>62.982525000000003</v>
      </c>
      <c r="R52" s="32">
        <v>3</v>
      </c>
      <c r="S52" s="32">
        <v>-56</v>
      </c>
      <c r="T52" s="32">
        <v>-137</v>
      </c>
      <c r="U52" s="233">
        <v>-37</v>
      </c>
      <c r="V52" s="236"/>
    </row>
    <row r="53" spans="1:22">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c r="U53" s="233">
        <v>7842</v>
      </c>
      <c r="V53" s="236"/>
    </row>
    <row r="54" spans="1:22"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c r="U54" s="235">
        <v>-20</v>
      </c>
      <c r="V54" s="236"/>
    </row>
    <row r="55" spans="1:22" ht="12.75" customHeight="1">
      <c r="F55" s="32"/>
      <c r="G55" s="32"/>
      <c r="H55" s="32"/>
      <c r="I55" s="32"/>
      <c r="J55" s="32"/>
      <c r="K55" s="32"/>
      <c r="L55" s="32"/>
      <c r="M55" s="32"/>
      <c r="N55" s="32"/>
      <c r="O55" s="32"/>
      <c r="P55" s="32"/>
      <c r="Q55" s="32"/>
      <c r="R55" s="32"/>
      <c r="S55" s="32"/>
      <c r="T55" s="32"/>
      <c r="U55" s="233"/>
      <c r="V55" s="236"/>
    </row>
    <row r="56" spans="1:22"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c r="U56" s="348">
        <f>U48-U51-U52-U53-U54</f>
        <v>17031</v>
      </c>
      <c r="V56" s="480"/>
    </row>
    <row r="57" spans="1:22" ht="12.75" customHeight="1" thickTop="1">
      <c r="B57" s="23"/>
      <c r="C57" s="23"/>
      <c r="D57" s="23"/>
      <c r="E57" s="23"/>
      <c r="F57" s="184"/>
      <c r="G57" s="184"/>
      <c r="H57" s="184"/>
      <c r="I57" s="184"/>
      <c r="J57" s="184"/>
      <c r="K57" s="184"/>
      <c r="L57" s="184"/>
      <c r="M57" s="184"/>
      <c r="N57" s="184"/>
      <c r="O57" s="184"/>
      <c r="P57" s="184"/>
      <c r="Q57" s="184"/>
      <c r="R57" s="184"/>
    </row>
    <row r="58" spans="1:22" ht="12.6" customHeight="1">
      <c r="B58" s="23"/>
      <c r="C58" s="23"/>
      <c r="D58" s="185" t="s">
        <v>249</v>
      </c>
      <c r="E58" s="23"/>
      <c r="F58" s="184"/>
      <c r="G58" s="184"/>
      <c r="H58" s="184"/>
      <c r="I58" s="184"/>
      <c r="J58" s="184"/>
      <c r="K58" s="184"/>
      <c r="L58" s="184"/>
      <c r="M58" s="184"/>
      <c r="N58" s="184"/>
      <c r="O58" s="184"/>
      <c r="P58" s="184"/>
      <c r="Q58" s="184"/>
      <c r="R58" s="184"/>
    </row>
    <row r="59" spans="1:22" ht="28.9" customHeight="1">
      <c r="A59" s="591"/>
      <c r="B59" s="591"/>
      <c r="C59" s="591"/>
      <c r="D59" s="591"/>
      <c r="E59" s="591"/>
      <c r="F59" s="591"/>
      <c r="G59" s="591"/>
      <c r="H59" s="591"/>
      <c r="I59" s="591"/>
      <c r="J59" s="591"/>
      <c r="K59" s="591"/>
      <c r="L59" s="591"/>
      <c r="M59" s="591"/>
      <c r="N59" s="591"/>
      <c r="O59" s="591"/>
      <c r="P59" s="591"/>
      <c r="Q59" s="591"/>
      <c r="R59" s="591"/>
    </row>
    <row r="60" spans="1:22" ht="39.75" customHeight="1">
      <c r="A60" s="200" t="s">
        <v>43</v>
      </c>
      <c r="R60" s="4"/>
    </row>
    <row r="61" spans="1:22" ht="14.25" customHeight="1">
      <c r="A61" s="200" t="s">
        <v>48</v>
      </c>
      <c r="E61" s="592" t="str">
        <f>E4</f>
        <v>Commission Basis Results of Operations</v>
      </c>
      <c r="F61" s="592"/>
      <c r="G61" s="592"/>
      <c r="H61" s="592"/>
      <c r="I61" s="592"/>
      <c r="J61" s="592"/>
      <c r="K61" s="592"/>
      <c r="L61" s="592"/>
      <c r="M61" s="592"/>
      <c r="N61" s="592"/>
      <c r="O61" s="592"/>
      <c r="P61" s="592"/>
      <c r="Q61" s="592"/>
      <c r="R61" s="592"/>
    </row>
    <row r="62" spans="1:22" ht="0.75" customHeight="1">
      <c r="A62" s="200"/>
      <c r="R62" s="4"/>
    </row>
    <row r="63" spans="1:22" s="6" customFormat="1" ht="13.9" customHeight="1">
      <c r="A63" s="200" t="s">
        <v>39</v>
      </c>
      <c r="B63" s="2"/>
      <c r="C63" s="2"/>
      <c r="D63" s="2"/>
      <c r="E63" s="2"/>
      <c r="F63" s="4"/>
      <c r="G63" s="4"/>
      <c r="H63" s="4"/>
      <c r="I63" s="4"/>
      <c r="J63" s="4"/>
      <c r="K63" s="4"/>
      <c r="L63" s="4"/>
      <c r="M63" s="4"/>
      <c r="N63" s="4"/>
      <c r="O63" s="4"/>
      <c r="P63" s="4"/>
      <c r="Q63" s="4"/>
      <c r="R63" s="4"/>
      <c r="S63" s="24"/>
      <c r="T63" s="360"/>
      <c r="U63" s="360"/>
      <c r="V63" s="400"/>
    </row>
    <row r="64" spans="1:22" s="6" customFormat="1" ht="5.25" customHeight="1">
      <c r="A64" s="2"/>
      <c r="B64" s="3"/>
      <c r="C64" s="3"/>
      <c r="D64" s="3"/>
      <c r="E64" s="3"/>
      <c r="F64" s="4"/>
      <c r="G64" s="4"/>
      <c r="H64" s="4"/>
      <c r="I64" s="4"/>
      <c r="J64" s="4"/>
      <c r="K64" s="4"/>
      <c r="L64" s="4"/>
      <c r="M64" s="4"/>
      <c r="N64" s="4"/>
      <c r="O64" s="4"/>
      <c r="P64" s="4"/>
      <c r="Q64" s="4"/>
      <c r="R64" s="4"/>
      <c r="U64" s="360"/>
      <c r="V64" s="400"/>
    </row>
    <row r="65" spans="1:22" s="6" customFormat="1" ht="6.75" customHeight="1">
      <c r="A65" s="5"/>
      <c r="F65" s="7"/>
      <c r="G65" s="7"/>
      <c r="H65" s="7"/>
      <c r="I65" s="7"/>
      <c r="J65" s="7"/>
      <c r="K65" s="7"/>
      <c r="L65" s="7"/>
      <c r="M65" s="7"/>
      <c r="N65" s="7"/>
      <c r="O65" s="7"/>
      <c r="P65" s="7"/>
      <c r="Q65" s="7"/>
      <c r="R65" s="7"/>
      <c r="U65" s="360"/>
      <c r="V65" s="400"/>
    </row>
    <row r="66" spans="1:22"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c r="U66" s="522">
        <f>U8</f>
        <v>12.201499999999999</v>
      </c>
      <c r="V66" s="481"/>
    </row>
    <row r="67" spans="1:22">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c r="U67" s="476" t="s">
        <v>1</v>
      </c>
      <c r="V67" s="479"/>
    </row>
    <row r="68" spans="1:22">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c r="U68" s="477" t="s">
        <v>5</v>
      </c>
      <c r="V68" s="479"/>
    </row>
    <row r="69" spans="1:22" ht="8.25" customHeight="1">
      <c r="F69" s="32"/>
      <c r="G69" s="32"/>
      <c r="H69" s="32"/>
      <c r="I69" s="32"/>
      <c r="J69" s="32"/>
      <c r="K69" s="32"/>
      <c r="L69" s="32"/>
      <c r="M69" s="32"/>
      <c r="N69" s="32"/>
      <c r="O69" s="32"/>
      <c r="P69" s="32"/>
      <c r="Q69" s="32"/>
      <c r="R69" s="32"/>
      <c r="S69" s="32"/>
      <c r="T69" s="32"/>
      <c r="U69" s="233"/>
      <c r="V69" s="236"/>
    </row>
    <row r="70" spans="1:22">
      <c r="B70" s="3" t="s">
        <v>40</v>
      </c>
      <c r="F70" s="32"/>
      <c r="G70" s="32"/>
      <c r="H70" s="32"/>
      <c r="I70" s="32"/>
      <c r="J70" s="32"/>
      <c r="K70" s="32"/>
      <c r="L70" s="32"/>
      <c r="M70" s="32"/>
      <c r="N70" s="32"/>
      <c r="O70" s="32"/>
      <c r="P70" s="32"/>
      <c r="Q70" s="32"/>
      <c r="R70" s="32"/>
      <c r="S70" s="32"/>
      <c r="T70" s="32"/>
      <c r="U70" s="233"/>
      <c r="V70" s="236"/>
    </row>
    <row r="71" spans="1:22">
      <c r="B71" s="3" t="s">
        <v>41</v>
      </c>
      <c r="F71" s="32"/>
      <c r="G71" s="32"/>
      <c r="H71" s="32"/>
      <c r="I71" s="32"/>
      <c r="J71" s="32"/>
      <c r="K71" s="32"/>
      <c r="L71" s="32"/>
      <c r="M71" s="32"/>
      <c r="N71" s="32"/>
      <c r="O71" s="32"/>
      <c r="P71" s="32"/>
      <c r="Q71" s="32"/>
      <c r="R71" s="32"/>
      <c r="S71" s="32"/>
      <c r="T71" s="32"/>
      <c r="U71" s="233"/>
      <c r="V71" s="236"/>
    </row>
    <row r="72" spans="1:22">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c r="U72" s="234">
        <v>25720</v>
      </c>
      <c r="V72" s="480"/>
    </row>
    <row r="73" spans="1:22"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33">
        <f>'Reg Amort and Other RB'!R36-'Reg Amort and Other RB'!R66</f>
        <v>313469</v>
      </c>
      <c r="T73" s="233">
        <f>'Reg Amort and Other RB'!S36-'Reg Amort and Other RB'!S66</f>
        <v>337894</v>
      </c>
      <c r="U73" s="233">
        <v>360612</v>
      </c>
      <c r="V73" s="236"/>
    </row>
    <row r="74" spans="1:22"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c r="U74" s="235">
        <v>75514</v>
      </c>
      <c r="V74" s="236"/>
    </row>
    <row r="75" spans="1:22">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233">
        <f t="shared" si="18"/>
        <v>264883</v>
      </c>
      <c r="N75" s="233">
        <f t="shared" si="18"/>
        <v>280294</v>
      </c>
      <c r="O75" s="233">
        <f t="shared" si="18"/>
        <v>305521</v>
      </c>
      <c r="P75" s="233">
        <f t="shared" si="18"/>
        <v>322917</v>
      </c>
      <c r="Q75" s="233">
        <f t="shared" si="18"/>
        <v>342258</v>
      </c>
      <c r="R75" s="233">
        <f t="shared" si="18"/>
        <v>365326</v>
      </c>
      <c r="S75" s="233">
        <f t="shared" si="18"/>
        <v>390403</v>
      </c>
      <c r="T75" s="233">
        <f t="shared" ref="T75:U75" si="19">SUM(T72:T74)</f>
        <v>422298</v>
      </c>
      <c r="U75" s="233">
        <f t="shared" si="19"/>
        <v>461846</v>
      </c>
      <c r="V75" s="482"/>
    </row>
    <row r="76" spans="1:22">
      <c r="B76" s="24"/>
      <c r="C76" s="24"/>
      <c r="F76" s="32"/>
      <c r="G76" s="32"/>
      <c r="H76" s="32"/>
      <c r="I76" s="32"/>
      <c r="J76" s="32"/>
      <c r="K76" s="32"/>
      <c r="L76" s="32"/>
      <c r="M76" s="233"/>
      <c r="N76" s="233"/>
      <c r="O76" s="233"/>
      <c r="P76" s="233"/>
      <c r="Q76" s="233"/>
      <c r="R76" s="233"/>
      <c r="S76" s="233"/>
      <c r="T76" s="233"/>
      <c r="U76" s="233"/>
      <c r="V76" s="236"/>
    </row>
    <row r="77" spans="1:22">
      <c r="B77" s="24" t="s">
        <v>49</v>
      </c>
      <c r="C77" s="24"/>
      <c r="D77" s="24"/>
      <c r="E77" s="24"/>
      <c r="F77" s="32"/>
      <c r="G77" s="32"/>
      <c r="H77" s="32"/>
      <c r="I77" s="32"/>
      <c r="J77" s="32"/>
      <c r="K77" s="32"/>
      <c r="L77" s="32"/>
      <c r="M77" s="233"/>
      <c r="N77" s="233"/>
      <c r="O77" s="233"/>
      <c r="P77" s="233"/>
      <c r="Q77" s="233"/>
      <c r="R77" s="233"/>
      <c r="S77" s="233"/>
      <c r="T77" s="233"/>
      <c r="U77" s="233"/>
      <c r="V77" s="236"/>
    </row>
    <row r="78" spans="1:22">
      <c r="A78" s="22">
        <v>36</v>
      </c>
      <c r="B78" s="24"/>
      <c r="C78" s="24" t="s">
        <v>16</v>
      </c>
      <c r="D78" s="24"/>
      <c r="E78" s="24"/>
      <c r="F78" s="32">
        <v>6192</v>
      </c>
      <c r="G78" s="32">
        <v>6220</v>
      </c>
      <c r="H78" s="32">
        <v>6115</v>
      </c>
      <c r="I78" s="32">
        <v>6495</v>
      </c>
      <c r="J78" s="32">
        <v>6659</v>
      </c>
      <c r="K78" s="32">
        <v>6924</v>
      </c>
      <c r="L78" s="32">
        <v>7249</v>
      </c>
      <c r="M78" s="233">
        <v>7427</v>
      </c>
      <c r="N78" s="233">
        <v>7581</v>
      </c>
      <c r="O78" s="233">
        <v>7807</v>
      </c>
      <c r="P78" s="233">
        <v>7912</v>
      </c>
      <c r="Q78" s="233">
        <v>8286</v>
      </c>
      <c r="R78" s="233">
        <v>8677</v>
      </c>
      <c r="S78" s="233">
        <v>9088</v>
      </c>
      <c r="T78" s="233">
        <v>9521</v>
      </c>
      <c r="U78" s="233">
        <v>9906</v>
      </c>
      <c r="V78" s="236"/>
    </row>
    <row r="79" spans="1:22">
      <c r="A79" s="22">
        <v>37</v>
      </c>
      <c r="B79" s="24"/>
      <c r="C79" s="24" t="s">
        <v>33</v>
      </c>
      <c r="D79" s="24"/>
      <c r="E79" s="24"/>
      <c r="F79" s="32">
        <v>47423</v>
      </c>
      <c r="G79" s="32">
        <v>51645</v>
      </c>
      <c r="H79" s="32">
        <v>55845</v>
      </c>
      <c r="I79" s="32">
        <v>60239</v>
      </c>
      <c r="J79" s="32">
        <v>64817</v>
      </c>
      <c r="K79" s="32">
        <v>69428</v>
      </c>
      <c r="L79" s="32">
        <v>74019</v>
      </c>
      <c r="M79" s="233">
        <v>77997</v>
      </c>
      <c r="N79" s="233">
        <v>81405</v>
      </c>
      <c r="O79" s="233">
        <v>84021</v>
      </c>
      <c r="P79" s="233">
        <v>89620</v>
      </c>
      <c r="Q79" s="233">
        <v>97489</v>
      </c>
      <c r="R79" s="233">
        <v>102678</v>
      </c>
      <c r="S79" s="233">
        <v>108662</v>
      </c>
      <c r="T79" s="233">
        <v>114795</v>
      </c>
      <c r="U79" s="233">
        <v>121623</v>
      </c>
      <c r="V79" s="236"/>
    </row>
    <row r="80" spans="1:22">
      <c r="A80" s="22">
        <v>38</v>
      </c>
      <c r="B80" s="24"/>
      <c r="C80" s="24" t="s">
        <v>34</v>
      </c>
      <c r="D80" s="24"/>
      <c r="E80" s="24"/>
      <c r="F80" s="32">
        <v>5661</v>
      </c>
      <c r="G80" s="32">
        <v>5695</v>
      </c>
      <c r="H80" s="32">
        <v>6442</v>
      </c>
      <c r="I80" s="32">
        <v>7446</v>
      </c>
      <c r="J80" s="32">
        <v>6984</v>
      </c>
      <c r="K80" s="32">
        <v>7208</v>
      </c>
      <c r="L80" s="32">
        <v>7230</v>
      </c>
      <c r="M80" s="233">
        <v>7136</v>
      </c>
      <c r="N80" s="233">
        <v>8309</v>
      </c>
      <c r="O80" s="233">
        <v>8882</v>
      </c>
      <c r="P80" s="233">
        <v>10722</v>
      </c>
      <c r="Q80" s="233">
        <v>10926</v>
      </c>
      <c r="R80" s="233">
        <v>12186</v>
      </c>
      <c r="S80" s="233">
        <v>14724</v>
      </c>
      <c r="T80" s="233">
        <v>17429</v>
      </c>
      <c r="U80" s="233">
        <v>20741</v>
      </c>
      <c r="V80" s="236"/>
    </row>
    <row r="81" spans="1:22" s="27" customFormat="1" ht="18.95"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47">
        <f t="shared" si="20"/>
        <v>92560</v>
      </c>
      <c r="N81" s="347">
        <f t="shared" si="20"/>
        <v>97295</v>
      </c>
      <c r="O81" s="347">
        <f t="shared" si="20"/>
        <v>100710</v>
      </c>
      <c r="P81" s="347">
        <f t="shared" si="20"/>
        <v>108254</v>
      </c>
      <c r="Q81" s="347">
        <f t="shared" si="20"/>
        <v>116701</v>
      </c>
      <c r="R81" s="347">
        <f t="shared" si="20"/>
        <v>123541</v>
      </c>
      <c r="S81" s="347">
        <f t="shared" si="20"/>
        <v>132474</v>
      </c>
      <c r="T81" s="347">
        <f t="shared" ref="T81:U81" si="21">SUM(T78:T80)</f>
        <v>141745</v>
      </c>
      <c r="U81" s="347">
        <f t="shared" si="21"/>
        <v>152270</v>
      </c>
      <c r="V81" s="482"/>
    </row>
    <row r="82" spans="1:22" s="27" customFormat="1" ht="18.95"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236">
        <f t="shared" si="22"/>
        <v>172323</v>
      </c>
      <c r="N82" s="236">
        <f t="shared" si="22"/>
        <v>182999</v>
      </c>
      <c r="O82" s="236">
        <f t="shared" si="22"/>
        <v>204811</v>
      </c>
      <c r="P82" s="236">
        <f t="shared" si="22"/>
        <v>214663</v>
      </c>
      <c r="Q82" s="236">
        <f t="shared" si="22"/>
        <v>225557</v>
      </c>
      <c r="R82" s="236">
        <f t="shared" si="22"/>
        <v>241785</v>
      </c>
      <c r="S82" s="236">
        <f t="shared" si="22"/>
        <v>257929</v>
      </c>
      <c r="T82" s="236">
        <f t="shared" ref="T82" si="23">T75-T81</f>
        <v>280553</v>
      </c>
      <c r="U82" s="236">
        <f>U75-U81</f>
        <v>309576</v>
      </c>
      <c r="V82" s="236"/>
    </row>
    <row r="83" spans="1:22">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235">
        <f>'Reg Amort and Other RB'!L46-'Reg Amort and Other RB'!L67</f>
        <v>-26823</v>
      </c>
      <c r="N83" s="235">
        <f>'Reg Amort and Other RB'!M46-'Reg Amort and Other RB'!M67</f>
        <v>-28945</v>
      </c>
      <c r="O83" s="235">
        <f>'Reg Amort and Other RB'!N46-'Reg Amort and Other RB'!N67</f>
        <v>-31005</v>
      </c>
      <c r="P83" s="235">
        <f>'Reg Amort and Other RB'!O46-'Reg Amort and Other RB'!O67</f>
        <v>-36762</v>
      </c>
      <c r="Q83" s="235">
        <f>'Reg Amort and Other RB'!P46-'Reg Amort and Other RB'!P67</f>
        <v>-42004</v>
      </c>
      <c r="R83" s="235">
        <f>'Reg Amort and Other RB'!Q46-'Reg Amort and Other RB'!Q67</f>
        <v>-46498</v>
      </c>
      <c r="S83" s="235">
        <f>'Reg Amort and Other RB'!R46-'Reg Amort and Other RB'!R67</f>
        <v>-50170</v>
      </c>
      <c r="T83" s="235">
        <f>'Reg Amort and Other RB'!S46-'Reg Amort and Other RB'!S67</f>
        <v>-54652</v>
      </c>
      <c r="U83" s="235">
        <v>-64929</v>
      </c>
      <c r="V83" s="482"/>
    </row>
    <row r="84" spans="1:22"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236">
        <f t="shared" si="24"/>
        <v>145500</v>
      </c>
      <c r="N84" s="236">
        <f t="shared" si="24"/>
        <v>154054</v>
      </c>
      <c r="O84" s="236">
        <f t="shared" si="24"/>
        <v>173806</v>
      </c>
      <c r="P84" s="236">
        <f t="shared" si="24"/>
        <v>177901</v>
      </c>
      <c r="Q84" s="236">
        <f t="shared" si="24"/>
        <v>183553</v>
      </c>
      <c r="R84" s="236">
        <f t="shared" si="24"/>
        <v>195287</v>
      </c>
      <c r="S84" s="236">
        <f t="shared" si="24"/>
        <v>207759</v>
      </c>
      <c r="T84" s="236">
        <f t="shared" ref="T84" si="25">T82+T83</f>
        <v>225901</v>
      </c>
      <c r="U84" s="236">
        <f>U82+U83</f>
        <v>244647</v>
      </c>
      <c r="V84" s="236"/>
    </row>
    <row r="85" spans="1:22" s="27" customFormat="1">
      <c r="A85" s="22">
        <v>43</v>
      </c>
      <c r="B85" s="24" t="s">
        <v>36</v>
      </c>
      <c r="C85" s="24"/>
      <c r="D85" s="24"/>
      <c r="E85" s="24"/>
      <c r="F85" s="32">
        <v>2810</v>
      </c>
      <c r="G85" s="32">
        <v>3190</v>
      </c>
      <c r="H85" s="32">
        <v>4191</v>
      </c>
      <c r="I85" s="32">
        <v>4568</v>
      </c>
      <c r="J85" s="32">
        <v>4807</v>
      </c>
      <c r="K85" s="32">
        <v>6936</v>
      </c>
      <c r="L85" s="32">
        <v>7628</v>
      </c>
      <c r="M85" s="233">
        <v>5607</v>
      </c>
      <c r="N85" s="233">
        <v>15327</v>
      </c>
      <c r="O85" s="233">
        <v>8440</v>
      </c>
      <c r="P85" s="233">
        <v>10226</v>
      </c>
      <c r="Q85" s="233">
        <v>13753</v>
      </c>
      <c r="R85" s="233">
        <v>13107</v>
      </c>
      <c r="S85" s="233">
        <v>11702</v>
      </c>
      <c r="T85" s="233">
        <v>14762</v>
      </c>
      <c r="U85" s="233">
        <v>12740</v>
      </c>
      <c r="V85" s="236"/>
    </row>
    <row r="86" spans="1:22">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c r="U86" s="236">
        <v>0</v>
      </c>
      <c r="V86" s="236"/>
    </row>
    <row r="87" spans="1:22"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36">
        <f>'Reg Amort and Other RB'!R64</f>
        <v>-332</v>
      </c>
      <c r="T87" s="236">
        <f>'Reg Amort and Other RB'!S64</f>
        <v>-479</v>
      </c>
      <c r="U87" s="236">
        <v>-485</v>
      </c>
      <c r="V87" s="236"/>
    </row>
    <row r="88" spans="1:22"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c r="U88" s="235">
        <v>16069</v>
      </c>
      <c r="V88" s="236"/>
    </row>
    <row r="89" spans="1:22" s="37" customFormat="1">
      <c r="A89" s="22"/>
      <c r="B89" s="3"/>
      <c r="C89" s="3"/>
      <c r="D89" s="3"/>
      <c r="E89" s="3"/>
      <c r="F89" s="4"/>
      <c r="G89" s="4"/>
      <c r="H89" s="4"/>
      <c r="I89" s="4"/>
      <c r="J89" s="4"/>
      <c r="K89" s="4"/>
      <c r="L89" s="4"/>
      <c r="M89" s="4"/>
      <c r="N89" s="4"/>
      <c r="O89" s="4"/>
      <c r="P89" s="4"/>
      <c r="Q89" s="4"/>
      <c r="R89" s="4"/>
      <c r="S89" s="4"/>
      <c r="T89" s="4"/>
      <c r="U89" s="29"/>
      <c r="V89" s="238"/>
    </row>
    <row r="90" spans="1:22" s="28" customFormat="1">
      <c r="A90" s="22"/>
      <c r="B90" s="3"/>
      <c r="C90" s="3"/>
      <c r="D90" s="3"/>
      <c r="E90" s="3"/>
      <c r="F90" s="32"/>
      <c r="G90" s="32"/>
      <c r="H90" s="32"/>
      <c r="I90" s="32"/>
      <c r="J90" s="32"/>
      <c r="K90" s="32"/>
      <c r="L90" s="32"/>
      <c r="M90" s="32"/>
      <c r="N90" s="32"/>
      <c r="O90" s="32"/>
      <c r="P90" s="32"/>
      <c r="Q90" s="32"/>
      <c r="R90" s="32"/>
      <c r="S90" s="32"/>
      <c r="T90" s="32"/>
      <c r="U90" s="233"/>
      <c r="V90" s="236"/>
    </row>
    <row r="91" spans="1:22" s="28" customFormat="1" ht="12.75"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U91" si="28">SUM(T84:T88)</f>
        <v>250257</v>
      </c>
      <c r="U91" s="348">
        <f t="shared" si="28"/>
        <v>272971</v>
      </c>
      <c r="V91" s="480"/>
    </row>
    <row r="92" spans="1:22" s="28" customFormat="1" ht="12.75" thickTop="1">
      <c r="A92" s="5"/>
      <c r="B92" s="37"/>
      <c r="C92" s="37"/>
      <c r="D92" s="37"/>
      <c r="E92" s="37"/>
      <c r="F92" s="184"/>
      <c r="G92" s="184"/>
      <c r="H92" s="184"/>
      <c r="I92" s="184"/>
      <c r="J92" s="184"/>
      <c r="K92" s="184"/>
      <c r="L92" s="184"/>
      <c r="M92" s="184"/>
      <c r="N92" s="184"/>
      <c r="O92" s="184"/>
      <c r="P92" s="184"/>
      <c r="Q92" s="184"/>
      <c r="R92" s="184"/>
      <c r="V92" s="316"/>
    </row>
    <row r="93" spans="1:22" s="28" customFormat="1">
      <c r="A93" s="30"/>
      <c r="D93" s="185" t="s">
        <v>212</v>
      </c>
      <c r="E93" s="31"/>
      <c r="F93" s="29"/>
      <c r="G93" s="29"/>
      <c r="H93" s="29"/>
      <c r="I93" s="29"/>
      <c r="J93" s="29"/>
      <c r="K93" s="29"/>
      <c r="L93" s="29"/>
      <c r="M93" s="29"/>
      <c r="N93" s="29"/>
      <c r="O93" s="29"/>
      <c r="P93" s="29"/>
      <c r="Q93" s="29"/>
      <c r="R93" s="29"/>
      <c r="V93" s="316"/>
    </row>
    <row r="94" spans="1:22" s="28" customFormat="1" ht="5.45" customHeight="1">
      <c r="A94" s="30"/>
      <c r="D94" s="185"/>
      <c r="E94" s="31"/>
      <c r="F94" s="29"/>
      <c r="G94" s="29"/>
      <c r="H94" s="29"/>
      <c r="I94" s="29"/>
      <c r="J94" s="29"/>
      <c r="K94" s="29"/>
      <c r="L94" s="29"/>
      <c r="M94" s="29"/>
      <c r="N94" s="29"/>
      <c r="O94" s="29"/>
      <c r="P94" s="29"/>
      <c r="Q94" s="29"/>
      <c r="R94" s="29"/>
      <c r="V94" s="316"/>
    </row>
    <row r="95" spans="1:22" s="28" customFormat="1" ht="12.75">
      <c r="A95" s="204" t="s">
        <v>43</v>
      </c>
      <c r="D95" s="185"/>
      <c r="E95" s="31"/>
      <c r="F95" s="29"/>
      <c r="G95" s="29"/>
      <c r="H95" s="29"/>
      <c r="I95" s="29"/>
      <c r="J95" s="29"/>
      <c r="K95" s="29"/>
      <c r="L95" s="29"/>
      <c r="M95" s="29"/>
      <c r="N95" s="29"/>
      <c r="O95" s="29"/>
      <c r="P95" s="29"/>
      <c r="Q95" s="29"/>
      <c r="R95" s="29"/>
      <c r="V95" s="316"/>
    </row>
    <row r="96" spans="1:22" s="28" customFormat="1" ht="12.75">
      <c r="A96" s="204" t="s">
        <v>48</v>
      </c>
      <c r="D96" s="185"/>
      <c r="E96" s="31"/>
      <c r="F96" s="29"/>
      <c r="G96" s="29"/>
      <c r="H96" s="29"/>
      <c r="I96" s="29"/>
      <c r="J96" s="29"/>
      <c r="K96" s="29"/>
      <c r="L96" s="29"/>
      <c r="M96" s="29"/>
      <c r="N96" s="29"/>
      <c r="O96" s="29"/>
      <c r="P96" s="29"/>
      <c r="Q96" s="29"/>
      <c r="R96" s="29"/>
      <c r="V96" s="316"/>
    </row>
    <row r="97" spans="1:22" s="28" customFormat="1" ht="12.75">
      <c r="A97" s="204" t="s">
        <v>39</v>
      </c>
      <c r="D97" s="185"/>
      <c r="E97" s="31"/>
      <c r="F97" s="29"/>
      <c r="G97" s="29"/>
      <c r="H97" s="29"/>
      <c r="I97" s="29"/>
      <c r="J97" s="29"/>
      <c r="K97" s="29"/>
      <c r="L97" s="29"/>
      <c r="M97" s="29"/>
      <c r="N97" s="29"/>
      <c r="O97" s="29"/>
      <c r="P97" s="29"/>
      <c r="Q97" s="29"/>
      <c r="R97" s="29"/>
      <c r="V97" s="316"/>
    </row>
    <row r="98" spans="1:22" s="28" customFormat="1" ht="14.25" customHeight="1">
      <c r="A98" s="30"/>
      <c r="D98" s="185"/>
      <c r="E98" s="589" t="s">
        <v>226</v>
      </c>
      <c r="F98" s="589"/>
      <c r="G98" s="589"/>
      <c r="H98" s="589"/>
      <c r="I98" s="589"/>
      <c r="J98" s="589"/>
      <c r="K98" s="589"/>
      <c r="L98" s="589"/>
      <c r="M98" s="589"/>
      <c r="N98" s="589"/>
      <c r="O98" s="589"/>
      <c r="P98" s="589"/>
      <c r="Q98" s="589"/>
      <c r="R98" s="589"/>
      <c r="T98" s="360"/>
      <c r="U98" s="360"/>
      <c r="V98" s="400"/>
    </row>
    <row r="99" spans="1:22" s="28" customFormat="1" ht="3" customHeight="1">
      <c r="A99" s="30"/>
      <c r="D99" s="185"/>
      <c r="E99" s="31"/>
      <c r="F99" s="186"/>
      <c r="G99" s="186"/>
      <c r="H99" s="186"/>
      <c r="I99" s="186"/>
      <c r="J99" s="186"/>
      <c r="K99" s="186"/>
      <c r="L99" s="186"/>
      <c r="M99" s="186"/>
      <c r="N99" s="186"/>
      <c r="O99" s="186"/>
      <c r="P99" s="186"/>
      <c r="Q99" s="186"/>
      <c r="R99" s="186"/>
      <c r="V99" s="316"/>
    </row>
    <row r="100" spans="1:22" s="28" customFormat="1" ht="12" customHeight="1">
      <c r="A100" s="30"/>
      <c r="D100" s="185"/>
      <c r="E100" s="31"/>
      <c r="F100" s="212">
        <f>F8</f>
        <v>2000</v>
      </c>
      <c r="G100" s="212">
        <f t="shared" ref="G100:R100" si="29">G8</f>
        <v>2001</v>
      </c>
      <c r="H100" s="212">
        <f t="shared" si="29"/>
        <v>2002</v>
      </c>
      <c r="I100" s="212">
        <f t="shared" si="29"/>
        <v>2003</v>
      </c>
      <c r="J100" s="212">
        <f t="shared" si="29"/>
        <v>2004</v>
      </c>
      <c r="K100" s="212">
        <f t="shared" si="29"/>
        <v>2005</v>
      </c>
      <c r="L100" s="212">
        <f t="shared" si="29"/>
        <v>2006</v>
      </c>
      <c r="M100" s="212">
        <f t="shared" si="29"/>
        <v>2007</v>
      </c>
      <c r="N100" s="212">
        <f t="shared" si="29"/>
        <v>2008</v>
      </c>
      <c r="O100" s="212">
        <f t="shared" si="29"/>
        <v>2009</v>
      </c>
      <c r="P100" s="212">
        <f t="shared" si="29"/>
        <v>2010</v>
      </c>
      <c r="Q100" s="212">
        <f t="shared" si="29"/>
        <v>2011</v>
      </c>
      <c r="R100" s="212">
        <f t="shared" si="29"/>
        <v>2012</v>
      </c>
      <c r="S100" s="212">
        <f>S8</f>
        <v>2013</v>
      </c>
      <c r="T100" s="212">
        <f>T8</f>
        <v>2014</v>
      </c>
      <c r="U100" s="523">
        <f>U8</f>
        <v>12.201499999999999</v>
      </c>
      <c r="V100" s="212"/>
    </row>
    <row r="101" spans="1:22" s="28" customFormat="1" ht="24">
      <c r="A101" s="205" t="s">
        <v>242</v>
      </c>
      <c r="D101" s="211" t="s">
        <v>257</v>
      </c>
      <c r="E101" s="31"/>
      <c r="F101" s="29"/>
      <c r="G101" s="29"/>
      <c r="H101" s="29"/>
      <c r="I101" s="29"/>
      <c r="J101" s="29"/>
      <c r="K101" s="29"/>
      <c r="L101" s="29"/>
      <c r="M101" s="29"/>
      <c r="N101" s="29"/>
      <c r="O101" s="29"/>
      <c r="P101" s="29"/>
      <c r="Q101" s="29"/>
      <c r="R101" s="29"/>
      <c r="S101" s="29"/>
      <c r="T101" s="29"/>
      <c r="U101" s="29"/>
      <c r="V101" s="238"/>
    </row>
    <row r="102" spans="1:22" s="28" customFormat="1">
      <c r="A102" s="30">
        <v>1</v>
      </c>
      <c r="C102" s="28" t="s">
        <v>16</v>
      </c>
      <c r="E102" s="187" t="s">
        <v>213</v>
      </c>
      <c r="F102" s="76">
        <f>F25</f>
        <v>312</v>
      </c>
      <c r="G102" s="76">
        <f t="shared" ref="G102:R102" si="30">G25</f>
        <v>322</v>
      </c>
      <c r="H102" s="76">
        <f t="shared" si="30"/>
        <v>357</v>
      </c>
      <c r="I102" s="76">
        <f t="shared" si="30"/>
        <v>342</v>
      </c>
      <c r="J102" s="76">
        <f t="shared" si="30"/>
        <v>381</v>
      </c>
      <c r="K102" s="76">
        <f t="shared" si="30"/>
        <v>450</v>
      </c>
      <c r="L102" s="76">
        <f t="shared" si="30"/>
        <v>492</v>
      </c>
      <c r="M102" s="76">
        <f t="shared" si="30"/>
        <v>451</v>
      </c>
      <c r="N102" s="76">
        <f t="shared" si="30"/>
        <v>436</v>
      </c>
      <c r="O102" s="76">
        <f t="shared" si="30"/>
        <v>403</v>
      </c>
      <c r="P102" s="76">
        <f t="shared" si="30"/>
        <v>380</v>
      </c>
      <c r="Q102" s="76">
        <f t="shared" si="30"/>
        <v>585</v>
      </c>
      <c r="R102" s="76">
        <f t="shared" si="30"/>
        <v>712</v>
      </c>
      <c r="S102" s="76">
        <f>S25</f>
        <v>820</v>
      </c>
      <c r="T102" s="76">
        <f>T25</f>
        <v>893</v>
      </c>
      <c r="U102" s="76">
        <f>U25</f>
        <v>857</v>
      </c>
      <c r="V102" s="483"/>
    </row>
    <row r="103" spans="1:22" s="28" customFormat="1">
      <c r="A103" s="30">
        <v>2</v>
      </c>
      <c r="C103" s="28" t="s">
        <v>19</v>
      </c>
      <c r="E103" s="187" t="s">
        <v>217</v>
      </c>
      <c r="F103" s="76">
        <f>F31</f>
        <v>3956</v>
      </c>
      <c r="G103" s="76">
        <f t="shared" ref="G103:R103" si="31">G31</f>
        <v>4655</v>
      </c>
      <c r="H103" s="76">
        <f t="shared" si="31"/>
        <v>5482</v>
      </c>
      <c r="I103" s="76">
        <f t="shared" si="31"/>
        <v>5762</v>
      </c>
      <c r="J103" s="76">
        <f t="shared" si="31"/>
        <v>5958</v>
      </c>
      <c r="K103" s="76">
        <f t="shared" si="31"/>
        <v>6084</v>
      </c>
      <c r="L103" s="76">
        <f t="shared" si="31"/>
        <v>6359</v>
      </c>
      <c r="M103" s="76">
        <f t="shared" si="31"/>
        <v>6467</v>
      </c>
      <c r="N103" s="76">
        <f t="shared" si="31"/>
        <v>6123</v>
      </c>
      <c r="O103" s="76">
        <f t="shared" si="31"/>
        <v>7700</v>
      </c>
      <c r="P103" s="76">
        <f t="shared" si="31"/>
        <v>7696</v>
      </c>
      <c r="Q103" s="76">
        <f t="shared" si="31"/>
        <v>8854</v>
      </c>
      <c r="R103" s="76">
        <f t="shared" si="31"/>
        <v>9511</v>
      </c>
      <c r="S103" s="76">
        <f>S31</f>
        <v>10820</v>
      </c>
      <c r="T103" s="76">
        <f>T31</f>
        <v>10704</v>
      </c>
      <c r="U103" s="76">
        <f>U31</f>
        <v>12315</v>
      </c>
      <c r="V103" s="483"/>
    </row>
    <row r="104" spans="1:22" s="28" customFormat="1">
      <c r="A104" s="30">
        <v>3</v>
      </c>
      <c r="C104" s="28" t="s">
        <v>21</v>
      </c>
      <c r="E104" s="187" t="s">
        <v>218</v>
      </c>
      <c r="F104" s="76">
        <f>F36</f>
        <v>3175</v>
      </c>
      <c r="G104" s="76">
        <f t="shared" ref="G104:R104" si="32">G36</f>
        <v>3367</v>
      </c>
      <c r="H104" s="76">
        <f t="shared" si="32"/>
        <v>4108</v>
      </c>
      <c r="I104" s="76">
        <f t="shared" si="32"/>
        <v>4121</v>
      </c>
      <c r="J104" s="76">
        <f t="shared" si="32"/>
        <v>4337</v>
      </c>
      <c r="K104" s="76">
        <f t="shared" si="32"/>
        <v>4249</v>
      </c>
      <c r="L104" s="76">
        <f t="shared" si="32"/>
        <v>4225</v>
      </c>
      <c r="M104" s="76">
        <f t="shared" si="32"/>
        <v>4487</v>
      </c>
      <c r="N104" s="76">
        <f t="shared" si="32"/>
        <v>4692</v>
      </c>
      <c r="O104" s="76">
        <f t="shared" si="32"/>
        <v>5586</v>
      </c>
      <c r="P104" s="76">
        <f t="shared" si="32"/>
        <v>5234</v>
      </c>
      <c r="Q104" s="76">
        <f t="shared" si="32"/>
        <v>5739.734942</v>
      </c>
      <c r="R104" s="76">
        <f t="shared" si="32"/>
        <v>5796</v>
      </c>
      <c r="S104" s="76">
        <f t="shared" ref="S104:T106" si="33">S36</f>
        <v>6270</v>
      </c>
      <c r="T104" s="76">
        <f t="shared" si="33"/>
        <v>6108</v>
      </c>
      <c r="U104" s="76">
        <f t="shared" ref="U104" si="34">U36</f>
        <v>6632</v>
      </c>
      <c r="V104" s="483"/>
    </row>
    <row r="105" spans="1:22" s="28" customFormat="1">
      <c r="A105" s="30">
        <v>4</v>
      </c>
      <c r="C105" s="28" t="s">
        <v>214</v>
      </c>
      <c r="E105" s="187" t="s">
        <v>219</v>
      </c>
      <c r="F105" s="76">
        <f t="shared" ref="F105:R106" si="35">F37</f>
        <v>507</v>
      </c>
      <c r="G105" s="76">
        <f t="shared" si="35"/>
        <v>1513</v>
      </c>
      <c r="H105" s="76">
        <f t="shared" si="35"/>
        <v>2252</v>
      </c>
      <c r="I105" s="76">
        <f t="shared" si="35"/>
        <v>2747</v>
      </c>
      <c r="J105" s="76">
        <f t="shared" si="35"/>
        <v>480</v>
      </c>
      <c r="K105" s="76">
        <f t="shared" si="35"/>
        <v>3523</v>
      </c>
      <c r="L105" s="76">
        <f t="shared" si="35"/>
        <v>1061</v>
      </c>
      <c r="M105" s="76">
        <f t="shared" si="35"/>
        <v>4658</v>
      </c>
      <c r="N105" s="76">
        <f t="shared" si="35"/>
        <v>5169</v>
      </c>
      <c r="O105" s="76">
        <f t="shared" si="35"/>
        <v>7609</v>
      </c>
      <c r="P105" s="76">
        <f t="shared" si="35"/>
        <v>9505</v>
      </c>
      <c r="Q105" s="76">
        <f t="shared" si="35"/>
        <v>9777</v>
      </c>
      <c r="R105" s="76">
        <f t="shared" si="35"/>
        <v>6955</v>
      </c>
      <c r="S105" s="76">
        <f t="shared" si="33"/>
        <v>983</v>
      </c>
      <c r="T105" s="76">
        <f t="shared" si="33"/>
        <v>865</v>
      </c>
      <c r="U105" s="76">
        <f t="shared" ref="U105" si="36">U37</f>
        <v>837</v>
      </c>
      <c r="V105" s="483"/>
    </row>
    <row r="106" spans="1:22" s="28" customFormat="1">
      <c r="A106" s="30">
        <v>5</v>
      </c>
      <c r="C106" s="28" t="s">
        <v>215</v>
      </c>
      <c r="E106" s="187" t="s">
        <v>220</v>
      </c>
      <c r="F106" s="76">
        <f t="shared" si="35"/>
        <v>703</v>
      </c>
      <c r="G106" s="76">
        <f t="shared" si="35"/>
        <v>445</v>
      </c>
      <c r="H106" s="76">
        <f t="shared" si="35"/>
        <v>375</v>
      </c>
      <c r="I106" s="76">
        <f t="shared" si="35"/>
        <v>492</v>
      </c>
      <c r="J106" s="76">
        <f t="shared" si="35"/>
        <v>427</v>
      </c>
      <c r="K106" s="76">
        <f t="shared" si="35"/>
        <v>320</v>
      </c>
      <c r="L106" s="76">
        <f t="shared" si="35"/>
        <v>496</v>
      </c>
      <c r="M106" s="76">
        <f t="shared" si="35"/>
        <v>516</v>
      </c>
      <c r="N106" s="76">
        <f t="shared" si="35"/>
        <v>442</v>
      </c>
      <c r="O106" s="76">
        <f t="shared" si="35"/>
        <v>497</v>
      </c>
      <c r="P106" s="76">
        <f t="shared" si="35"/>
        <v>105</v>
      </c>
      <c r="Q106" s="76">
        <f t="shared" si="35"/>
        <v>3</v>
      </c>
      <c r="R106" s="76">
        <f t="shared" si="35"/>
        <v>3</v>
      </c>
      <c r="S106" s="76">
        <f t="shared" si="33"/>
        <v>3</v>
      </c>
      <c r="T106" s="76">
        <f t="shared" si="33"/>
        <v>0</v>
      </c>
      <c r="U106" s="76">
        <f t="shared" ref="U106" si="37">U38</f>
        <v>0</v>
      </c>
      <c r="V106" s="483"/>
    </row>
    <row r="107" spans="1:22" s="28" customFormat="1">
      <c r="A107" s="30">
        <v>6</v>
      </c>
      <c r="C107" s="28" t="s">
        <v>216</v>
      </c>
      <c r="E107" s="187" t="s">
        <v>221</v>
      </c>
      <c r="F107" s="76">
        <f>F41</f>
        <v>8004</v>
      </c>
      <c r="G107" s="76">
        <f t="shared" ref="G107:R107" si="38">G41</f>
        <v>7578</v>
      </c>
      <c r="H107" s="76">
        <f t="shared" si="38"/>
        <v>9399</v>
      </c>
      <c r="I107" s="76">
        <f t="shared" si="38"/>
        <v>9827</v>
      </c>
      <c r="J107" s="76">
        <f t="shared" si="38"/>
        <v>8911</v>
      </c>
      <c r="K107" s="76">
        <f t="shared" si="38"/>
        <v>9196</v>
      </c>
      <c r="L107" s="76">
        <f t="shared" si="38"/>
        <v>8393</v>
      </c>
      <c r="M107" s="76">
        <f t="shared" si="38"/>
        <v>8901</v>
      </c>
      <c r="N107" s="76">
        <f t="shared" si="38"/>
        <v>9706</v>
      </c>
      <c r="O107" s="76">
        <f t="shared" si="38"/>
        <v>9770</v>
      </c>
      <c r="P107" s="76">
        <f t="shared" si="38"/>
        <v>11383</v>
      </c>
      <c r="Q107" s="76">
        <f t="shared" si="38"/>
        <v>11585.118</v>
      </c>
      <c r="R107" s="76">
        <f t="shared" si="38"/>
        <v>13419</v>
      </c>
      <c r="S107" s="76">
        <f>S41</f>
        <v>11862</v>
      </c>
      <c r="T107" s="76">
        <f>T41</f>
        <v>12777</v>
      </c>
      <c r="U107" s="76">
        <f>U41</f>
        <v>14007</v>
      </c>
      <c r="V107" s="483"/>
    </row>
    <row r="108" spans="1:22" s="28" customFormat="1">
      <c r="A108" s="30">
        <v>7</v>
      </c>
      <c r="B108" s="28" t="s">
        <v>66</v>
      </c>
      <c r="F108" s="188">
        <f>SUM(F102:F107)</f>
        <v>16657</v>
      </c>
      <c r="G108" s="188">
        <f t="shared" ref="G108:R108" si="39">SUM(G102:G107)</f>
        <v>17880</v>
      </c>
      <c r="H108" s="188">
        <f t="shared" si="39"/>
        <v>21973</v>
      </c>
      <c r="I108" s="188">
        <f t="shared" si="39"/>
        <v>23291</v>
      </c>
      <c r="J108" s="188">
        <f t="shared" si="39"/>
        <v>20494</v>
      </c>
      <c r="K108" s="188">
        <f t="shared" si="39"/>
        <v>23822</v>
      </c>
      <c r="L108" s="188">
        <f t="shared" si="39"/>
        <v>21026</v>
      </c>
      <c r="M108" s="188">
        <f t="shared" si="39"/>
        <v>25480</v>
      </c>
      <c r="N108" s="188">
        <f t="shared" si="39"/>
        <v>26568</v>
      </c>
      <c r="O108" s="188">
        <f t="shared" si="39"/>
        <v>31565</v>
      </c>
      <c r="P108" s="188">
        <f t="shared" si="39"/>
        <v>34303</v>
      </c>
      <c r="Q108" s="188">
        <f t="shared" si="39"/>
        <v>36543.852941999998</v>
      </c>
      <c r="R108" s="188">
        <f t="shared" si="39"/>
        <v>36396</v>
      </c>
      <c r="S108" s="188">
        <f>SUM(S102:S107)</f>
        <v>30758</v>
      </c>
      <c r="T108" s="188">
        <f>SUM(T102:T107)</f>
        <v>31347</v>
      </c>
      <c r="U108" s="188">
        <f>SUM(U102:U107)</f>
        <v>34648</v>
      </c>
      <c r="V108" s="483"/>
    </row>
    <row r="109" spans="1:22" s="28" customFormat="1">
      <c r="A109" s="30">
        <v>8</v>
      </c>
      <c r="C109" s="28" t="s">
        <v>156</v>
      </c>
      <c r="F109" s="76">
        <f>'Riders and Gas Cost Revenue'!H63</f>
        <v>163</v>
      </c>
      <c r="G109" s="76">
        <f>'Riders and Gas Cost Revenue'!J63</f>
        <v>232</v>
      </c>
      <c r="H109" s="76">
        <f>'Riders and Gas Cost Revenue'!L63</f>
        <v>261</v>
      </c>
      <c r="I109" s="76">
        <f>'Riders and Gas Cost Revenue'!N63</f>
        <v>285</v>
      </c>
      <c r="J109" s="76">
        <f>'Riders and Gas Cost Revenue'!P63</f>
        <v>369</v>
      </c>
      <c r="K109" s="76">
        <f>'Riders and Gas Cost Revenue'!R63</f>
        <v>651</v>
      </c>
      <c r="L109" s="76">
        <f>'Riders and Gas Cost Revenue'!T63</f>
        <v>653</v>
      </c>
      <c r="M109" s="76">
        <f>'Riders and Gas Cost Revenue'!W63</f>
        <v>792</v>
      </c>
      <c r="N109" s="76">
        <f>'Riders and Gas Cost Revenue'!Z63</f>
        <v>783</v>
      </c>
      <c r="O109" s="76">
        <f>'Riders and Gas Cost Revenue'!AC63</f>
        <v>802</v>
      </c>
      <c r="P109" s="76">
        <f>'Riders and Gas Cost Revenue'!AF63</f>
        <v>800</v>
      </c>
      <c r="Q109" s="76">
        <f>'Riders and Gas Cost Revenue'!AI63</f>
        <v>981</v>
      </c>
      <c r="R109" s="76">
        <f>'Riders and Gas Cost Revenue'!AL63</f>
        <v>928</v>
      </c>
      <c r="S109" s="76">
        <f>'Riders and Gas Cost Revenue'!AO63</f>
        <v>891</v>
      </c>
      <c r="T109" s="76">
        <f>'Riders and Gas Cost Revenue'!AR63</f>
        <v>779</v>
      </c>
      <c r="U109" s="76">
        <f>'Riders and Gas Cost Revenue'!AU63</f>
        <v>840</v>
      </c>
      <c r="V109" s="483"/>
    </row>
    <row r="110" spans="1:22" s="28" customFormat="1" ht="12" customHeight="1">
      <c r="A110" s="30">
        <v>9</v>
      </c>
      <c r="C110" s="28" t="s">
        <v>254</v>
      </c>
      <c r="F110" s="76">
        <f>SUM('Riders and Gas Cost Revenue'!H35:H40)</f>
        <v>-526</v>
      </c>
      <c r="G110" s="76">
        <f>SUM('Riders and Gas Cost Revenue'!J35:J40)</f>
        <v>-979</v>
      </c>
      <c r="H110" s="76">
        <f>SUM('Riders and Gas Cost Revenue'!L35:L40)</f>
        <v>-1011</v>
      </c>
      <c r="I110" s="76">
        <f>SUM('Riders and Gas Cost Revenue'!N35:N40)</f>
        <v>-891</v>
      </c>
      <c r="J110" s="76">
        <f>SUM('Riders and Gas Cost Revenue'!P35:P40)</f>
        <v>-1049</v>
      </c>
      <c r="K110" s="76">
        <f>SUM('Riders and Gas Cost Revenue'!R35:R40)</f>
        <v>-1197</v>
      </c>
      <c r="L110" s="76">
        <f>SUM('Riders and Gas Cost Revenue'!T35:T40)</f>
        <v>-1373</v>
      </c>
      <c r="M110" s="76">
        <f>SUM('Riders and Gas Cost Revenue'!W35:W40)</f>
        <v>-1430</v>
      </c>
      <c r="N110" s="76">
        <f>SUM('Riders and Gas Cost Revenue'!Z35:Z40)</f>
        <v>-1351</v>
      </c>
      <c r="O110" s="76">
        <f>SUM('Riders and Gas Cost Revenue'!AC35:AC40)</f>
        <v>-1110</v>
      </c>
      <c r="P110" s="76">
        <f>SUM('Riders and Gas Cost Revenue'!AF35:AF40)</f>
        <v>-725</v>
      </c>
      <c r="Q110" s="76">
        <f>SUM('Riders and Gas Cost Revenue'!AI35:AI40)</f>
        <v>-770</v>
      </c>
      <c r="R110" s="76">
        <f>SUM('Riders and Gas Cost Revenue'!AL35:AL40)</f>
        <v>-686</v>
      </c>
      <c r="S110" s="76">
        <f>SUM('Riders and Gas Cost Revenue'!AO35:AO40)</f>
        <v>-704</v>
      </c>
      <c r="T110" s="76">
        <f>SUM('Riders and Gas Cost Revenue'!AR35:AR40)</f>
        <v>-772</v>
      </c>
      <c r="U110" s="76">
        <f>SUM('Riders and Gas Cost Revenue'!AU35:AU40)</f>
        <v>-730</v>
      </c>
      <c r="V110" s="483"/>
    </row>
    <row r="111" spans="1:22" s="28" customFormat="1">
      <c r="A111" s="30">
        <v>10</v>
      </c>
      <c r="C111" s="28" t="s">
        <v>255</v>
      </c>
      <c r="F111" s="76">
        <f>'Riders and Gas Cost Revenue'!G35+'Riders and Gas Cost Revenue'!G36+'Riders and Gas Cost Revenue'!G40</f>
        <v>0</v>
      </c>
      <c r="G111" s="76">
        <f>'Riders and Gas Cost Revenue'!I35+'Riders and Gas Cost Revenue'!I36+'Riders and Gas Cost Revenue'!I40</f>
        <v>-958</v>
      </c>
      <c r="H111" s="76">
        <f>'Riders and Gas Cost Revenue'!K35+'Riders and Gas Cost Revenue'!K36+'Riders and Gas Cost Revenue'!K40</f>
        <v>-1712</v>
      </c>
      <c r="I111" s="76">
        <f>'Riders and Gas Cost Revenue'!M35+'Riders and Gas Cost Revenue'!M36+'Riders and Gas Cost Revenue'!M40</f>
        <v>-2047</v>
      </c>
      <c r="J111" s="76">
        <f>'Riders and Gas Cost Revenue'!O35+'Riders and Gas Cost Revenue'!O36+'Riders and Gas Cost Revenue'!O40</f>
        <v>0</v>
      </c>
      <c r="K111" s="76">
        <f>'Riders and Gas Cost Revenue'!Q35+'Riders and Gas Cost Revenue'!Q36+'Riders and Gas Cost Revenue'!Q40</f>
        <v>-2868</v>
      </c>
      <c r="L111" s="76">
        <f>'Riders and Gas Cost Revenue'!S35+'Riders and Gas Cost Revenue'!S36+'Riders and Gas Cost Revenue'!S40</f>
        <v>0</v>
      </c>
      <c r="M111" s="76">
        <f>'Riders and Gas Cost Revenue'!U35+'Riders and Gas Cost Revenue'!U36+'Riders and Gas Cost Revenue'!U40</f>
        <v>-3870</v>
      </c>
      <c r="N111" s="76">
        <f>'Riders and Gas Cost Revenue'!X35+'Riders and Gas Cost Revenue'!X36+'Riders and Gas Cost Revenue'!X40</f>
        <v>-4421</v>
      </c>
      <c r="O111" s="76">
        <f>'Riders and Gas Cost Revenue'!AA35+'Riders and Gas Cost Revenue'!AA36+'Riders and Gas Cost Revenue'!AA40</f>
        <v>-6839</v>
      </c>
      <c r="P111" s="76">
        <f>'Riders and Gas Cost Revenue'!AD35+'Riders and Gas Cost Revenue'!AD36+'Riders and Gas Cost Revenue'!AD40</f>
        <v>-8494</v>
      </c>
      <c r="Q111" s="76">
        <f>'Riders and Gas Cost Revenue'!AG35+'Riders and Gas Cost Revenue'!AG36+'Riders and Gas Cost Revenue'!AG40</f>
        <v>-9035</v>
      </c>
      <c r="R111" s="76">
        <f>'Riders and Gas Cost Revenue'!AJ35+'Riders and Gas Cost Revenue'!AJ36+'Riders and Gas Cost Revenue'!AJ40</f>
        <v>-5996</v>
      </c>
      <c r="S111" s="76">
        <f>'Riders and Gas Cost Revenue'!AM35+'Riders and Gas Cost Revenue'!AM36+'Riders and Gas Cost Revenue'!AM40</f>
        <v>0</v>
      </c>
      <c r="T111" s="76">
        <f>'Riders and Gas Cost Revenue'!AP35+'Riders and Gas Cost Revenue'!AP36+'Riders and Gas Cost Revenue'!AP40</f>
        <v>0</v>
      </c>
      <c r="U111" s="76">
        <f>'Riders and Gas Cost Revenue'!AS35+'Riders and Gas Cost Revenue'!AS36+'Riders and Gas Cost Revenue'!AS40</f>
        <v>0</v>
      </c>
      <c r="V111" s="483"/>
    </row>
    <row r="112" spans="1:22">
      <c r="A112" s="30">
        <v>11</v>
      </c>
      <c r="B112" s="28"/>
      <c r="C112" s="28" t="s">
        <v>256</v>
      </c>
      <c r="D112" s="28"/>
      <c r="E112" s="28"/>
      <c r="F112" s="189">
        <v>0</v>
      </c>
      <c r="G112" s="189">
        <v>0</v>
      </c>
      <c r="H112" s="189">
        <v>0</v>
      </c>
      <c r="I112" s="189">
        <v>0</v>
      </c>
      <c r="J112" s="189">
        <v>0</v>
      </c>
      <c r="K112" s="189">
        <v>0</v>
      </c>
      <c r="L112" s="189">
        <v>0</v>
      </c>
      <c r="M112" s="189">
        <f>'Riders and Gas Cost Revenue'!V35+'Riders and Gas Cost Revenue'!V40</f>
        <v>-1</v>
      </c>
      <c r="N112" s="189">
        <f>'Riders and Gas Cost Revenue'!Y35+'Riders and Gas Cost Revenue'!Y40</f>
        <v>-4</v>
      </c>
      <c r="O112" s="189">
        <f>'Riders and Gas Cost Revenue'!AB35+'Riders and Gas Cost Revenue'!AB40</f>
        <v>-6</v>
      </c>
      <c r="P112" s="189">
        <f>'Riders and Gas Cost Revenue'!AE35+'Riders and Gas Cost Revenue'!AE40</f>
        <v>-4</v>
      </c>
      <c r="Q112" s="189">
        <f>'Riders and Gas Cost Revenue'!AH35+'Riders and Gas Cost Revenue'!AH40</f>
        <v>-4</v>
      </c>
      <c r="R112" s="189">
        <f>'Riders and Gas Cost Revenue'!AK35+'Riders and Gas Cost Revenue'!AK40</f>
        <v>-1</v>
      </c>
      <c r="S112" s="189">
        <f>'Riders and Gas Cost Revenue'!AN35+'Riders and Gas Cost Revenue'!AN40</f>
        <v>0</v>
      </c>
      <c r="T112" s="189">
        <f>'Riders and Gas Cost Revenue'!AQ35+'Riders and Gas Cost Revenue'!AQ40</f>
        <v>0</v>
      </c>
      <c r="U112" s="189">
        <f>'Riders and Gas Cost Revenue'!AT35+'Riders and Gas Cost Revenue'!AT40</f>
        <v>0</v>
      </c>
      <c r="V112" s="483"/>
    </row>
    <row r="113" spans="1:22" ht="12.75" thickBot="1">
      <c r="A113" s="30">
        <v>12</v>
      </c>
      <c r="B113" s="66" t="s">
        <v>253</v>
      </c>
      <c r="C113" s="66"/>
      <c r="D113" s="66"/>
      <c r="E113" s="66"/>
      <c r="F113" s="63">
        <f>SUM(F103:F112)</f>
        <v>32639</v>
      </c>
      <c r="G113" s="63">
        <f>SUM(G108:G112)</f>
        <v>16175</v>
      </c>
      <c r="H113" s="63">
        <f t="shared" ref="H113:S113" si="40">SUM(H108:H112)</f>
        <v>19511</v>
      </c>
      <c r="I113" s="63">
        <f t="shared" si="40"/>
        <v>20638</v>
      </c>
      <c r="J113" s="63">
        <f t="shared" si="40"/>
        <v>19814</v>
      </c>
      <c r="K113" s="63">
        <f t="shared" si="40"/>
        <v>20408</v>
      </c>
      <c r="L113" s="63">
        <f t="shared" si="40"/>
        <v>20306</v>
      </c>
      <c r="M113" s="63">
        <f t="shared" si="40"/>
        <v>20971</v>
      </c>
      <c r="N113" s="63">
        <f t="shared" si="40"/>
        <v>21575</v>
      </c>
      <c r="O113" s="63">
        <f t="shared" si="40"/>
        <v>24412</v>
      </c>
      <c r="P113" s="63">
        <f t="shared" si="40"/>
        <v>25880</v>
      </c>
      <c r="Q113" s="63">
        <f t="shared" si="40"/>
        <v>27715.852941999998</v>
      </c>
      <c r="R113" s="63">
        <f t="shared" si="40"/>
        <v>30641</v>
      </c>
      <c r="S113" s="63">
        <f t="shared" si="40"/>
        <v>30945</v>
      </c>
      <c r="T113" s="63">
        <f t="shared" ref="T113:U113" si="41">SUM(T108:T112)</f>
        <v>31354</v>
      </c>
      <c r="U113" s="63">
        <f t="shared" si="41"/>
        <v>34758</v>
      </c>
      <c r="V113" s="238"/>
    </row>
    <row r="114" spans="1:22" ht="12.75" thickTop="1">
      <c r="A114" s="30"/>
      <c r="D114" s="3" t="s">
        <v>244</v>
      </c>
      <c r="G114" s="115">
        <f>(G113-F113)/F113</f>
        <v>-0.50442721897116949</v>
      </c>
      <c r="H114" s="115">
        <f t="shared" ref="H114:S114" si="42">(H113-G113)/G113</f>
        <v>0.20624420401854715</v>
      </c>
      <c r="I114" s="115">
        <f t="shared" si="42"/>
        <v>5.7762287940136332E-2</v>
      </c>
      <c r="J114" s="115">
        <f t="shared" si="42"/>
        <v>-3.9926349452466321E-2</v>
      </c>
      <c r="K114" s="115">
        <f t="shared" si="42"/>
        <v>2.9978802866659937E-2</v>
      </c>
      <c r="L114" s="115">
        <f t="shared" si="42"/>
        <v>-4.9980399843198749E-3</v>
      </c>
      <c r="M114" s="115">
        <f t="shared" si="42"/>
        <v>3.2748941199645422E-2</v>
      </c>
      <c r="N114" s="115">
        <f t="shared" si="42"/>
        <v>2.8801678508416386E-2</v>
      </c>
      <c r="O114" s="115">
        <f t="shared" si="42"/>
        <v>0.13149478563151795</v>
      </c>
      <c r="P114" s="115">
        <f t="shared" si="42"/>
        <v>6.0134360150745532E-2</v>
      </c>
      <c r="Q114" s="115">
        <f t="shared" si="42"/>
        <v>7.093713068006173E-2</v>
      </c>
      <c r="R114" s="115">
        <f t="shared" si="42"/>
        <v>0.1055405750680434</v>
      </c>
      <c r="S114" s="115">
        <f t="shared" si="42"/>
        <v>9.9213472145164971E-3</v>
      </c>
      <c r="T114" s="115">
        <f>(T113-S113)/S113</f>
        <v>1.3216997899499112E-2</v>
      </c>
      <c r="U114" s="431">
        <f>(U113-T113)/T113</f>
        <v>0.10856669005549531</v>
      </c>
      <c r="V114" s="484"/>
    </row>
    <row r="115" spans="1:22" ht="4.5" customHeight="1">
      <c r="A115" s="30"/>
      <c r="E115" s="28"/>
      <c r="F115" s="29"/>
      <c r="G115" s="29"/>
      <c r="R115" s="4"/>
      <c r="S115" s="4"/>
      <c r="T115" s="4"/>
      <c r="U115" s="29"/>
      <c r="V115" s="238"/>
    </row>
    <row r="116" spans="1:22">
      <c r="A116" s="30"/>
      <c r="D116" s="210" t="s">
        <v>47</v>
      </c>
      <c r="R116" s="4"/>
      <c r="S116" s="4"/>
      <c r="T116" s="4"/>
      <c r="U116" s="29"/>
      <c r="V116" s="238"/>
    </row>
    <row r="117" spans="1:22">
      <c r="A117" s="30">
        <v>13</v>
      </c>
      <c r="C117" s="28" t="s">
        <v>16</v>
      </c>
      <c r="D117" s="210"/>
      <c r="E117" s="187" t="s">
        <v>245</v>
      </c>
      <c r="F117" s="209">
        <f>F26</f>
        <v>314</v>
      </c>
      <c r="G117" s="209">
        <f t="shared" ref="G117:R117" si="43">G26</f>
        <v>314</v>
      </c>
      <c r="H117" s="209">
        <f t="shared" si="43"/>
        <v>297</v>
      </c>
      <c r="I117" s="209">
        <f t="shared" si="43"/>
        <v>309</v>
      </c>
      <c r="J117" s="209">
        <f t="shared" si="43"/>
        <v>309</v>
      </c>
      <c r="K117" s="209">
        <f t="shared" si="43"/>
        <v>310</v>
      </c>
      <c r="L117" s="209">
        <f t="shared" si="43"/>
        <v>312</v>
      </c>
      <c r="M117" s="209">
        <f t="shared" si="43"/>
        <v>310</v>
      </c>
      <c r="N117" s="209">
        <f t="shared" si="43"/>
        <v>276</v>
      </c>
      <c r="O117" s="209">
        <f t="shared" si="43"/>
        <v>393</v>
      </c>
      <c r="P117" s="209">
        <f t="shared" si="43"/>
        <v>348</v>
      </c>
      <c r="Q117" s="209">
        <f t="shared" si="43"/>
        <v>395</v>
      </c>
      <c r="R117" s="209">
        <f t="shared" si="43"/>
        <v>438</v>
      </c>
      <c r="S117" s="209">
        <f>S26</f>
        <v>380</v>
      </c>
      <c r="T117" s="209">
        <f>T26</f>
        <v>402</v>
      </c>
      <c r="U117" s="76">
        <f>U26</f>
        <v>439</v>
      </c>
      <c r="V117" s="483"/>
    </row>
    <row r="118" spans="1:22">
      <c r="A118" s="30">
        <v>14</v>
      </c>
      <c r="C118" s="28" t="s">
        <v>19</v>
      </c>
      <c r="E118" s="187" t="s">
        <v>246</v>
      </c>
      <c r="F118" s="209">
        <f>F32</f>
        <v>4184</v>
      </c>
      <c r="G118" s="209">
        <f t="shared" ref="G118:R118" si="44">G32</f>
        <v>4390</v>
      </c>
      <c r="H118" s="209">
        <f t="shared" si="44"/>
        <v>4496</v>
      </c>
      <c r="I118" s="209">
        <f t="shared" si="44"/>
        <v>4707</v>
      </c>
      <c r="J118" s="209">
        <f t="shared" si="44"/>
        <v>4902</v>
      </c>
      <c r="K118" s="209">
        <f t="shared" si="44"/>
        <v>5088</v>
      </c>
      <c r="L118" s="209">
        <f t="shared" si="44"/>
        <v>5369</v>
      </c>
      <c r="M118" s="209">
        <f t="shared" si="44"/>
        <v>5605</v>
      </c>
      <c r="N118" s="209">
        <f t="shared" si="44"/>
        <v>5673</v>
      </c>
      <c r="O118" s="209">
        <f t="shared" si="44"/>
        <v>6064</v>
      </c>
      <c r="P118" s="209">
        <f t="shared" si="44"/>
        <v>6367</v>
      </c>
      <c r="Q118" s="209">
        <f t="shared" si="44"/>
        <v>6649</v>
      </c>
      <c r="R118" s="209">
        <f t="shared" si="44"/>
        <v>6978</v>
      </c>
      <c r="S118" s="209">
        <f>S32</f>
        <v>7925</v>
      </c>
      <c r="T118" s="209">
        <f>T32</f>
        <v>8513</v>
      </c>
      <c r="U118" s="76">
        <f>U32</f>
        <v>9088</v>
      </c>
      <c r="V118" s="483"/>
    </row>
    <row r="119" spans="1:22">
      <c r="A119" s="30">
        <v>15</v>
      </c>
      <c r="C119" s="3" t="s">
        <v>24</v>
      </c>
      <c r="E119" s="187" t="s">
        <v>247</v>
      </c>
      <c r="F119" s="209">
        <f>F42</f>
        <v>1027</v>
      </c>
      <c r="G119" s="209">
        <f t="shared" ref="G119:R119" si="45">G42</f>
        <v>1020</v>
      </c>
      <c r="H119" s="209">
        <f t="shared" si="45"/>
        <v>1275</v>
      </c>
      <c r="I119" s="209">
        <f t="shared" si="45"/>
        <v>1363</v>
      </c>
      <c r="J119" s="209">
        <f t="shared" si="45"/>
        <v>1180</v>
      </c>
      <c r="K119" s="209">
        <f t="shared" si="45"/>
        <v>1343</v>
      </c>
      <c r="L119" s="209">
        <f t="shared" si="45"/>
        <v>1282</v>
      </c>
      <c r="M119" s="209">
        <f t="shared" si="45"/>
        <v>1498</v>
      </c>
      <c r="N119" s="209">
        <f t="shared" si="45"/>
        <v>1803</v>
      </c>
      <c r="O119" s="209">
        <f t="shared" si="45"/>
        <v>1999</v>
      </c>
      <c r="P119" s="209">
        <f t="shared" si="45"/>
        <v>2412</v>
      </c>
      <c r="Q119" s="209">
        <f t="shared" si="45"/>
        <v>2734</v>
      </c>
      <c r="R119" s="209">
        <f t="shared" si="45"/>
        <v>3276</v>
      </c>
      <c r="S119" s="209">
        <f>S42</f>
        <v>3868</v>
      </c>
      <c r="T119" s="209">
        <f>T42</f>
        <v>4389</v>
      </c>
      <c r="U119" s="76">
        <f>U42</f>
        <v>5649</v>
      </c>
      <c r="V119" s="483"/>
    </row>
    <row r="120" spans="1:22" ht="12.75" thickBot="1">
      <c r="A120" s="30">
        <v>16</v>
      </c>
      <c r="B120" s="214" t="s">
        <v>243</v>
      </c>
      <c r="E120" s="187"/>
      <c r="F120" s="64">
        <f>SUM(F117:F119)</f>
        <v>5525</v>
      </c>
      <c r="G120" s="64">
        <f t="shared" ref="G120:R120" si="46">SUM(G117:G119)</f>
        <v>5724</v>
      </c>
      <c r="H120" s="64">
        <f t="shared" si="46"/>
        <v>6068</v>
      </c>
      <c r="I120" s="64">
        <f t="shared" si="46"/>
        <v>6379</v>
      </c>
      <c r="J120" s="64">
        <f t="shared" si="46"/>
        <v>6391</v>
      </c>
      <c r="K120" s="64">
        <f t="shared" si="46"/>
        <v>6741</v>
      </c>
      <c r="L120" s="64">
        <f t="shared" si="46"/>
        <v>6963</v>
      </c>
      <c r="M120" s="64">
        <f t="shared" si="46"/>
        <v>7413</v>
      </c>
      <c r="N120" s="64">
        <f t="shared" si="46"/>
        <v>7752</v>
      </c>
      <c r="O120" s="64">
        <f t="shared" si="46"/>
        <v>8456</v>
      </c>
      <c r="P120" s="64">
        <f t="shared" si="46"/>
        <v>9127</v>
      </c>
      <c r="Q120" s="64">
        <f t="shared" si="46"/>
        <v>9778</v>
      </c>
      <c r="R120" s="64">
        <f t="shared" si="46"/>
        <v>10692</v>
      </c>
      <c r="S120" s="64">
        <f>SUM(S117:S119)</f>
        <v>12173</v>
      </c>
      <c r="T120" s="64">
        <f>SUM(T117:T119)</f>
        <v>13304</v>
      </c>
      <c r="U120" s="63">
        <f>SUM(U117:U119)</f>
        <v>15176</v>
      </c>
      <c r="V120" s="238"/>
    </row>
    <row r="121" spans="1:22" ht="12.75" thickTop="1">
      <c r="A121" s="30"/>
      <c r="B121" s="210"/>
      <c r="D121" s="3" t="s">
        <v>244</v>
      </c>
      <c r="E121" s="187"/>
      <c r="F121" s="85"/>
      <c r="G121" s="115">
        <f>(G120-F120)/F120</f>
        <v>3.6018099547511312E-2</v>
      </c>
      <c r="H121" s="115">
        <f t="shared" ref="H121:U121" si="47">(H120-G120)/G120</f>
        <v>6.0097833682739341E-2</v>
      </c>
      <c r="I121" s="115">
        <f t="shared" si="47"/>
        <v>5.1252471984179301E-2</v>
      </c>
      <c r="J121" s="115">
        <f t="shared" si="47"/>
        <v>1.8811725975858284E-3</v>
      </c>
      <c r="K121" s="115">
        <f t="shared" si="47"/>
        <v>5.4764512595837894E-2</v>
      </c>
      <c r="L121" s="115">
        <f t="shared" si="47"/>
        <v>3.2932799287939477E-2</v>
      </c>
      <c r="M121" s="115">
        <f t="shared" si="47"/>
        <v>6.4627315812149935E-2</v>
      </c>
      <c r="N121" s="115">
        <f t="shared" si="47"/>
        <v>4.5730473492513156E-2</v>
      </c>
      <c r="O121" s="115">
        <f t="shared" si="47"/>
        <v>9.0815273477812181E-2</v>
      </c>
      <c r="P121" s="115">
        <f t="shared" si="47"/>
        <v>7.9351939451277206E-2</v>
      </c>
      <c r="Q121" s="115">
        <f t="shared" si="47"/>
        <v>7.1326832475073959E-2</v>
      </c>
      <c r="R121" s="115">
        <f t="shared" si="47"/>
        <v>9.3475148292084267E-2</v>
      </c>
      <c r="S121" s="115">
        <f t="shared" si="47"/>
        <v>0.1385147774036663</v>
      </c>
      <c r="T121" s="115">
        <f t="shared" si="47"/>
        <v>9.2910539719050361E-2</v>
      </c>
      <c r="U121" s="431">
        <f t="shared" si="47"/>
        <v>0.1407095610342754</v>
      </c>
      <c r="V121" s="484"/>
    </row>
    <row r="122" spans="1:22">
      <c r="A122" s="30"/>
      <c r="E122" s="187"/>
      <c r="F122" s="209"/>
      <c r="R122" s="4"/>
      <c r="S122" s="4"/>
      <c r="T122" s="4"/>
      <c r="U122" s="29"/>
      <c r="V122" s="238"/>
    </row>
    <row r="123" spans="1:22">
      <c r="A123" s="30"/>
      <c r="D123" s="3" t="s">
        <v>251</v>
      </c>
      <c r="E123" s="187"/>
      <c r="F123" s="209"/>
      <c r="R123" s="4"/>
      <c r="S123" s="4"/>
      <c r="T123" s="4"/>
      <c r="U123" s="29"/>
      <c r="V123" s="238"/>
    </row>
    <row r="124" spans="1:22">
      <c r="A124" s="30">
        <v>17</v>
      </c>
      <c r="B124" s="210" t="s">
        <v>52</v>
      </c>
      <c r="D124" s="210"/>
      <c r="E124" s="187" t="s">
        <v>248</v>
      </c>
      <c r="F124" s="209">
        <f>F43</f>
        <v>0</v>
      </c>
      <c r="G124" s="209">
        <f t="shared" ref="G124:R124" si="48">G43</f>
        <v>167</v>
      </c>
      <c r="H124" s="209">
        <f t="shared" si="48"/>
        <v>185</v>
      </c>
      <c r="I124" s="209">
        <f t="shared" si="48"/>
        <v>159</v>
      </c>
      <c r="J124" s="209">
        <f t="shared" si="48"/>
        <v>169</v>
      </c>
      <c r="K124" s="209">
        <f t="shared" si="48"/>
        <v>0</v>
      </c>
      <c r="L124" s="209">
        <f t="shared" si="48"/>
        <v>0</v>
      </c>
      <c r="M124" s="209">
        <f t="shared" si="48"/>
        <v>-815</v>
      </c>
      <c r="N124" s="209">
        <f t="shared" si="48"/>
        <v>-242</v>
      </c>
      <c r="O124" s="209">
        <f t="shared" si="48"/>
        <v>440</v>
      </c>
      <c r="P124" s="209">
        <f t="shared" si="48"/>
        <v>216</v>
      </c>
      <c r="Q124" s="209">
        <f t="shared" si="48"/>
        <v>-186</v>
      </c>
      <c r="R124" s="209">
        <f t="shared" si="48"/>
        <v>171</v>
      </c>
      <c r="S124" s="76">
        <f>S43</f>
        <v>91</v>
      </c>
      <c r="T124" s="76">
        <f>T43</f>
        <v>-91</v>
      </c>
      <c r="U124" s="76">
        <f>U43</f>
        <v>-2087</v>
      </c>
      <c r="V124" s="483"/>
    </row>
    <row r="125" spans="1:22">
      <c r="A125" s="30">
        <v>18</v>
      </c>
      <c r="B125" s="28"/>
      <c r="C125" s="28" t="str">
        <f>C112</f>
        <v>Deduct Decoupling Surcharge/Rebate Expenses</v>
      </c>
      <c r="F125" s="209">
        <f>-'Reg Amort and Other RB'!E22</f>
        <v>0</v>
      </c>
      <c r="G125" s="209">
        <f>-'Reg Amort and Other RB'!F22</f>
        <v>0</v>
      </c>
      <c r="H125" s="209">
        <f>-'Reg Amort and Other RB'!G22</f>
        <v>0</v>
      </c>
      <c r="I125" s="209">
        <f>-'Reg Amort and Other RB'!H22</f>
        <v>0</v>
      </c>
      <c r="J125" s="209">
        <f>-'Reg Amort and Other RB'!I22</f>
        <v>0</v>
      </c>
      <c r="K125" s="209">
        <f>-'Reg Amort and Other RB'!J22</f>
        <v>0</v>
      </c>
      <c r="L125" s="209">
        <f>-'Reg Amort and Other RB'!K22</f>
        <v>0</v>
      </c>
      <c r="M125" s="209">
        <f>-'Reg Amort and Other RB'!L22</f>
        <v>-85</v>
      </c>
      <c r="N125" s="209">
        <f>-'Reg Amort and Other RB'!M22</f>
        <v>-432</v>
      </c>
      <c r="O125" s="209">
        <f>-'Reg Amort and Other RB'!N22</f>
        <v>-710</v>
      </c>
      <c r="P125" s="209">
        <f>-'Reg Amort and Other RB'!O22</f>
        <v>-494</v>
      </c>
      <c r="Q125" s="209">
        <f>-'Reg Amort and Other RB'!P22</f>
        <v>-494</v>
      </c>
      <c r="R125" s="209">
        <f>-'Reg Amort and Other RB'!Q22</f>
        <v>-184</v>
      </c>
      <c r="S125" s="76">
        <f>-'Reg Amort and Other RB'!R22</f>
        <v>0</v>
      </c>
      <c r="T125" s="76">
        <f>-'Reg Amort and Other RB'!S22</f>
        <v>0</v>
      </c>
      <c r="U125" s="76">
        <f>-'Reg Amort and Other RB'!T22</f>
        <v>0</v>
      </c>
      <c r="V125" s="483"/>
    </row>
    <row r="126" spans="1:22" ht="12.75" thickBot="1">
      <c r="A126" s="30">
        <v>19</v>
      </c>
      <c r="B126" s="66" t="s">
        <v>252</v>
      </c>
      <c r="C126" s="66"/>
      <c r="D126" s="67"/>
      <c r="E126" s="67"/>
      <c r="F126" s="64">
        <f t="shared" ref="F126:R126" si="49">SUM(F124:F125)</f>
        <v>0</v>
      </c>
      <c r="G126" s="64">
        <f t="shared" si="49"/>
        <v>167</v>
      </c>
      <c r="H126" s="64">
        <f t="shared" si="49"/>
        <v>185</v>
      </c>
      <c r="I126" s="64">
        <f t="shared" si="49"/>
        <v>159</v>
      </c>
      <c r="J126" s="64">
        <f t="shared" si="49"/>
        <v>169</v>
      </c>
      <c r="K126" s="64">
        <f t="shared" si="49"/>
        <v>0</v>
      </c>
      <c r="L126" s="64">
        <f t="shared" si="49"/>
        <v>0</v>
      </c>
      <c r="M126" s="64">
        <f t="shared" si="49"/>
        <v>-900</v>
      </c>
      <c r="N126" s="64">
        <f t="shared" si="49"/>
        <v>-674</v>
      </c>
      <c r="O126" s="64">
        <f t="shared" si="49"/>
        <v>-270</v>
      </c>
      <c r="P126" s="64">
        <f t="shared" si="49"/>
        <v>-278</v>
      </c>
      <c r="Q126" s="64">
        <f t="shared" si="49"/>
        <v>-680</v>
      </c>
      <c r="R126" s="64">
        <f t="shared" si="49"/>
        <v>-13</v>
      </c>
      <c r="S126" s="63">
        <f>SUM(S124:S125)</f>
        <v>91</v>
      </c>
      <c r="T126" s="63">
        <f>SUM(T124:T125)</f>
        <v>-91</v>
      </c>
      <c r="U126" s="63">
        <f>SUM(U124:U125)</f>
        <v>-2087</v>
      </c>
      <c r="V126" s="238"/>
    </row>
    <row r="127" spans="1:22" ht="3" customHeight="1" thickTop="1">
      <c r="A127" s="30"/>
      <c r="R127" s="4"/>
      <c r="S127" s="4"/>
      <c r="T127" s="4"/>
      <c r="U127" s="29"/>
      <c r="V127" s="238"/>
    </row>
    <row r="128" spans="1:22">
      <c r="A128" s="30"/>
      <c r="D128" s="3" t="s">
        <v>258</v>
      </c>
      <c r="R128" s="4"/>
      <c r="S128" s="4"/>
      <c r="T128" s="4"/>
      <c r="U128" s="29"/>
      <c r="V128" s="238"/>
    </row>
    <row r="129" spans="1:22">
      <c r="A129" s="30">
        <v>20</v>
      </c>
      <c r="C129" s="28" t="s">
        <v>16</v>
      </c>
      <c r="D129" s="210"/>
      <c r="E129" s="187" t="s">
        <v>260</v>
      </c>
      <c r="F129" s="209">
        <f>F27</f>
        <v>111</v>
      </c>
      <c r="G129" s="209">
        <f t="shared" ref="G129:R129" si="50">G27</f>
        <v>108</v>
      </c>
      <c r="H129" s="209">
        <f t="shared" si="50"/>
        <v>120</v>
      </c>
      <c r="I129" s="209">
        <f t="shared" si="50"/>
        <v>118</v>
      </c>
      <c r="J129" s="209">
        <f t="shared" si="50"/>
        <v>120</v>
      </c>
      <c r="K129" s="209">
        <f t="shared" si="50"/>
        <v>115</v>
      </c>
      <c r="L129" s="209">
        <f t="shared" si="50"/>
        <v>122</v>
      </c>
      <c r="M129" s="209">
        <f t="shared" si="50"/>
        <v>95</v>
      </c>
      <c r="N129" s="209">
        <f t="shared" si="50"/>
        <v>113</v>
      </c>
      <c r="O129" s="209">
        <f t="shared" si="50"/>
        <v>121</v>
      </c>
      <c r="P129" s="209">
        <f t="shared" si="50"/>
        <v>116</v>
      </c>
      <c r="Q129" s="209">
        <f t="shared" si="50"/>
        <v>19</v>
      </c>
      <c r="R129" s="209">
        <f t="shared" si="50"/>
        <v>17</v>
      </c>
      <c r="S129" s="209">
        <f>S27</f>
        <v>158</v>
      </c>
      <c r="T129" s="209">
        <f>T27</f>
        <v>184</v>
      </c>
      <c r="U129" s="76">
        <f>U27</f>
        <v>196</v>
      </c>
      <c r="V129" s="483"/>
    </row>
    <row r="130" spans="1:22">
      <c r="A130" s="30">
        <v>21</v>
      </c>
      <c r="C130" s="28" t="s">
        <v>19</v>
      </c>
      <c r="E130" s="187" t="s">
        <v>261</v>
      </c>
      <c r="F130" s="209">
        <f>F33</f>
        <v>4919</v>
      </c>
      <c r="G130" s="209">
        <f t="shared" ref="G130:R130" si="51">G33</f>
        <v>7315</v>
      </c>
      <c r="H130" s="209">
        <f t="shared" si="51"/>
        <v>8070</v>
      </c>
      <c r="I130" s="209">
        <f t="shared" si="51"/>
        <v>7205</v>
      </c>
      <c r="J130" s="209">
        <f t="shared" si="51"/>
        <v>8213</v>
      </c>
      <c r="K130" s="209">
        <f t="shared" si="51"/>
        <v>8573</v>
      </c>
      <c r="L130" s="209">
        <f t="shared" si="51"/>
        <v>9457</v>
      </c>
      <c r="M130" s="209">
        <f t="shared" si="51"/>
        <v>9844</v>
      </c>
      <c r="N130" s="209">
        <f t="shared" si="51"/>
        <v>8941</v>
      </c>
      <c r="O130" s="209">
        <f t="shared" si="51"/>
        <v>8746</v>
      </c>
      <c r="P130" s="209">
        <f t="shared" si="51"/>
        <v>7223</v>
      </c>
      <c r="Q130" s="209">
        <f t="shared" si="51"/>
        <v>8050.6743270000006</v>
      </c>
      <c r="R130" s="209">
        <f t="shared" si="51"/>
        <v>7825</v>
      </c>
      <c r="S130" s="209">
        <f>S33</f>
        <v>8116</v>
      </c>
      <c r="T130" s="209">
        <f>T33</f>
        <v>8719</v>
      </c>
      <c r="U130" s="76">
        <f>U33</f>
        <v>8554</v>
      </c>
      <c r="V130" s="483"/>
    </row>
    <row r="131" spans="1:22">
      <c r="A131" s="30">
        <v>22</v>
      </c>
      <c r="C131" s="3" t="s">
        <v>24</v>
      </c>
      <c r="E131" s="187" t="s">
        <v>262</v>
      </c>
      <c r="F131" s="209">
        <f>F44</f>
        <v>22</v>
      </c>
      <c r="G131" s="209">
        <f t="shared" ref="G131:R131" si="52">G44</f>
        <v>21</v>
      </c>
      <c r="H131" s="209">
        <f t="shared" si="52"/>
        <v>23</v>
      </c>
      <c r="I131" s="209">
        <f t="shared" si="52"/>
        <v>24</v>
      </c>
      <c r="J131" s="209">
        <f t="shared" si="52"/>
        <v>24</v>
      </c>
      <c r="K131" s="209">
        <f t="shared" si="52"/>
        <v>23</v>
      </c>
      <c r="L131" s="209">
        <f t="shared" si="52"/>
        <v>24</v>
      </c>
      <c r="M131" s="209">
        <f t="shared" si="52"/>
        <v>20</v>
      </c>
      <c r="N131" s="209">
        <f t="shared" si="52"/>
        <v>17</v>
      </c>
      <c r="O131" s="209">
        <f t="shared" si="52"/>
        <v>19</v>
      </c>
      <c r="P131" s="209">
        <f t="shared" si="52"/>
        <v>24</v>
      </c>
      <c r="Q131" s="209">
        <f t="shared" si="52"/>
        <v>0</v>
      </c>
      <c r="R131" s="209">
        <f t="shared" si="52"/>
        <v>-1</v>
      </c>
      <c r="S131" s="209">
        <f>S44</f>
        <v>0</v>
      </c>
      <c r="T131" s="209">
        <f>T44</f>
        <v>0</v>
      </c>
      <c r="U131" s="76">
        <f>U44</f>
        <v>0</v>
      </c>
      <c r="V131" s="483"/>
    </row>
    <row r="132" spans="1:22">
      <c r="A132" s="30">
        <v>23</v>
      </c>
      <c r="B132" s="3" t="s">
        <v>263</v>
      </c>
      <c r="F132" s="208">
        <f>F27+F33+F44</f>
        <v>5052</v>
      </c>
      <c r="G132" s="208">
        <f t="shared" ref="G132:R132" si="53">G27+G33+G44</f>
        <v>7444</v>
      </c>
      <c r="H132" s="208">
        <f t="shared" si="53"/>
        <v>8213</v>
      </c>
      <c r="I132" s="208">
        <f t="shared" si="53"/>
        <v>7347</v>
      </c>
      <c r="J132" s="208">
        <f t="shared" si="53"/>
        <v>8357</v>
      </c>
      <c r="K132" s="208">
        <f t="shared" si="53"/>
        <v>8711</v>
      </c>
      <c r="L132" s="208">
        <f t="shared" si="53"/>
        <v>9603</v>
      </c>
      <c r="M132" s="208">
        <f t="shared" si="53"/>
        <v>9959</v>
      </c>
      <c r="N132" s="208">
        <f t="shared" si="53"/>
        <v>9071</v>
      </c>
      <c r="O132" s="208">
        <f t="shared" si="53"/>
        <v>8886</v>
      </c>
      <c r="P132" s="208">
        <f t="shared" si="53"/>
        <v>7363</v>
      </c>
      <c r="Q132" s="208">
        <f t="shared" si="53"/>
        <v>8069.6743270000006</v>
      </c>
      <c r="R132" s="208">
        <f t="shared" si="53"/>
        <v>7841</v>
      </c>
      <c r="S132" s="208">
        <f>S27+S33+S44</f>
        <v>8274</v>
      </c>
      <c r="T132" s="208">
        <f>T27+T33+T44</f>
        <v>8903</v>
      </c>
      <c r="U132" s="188">
        <f>U27+U33+U44</f>
        <v>8750</v>
      </c>
      <c r="V132" s="483"/>
    </row>
    <row r="133" spans="1:22">
      <c r="A133" s="30">
        <v>24</v>
      </c>
      <c r="B133" s="28"/>
      <c r="C133" s="28" t="s">
        <v>265</v>
      </c>
      <c r="F133" s="76">
        <f>'Riders and Gas Cost Revenue'!H32</f>
        <v>-2304</v>
      </c>
      <c r="G133" s="76">
        <f>'Riders and Gas Cost Revenue'!J32</f>
        <v>-4287</v>
      </c>
      <c r="H133" s="76">
        <f>'Riders and Gas Cost Revenue'!L32</f>
        <v>-4425</v>
      </c>
      <c r="I133" s="76">
        <f>'Riders and Gas Cost Revenue'!N32</f>
        <v>-3899</v>
      </c>
      <c r="J133" s="76">
        <f>'Riders and Gas Cost Revenue'!P32</f>
        <v>-4592</v>
      </c>
      <c r="K133" s="76">
        <f>'Riders and Gas Cost Revenue'!R32</f>
        <v>-5240</v>
      </c>
      <c r="L133" s="76">
        <f>'Riders and Gas Cost Revenue'!T32</f>
        <v>-6014</v>
      </c>
      <c r="M133" s="76">
        <f>'Riders and Gas Cost Revenue'!W32</f>
        <v>-6261</v>
      </c>
      <c r="N133" s="76">
        <f>'Riders and Gas Cost Revenue'!Z32</f>
        <v>-5917</v>
      </c>
      <c r="O133" s="76">
        <f>'Riders and Gas Cost Revenue'!AC32</f>
        <v>-4858</v>
      </c>
      <c r="P133" s="76">
        <f>'Riders and Gas Cost Revenue'!AF32</f>
        <v>-3171</v>
      </c>
      <c r="Q133" s="76">
        <f>'Riders and Gas Cost Revenue'!AI32</f>
        <v>-3374</v>
      </c>
      <c r="R133" s="76">
        <f>'Riders and Gas Cost Revenue'!AL32</f>
        <v>-3003</v>
      </c>
      <c r="S133" s="76">
        <f>'Riders and Gas Cost Revenue'!AO32</f>
        <v>-3083</v>
      </c>
      <c r="T133" s="76">
        <f>'Riders and Gas Cost Revenue'!AR32</f>
        <v>-3380</v>
      </c>
      <c r="U133" s="76">
        <f>'Riders and Gas Cost Revenue'!AU32</f>
        <v>-3197</v>
      </c>
      <c r="V133" s="483"/>
    </row>
    <row r="134" spans="1:22">
      <c r="A134" s="30">
        <v>25</v>
      </c>
      <c r="C134" s="3" t="s">
        <v>264</v>
      </c>
      <c r="F134" s="209">
        <f>'Riders and Gas Cost Revenue'!G32</f>
        <v>0</v>
      </c>
      <c r="G134" s="209">
        <f>'Riders and Gas Cost Revenue'!I32</f>
        <v>-38</v>
      </c>
      <c r="H134" s="209">
        <f>'Riders and Gas Cost Revenue'!K32</f>
        <v>-68</v>
      </c>
      <c r="I134" s="209">
        <f>'Riders and Gas Cost Revenue'!M32</f>
        <v>-81</v>
      </c>
      <c r="J134" s="209">
        <f>'Riders and Gas Cost Revenue'!O32</f>
        <v>0</v>
      </c>
      <c r="K134" s="209">
        <f>'Riders and Gas Cost Revenue'!Q32</f>
        <v>-114</v>
      </c>
      <c r="L134" s="209">
        <f>'Riders and Gas Cost Revenue'!S32</f>
        <v>0</v>
      </c>
      <c r="M134" s="209">
        <f>'Riders and Gas Cost Revenue'!U32</f>
        <v>-154</v>
      </c>
      <c r="N134" s="209">
        <f>'Riders and Gas Cost Revenue'!X32</f>
        <v>-176</v>
      </c>
      <c r="O134" s="209">
        <f>'Riders and Gas Cost Revenue'!AA32</f>
        <v>-272</v>
      </c>
      <c r="P134" s="209">
        <f>'Riders and Gas Cost Revenue'!AD32</f>
        <v>-338</v>
      </c>
      <c r="Q134" s="209">
        <f>'Riders and Gas Cost Revenue'!AG32</f>
        <v>-359</v>
      </c>
      <c r="R134" s="209">
        <f>'Riders and Gas Cost Revenue'!AJ32</f>
        <v>-239</v>
      </c>
      <c r="S134" s="209">
        <f>'Riders and Gas Cost Revenue'!AM32</f>
        <v>0</v>
      </c>
      <c r="T134" s="209">
        <f>'Riders and Gas Cost Revenue'!AP32</f>
        <v>0</v>
      </c>
      <c r="U134" s="76">
        <f>'Riders and Gas Cost Revenue'!AS32</f>
        <v>0</v>
      </c>
      <c r="V134" s="483"/>
    </row>
    <row r="135" spans="1:22">
      <c r="A135" s="30">
        <v>26</v>
      </c>
      <c r="C135" s="3" t="s">
        <v>266</v>
      </c>
      <c r="F135" s="207">
        <v>0</v>
      </c>
      <c r="G135" s="207">
        <v>0</v>
      </c>
      <c r="H135" s="207">
        <v>0</v>
      </c>
      <c r="I135" s="207">
        <v>0</v>
      </c>
      <c r="J135" s="207">
        <v>0</v>
      </c>
      <c r="K135" s="207">
        <v>0</v>
      </c>
      <c r="L135" s="207">
        <v>0</v>
      </c>
      <c r="M135" s="207">
        <f>'Riders and Gas Cost Revenue'!V32</f>
        <v>-3</v>
      </c>
      <c r="N135" s="207">
        <f>'Riders and Gas Cost Revenue'!Y32</f>
        <v>-17</v>
      </c>
      <c r="O135" s="207">
        <f>'Riders and Gas Cost Revenue'!AB32</f>
        <v>-28</v>
      </c>
      <c r="P135" s="207">
        <f>'Riders and Gas Cost Revenue'!AE32</f>
        <v>-20</v>
      </c>
      <c r="Q135" s="207">
        <f>'Riders and Gas Cost Revenue'!AH32</f>
        <v>-20</v>
      </c>
      <c r="R135" s="207">
        <f>'Riders and Gas Cost Revenue'!AK32</f>
        <v>-7</v>
      </c>
      <c r="S135" s="207">
        <f>'Riders and Gas Cost Revenue'!AN32</f>
        <v>0</v>
      </c>
      <c r="T135" s="207">
        <f>'Riders and Gas Cost Revenue'!AQ32</f>
        <v>0</v>
      </c>
      <c r="U135" s="189">
        <f>'Riders and Gas Cost Revenue'!AT32</f>
        <v>0</v>
      </c>
      <c r="V135" s="483"/>
    </row>
    <row r="136" spans="1:22" ht="12.75" thickBot="1">
      <c r="A136" s="30">
        <v>27</v>
      </c>
      <c r="B136" s="67" t="s">
        <v>259</v>
      </c>
      <c r="C136" s="67"/>
      <c r="D136" s="67"/>
      <c r="E136" s="67"/>
      <c r="F136" s="64">
        <f>SUM(F132:F135)</f>
        <v>2748</v>
      </c>
      <c r="G136" s="64">
        <f t="shared" ref="G136:L136" si="54">SUM(G132:G135)</f>
        <v>3119</v>
      </c>
      <c r="H136" s="64">
        <f t="shared" si="54"/>
        <v>3720</v>
      </c>
      <c r="I136" s="64">
        <f t="shared" si="54"/>
        <v>3367</v>
      </c>
      <c r="J136" s="64">
        <f t="shared" si="54"/>
        <v>3765</v>
      </c>
      <c r="K136" s="64">
        <f t="shared" si="54"/>
        <v>3357</v>
      </c>
      <c r="L136" s="64">
        <f t="shared" si="54"/>
        <v>3589</v>
      </c>
      <c r="M136" s="64">
        <f t="shared" ref="M136:S136" si="55">SUM(M132:M135)</f>
        <v>3541</v>
      </c>
      <c r="N136" s="64">
        <f t="shared" si="55"/>
        <v>2961</v>
      </c>
      <c r="O136" s="64">
        <f t="shared" si="55"/>
        <v>3728</v>
      </c>
      <c r="P136" s="64">
        <f t="shared" si="55"/>
        <v>3834</v>
      </c>
      <c r="Q136" s="64">
        <f t="shared" si="55"/>
        <v>4316.6743270000006</v>
      </c>
      <c r="R136" s="64">
        <f t="shared" si="55"/>
        <v>4592</v>
      </c>
      <c r="S136" s="64">
        <f t="shared" si="55"/>
        <v>5191</v>
      </c>
      <c r="T136" s="64">
        <f t="shared" ref="T136:U136" si="56">SUM(T132:T135)</f>
        <v>5523</v>
      </c>
      <c r="U136" s="63">
        <f t="shared" si="56"/>
        <v>5553</v>
      </c>
      <c r="V136" s="238"/>
    </row>
    <row r="137" spans="1:22" ht="12.75" thickTop="1">
      <c r="A137" s="136"/>
      <c r="B137" s="67"/>
      <c r="C137" s="67"/>
      <c r="D137" s="3" t="s">
        <v>244</v>
      </c>
      <c r="E137" s="67"/>
      <c r="F137" s="85"/>
      <c r="G137" s="115">
        <f>(G136-F136)/F136</f>
        <v>0.13500727802037846</v>
      </c>
      <c r="H137" s="115">
        <f t="shared" ref="H137:U137" si="57">(H136-G136)/G136</f>
        <v>0.192689964732286</v>
      </c>
      <c r="I137" s="115">
        <f t="shared" si="57"/>
        <v>-9.4892473118279572E-2</v>
      </c>
      <c r="J137" s="115">
        <f t="shared" si="57"/>
        <v>0.1182061182061182</v>
      </c>
      <c r="K137" s="115">
        <f t="shared" si="57"/>
        <v>-0.10836653386454183</v>
      </c>
      <c r="L137" s="115">
        <f t="shared" si="57"/>
        <v>6.9109323801012812E-2</v>
      </c>
      <c r="M137" s="115">
        <f t="shared" si="57"/>
        <v>-1.337419894120925E-2</v>
      </c>
      <c r="N137" s="115">
        <f t="shared" si="57"/>
        <v>-0.16379553798362045</v>
      </c>
      <c r="O137" s="115">
        <f t="shared" si="57"/>
        <v>0.25903411009793986</v>
      </c>
      <c r="P137" s="115">
        <f t="shared" si="57"/>
        <v>2.8433476394849784E-2</v>
      </c>
      <c r="Q137" s="115">
        <f t="shared" si="57"/>
        <v>0.12589314736567569</v>
      </c>
      <c r="R137" s="115">
        <f t="shared" si="57"/>
        <v>6.3781896002181149E-2</v>
      </c>
      <c r="S137" s="115">
        <f t="shared" si="57"/>
        <v>0.13044425087108014</v>
      </c>
      <c r="T137" s="115">
        <f t="shared" si="57"/>
        <v>6.3956848391446733E-2</v>
      </c>
      <c r="U137" s="431">
        <f t="shared" si="57"/>
        <v>5.4318305268875608E-3</v>
      </c>
      <c r="V137" s="484"/>
    </row>
    <row r="138" spans="1:22">
      <c r="A138" s="136"/>
      <c r="B138" s="67"/>
      <c r="C138" s="67"/>
      <c r="E138" s="67"/>
      <c r="F138" s="85"/>
      <c r="G138" s="115"/>
      <c r="H138" s="115"/>
      <c r="I138" s="115"/>
      <c r="J138" s="115"/>
      <c r="K138" s="115"/>
      <c r="L138" s="115"/>
      <c r="M138" s="115"/>
      <c r="N138" s="115"/>
      <c r="O138" s="115"/>
      <c r="P138" s="115"/>
      <c r="Q138" s="115"/>
      <c r="R138" s="115"/>
      <c r="S138" s="115"/>
      <c r="T138" s="115"/>
      <c r="U138" s="431"/>
      <c r="V138" s="484"/>
    </row>
    <row r="139" spans="1:22" ht="12.75" thickBot="1">
      <c r="A139" s="30">
        <v>28</v>
      </c>
      <c r="B139" s="67" t="s">
        <v>267</v>
      </c>
      <c r="C139" s="67"/>
      <c r="E139" s="187" t="s">
        <v>268</v>
      </c>
      <c r="F139" s="64">
        <f>F84</f>
        <v>124885</v>
      </c>
      <c r="G139" s="64">
        <f t="shared" ref="G139:R139" si="58">G84</f>
        <v>129500</v>
      </c>
      <c r="H139" s="64">
        <f t="shared" si="58"/>
        <v>129740</v>
      </c>
      <c r="I139" s="64">
        <f t="shared" si="58"/>
        <v>125044</v>
      </c>
      <c r="J139" s="64">
        <f t="shared" si="58"/>
        <v>124950</v>
      </c>
      <c r="K139" s="64">
        <f t="shared" si="58"/>
        <v>132617</v>
      </c>
      <c r="L139" s="64">
        <f t="shared" si="58"/>
        <v>140789</v>
      </c>
      <c r="M139" s="64">
        <f t="shared" si="58"/>
        <v>145500</v>
      </c>
      <c r="N139" s="64">
        <f t="shared" si="58"/>
        <v>154054</v>
      </c>
      <c r="O139" s="64">
        <f t="shared" si="58"/>
        <v>173806</v>
      </c>
      <c r="P139" s="64">
        <f t="shared" si="58"/>
        <v>177901</v>
      </c>
      <c r="Q139" s="64">
        <f t="shared" si="58"/>
        <v>183553</v>
      </c>
      <c r="R139" s="64">
        <f t="shared" si="58"/>
        <v>195287</v>
      </c>
      <c r="S139" s="64">
        <f>S84</f>
        <v>207759</v>
      </c>
      <c r="T139" s="64">
        <f>T84</f>
        <v>225901</v>
      </c>
      <c r="U139" s="63">
        <f>U84</f>
        <v>244647</v>
      </c>
      <c r="V139" s="238"/>
    </row>
    <row r="140" spans="1:22" ht="12.75" thickTop="1">
      <c r="A140" s="136"/>
      <c r="B140" s="67"/>
      <c r="C140" s="67"/>
      <c r="D140" s="3" t="s">
        <v>244</v>
      </c>
      <c r="E140" s="67"/>
      <c r="F140" s="85"/>
      <c r="G140" s="115">
        <f>(G139-F139)/F139</f>
        <v>3.6953997677863636E-2</v>
      </c>
      <c r="H140" s="115">
        <f t="shared" ref="H140:U140" si="59">(H139-G139)/G139</f>
        <v>1.8532818532818532E-3</v>
      </c>
      <c r="I140" s="115">
        <f t="shared" si="59"/>
        <v>-3.619546785879451E-2</v>
      </c>
      <c r="J140" s="115">
        <f t="shared" si="59"/>
        <v>-7.5173538914302164E-4</v>
      </c>
      <c r="K140" s="115">
        <f t="shared" si="59"/>
        <v>6.1360544217687073E-2</v>
      </c>
      <c r="L140" s="115">
        <f t="shared" si="59"/>
        <v>6.1621059140230888E-2</v>
      </c>
      <c r="M140" s="115">
        <f t="shared" si="59"/>
        <v>3.3461420991696793E-2</v>
      </c>
      <c r="N140" s="115">
        <f t="shared" si="59"/>
        <v>5.8790378006872854E-2</v>
      </c>
      <c r="O140" s="115">
        <f t="shared" si="59"/>
        <v>0.12821478182974802</v>
      </c>
      <c r="P140" s="115">
        <f t="shared" si="59"/>
        <v>2.3560751642636043E-2</v>
      </c>
      <c r="Q140" s="115">
        <f t="shared" si="59"/>
        <v>3.177047908668304E-2</v>
      </c>
      <c r="R140" s="115">
        <f t="shared" si="59"/>
        <v>6.3927040146442723E-2</v>
      </c>
      <c r="S140" s="115">
        <f t="shared" si="59"/>
        <v>6.3864978211555304E-2</v>
      </c>
      <c r="T140" s="115">
        <f t="shared" si="59"/>
        <v>8.7322330199895076E-2</v>
      </c>
      <c r="U140" s="431">
        <f t="shared" si="59"/>
        <v>8.2983253726189796E-2</v>
      </c>
      <c r="V140" s="484"/>
    </row>
    <row r="141" spans="1:22">
      <c r="A141" s="136"/>
      <c r="B141" s="67"/>
      <c r="C141" s="67"/>
      <c r="E141" s="67"/>
      <c r="F141" s="85"/>
      <c r="G141" s="115"/>
      <c r="H141" s="115"/>
      <c r="I141" s="115"/>
      <c r="J141" s="115"/>
      <c r="K141" s="115"/>
      <c r="L141" s="115"/>
      <c r="M141" s="115"/>
      <c r="N141" s="115"/>
      <c r="O141" s="115"/>
      <c r="P141" s="115"/>
      <c r="Q141" s="115"/>
      <c r="R141" s="115"/>
      <c r="S141" s="115"/>
      <c r="T141" s="115"/>
      <c r="U141" s="431"/>
      <c r="V141" s="484"/>
    </row>
    <row r="142" spans="1:22" ht="12.75" thickBot="1">
      <c r="A142" s="30">
        <v>29</v>
      </c>
      <c r="B142" s="67" t="s">
        <v>269</v>
      </c>
      <c r="C142" s="67"/>
      <c r="E142" s="187" t="s">
        <v>270</v>
      </c>
      <c r="F142" s="64">
        <f>F91</f>
        <v>130920</v>
      </c>
      <c r="G142" s="64">
        <f t="shared" ref="G142:R142" si="60">G91</f>
        <v>135524</v>
      </c>
      <c r="H142" s="64">
        <f t="shared" si="60"/>
        <v>136362</v>
      </c>
      <c r="I142" s="64">
        <f t="shared" si="60"/>
        <v>131627</v>
      </c>
      <c r="J142" s="64">
        <f t="shared" si="60"/>
        <v>130718</v>
      </c>
      <c r="K142" s="64">
        <f t="shared" si="60"/>
        <v>140796</v>
      </c>
      <c r="L142" s="64">
        <f t="shared" si="60"/>
        <v>149362</v>
      </c>
      <c r="M142" s="64">
        <f t="shared" si="60"/>
        <v>151699</v>
      </c>
      <c r="N142" s="64">
        <f t="shared" si="60"/>
        <v>169681</v>
      </c>
      <c r="O142" s="64">
        <f t="shared" si="60"/>
        <v>180778</v>
      </c>
      <c r="P142" s="64">
        <f t="shared" si="60"/>
        <v>186920</v>
      </c>
      <c r="Q142" s="64">
        <f t="shared" si="60"/>
        <v>196280</v>
      </c>
      <c r="R142" s="64">
        <f t="shared" si="60"/>
        <v>207578</v>
      </c>
      <c r="S142" s="64">
        <f>S91</f>
        <v>224824</v>
      </c>
      <c r="T142" s="64">
        <f>T91</f>
        <v>250257</v>
      </c>
      <c r="U142" s="63">
        <f>U91</f>
        <v>272971</v>
      </c>
      <c r="V142" s="238"/>
    </row>
    <row r="143" spans="1:22" ht="12.75" thickTop="1">
      <c r="A143" s="136"/>
      <c r="B143" s="67"/>
      <c r="C143" s="67"/>
      <c r="E143" s="67"/>
      <c r="F143" s="85"/>
      <c r="G143" s="115">
        <f>(G142-F142)/F142</f>
        <v>3.516651390161931E-2</v>
      </c>
      <c r="H143" s="115">
        <f t="shared" ref="H143:U143" si="61">(H142-G142)/G142</f>
        <v>6.1834066290841474E-3</v>
      </c>
      <c r="I143" s="115">
        <f t="shared" si="61"/>
        <v>-3.4723750018333555E-2</v>
      </c>
      <c r="J143" s="115">
        <f t="shared" si="61"/>
        <v>-6.9058779733641275E-3</v>
      </c>
      <c r="K143" s="115">
        <f t="shared" si="61"/>
        <v>7.709726281001851E-2</v>
      </c>
      <c r="L143" s="115">
        <f t="shared" si="61"/>
        <v>6.0839796585130258E-2</v>
      </c>
      <c r="M143" s="115">
        <f t="shared" si="61"/>
        <v>1.5646549992635341E-2</v>
      </c>
      <c r="N143" s="115">
        <f t="shared" si="61"/>
        <v>0.11853736675917442</v>
      </c>
      <c r="O143" s="115">
        <f t="shared" si="61"/>
        <v>6.5399190245224864E-2</v>
      </c>
      <c r="P143" s="115">
        <f t="shared" si="61"/>
        <v>3.3975373109559795E-2</v>
      </c>
      <c r="Q143" s="115">
        <f t="shared" si="61"/>
        <v>5.0074898352236254E-2</v>
      </c>
      <c r="R143" s="115">
        <f t="shared" si="61"/>
        <v>5.7560627674750356E-2</v>
      </c>
      <c r="S143" s="115">
        <f t="shared" si="61"/>
        <v>8.3082022179614412E-2</v>
      </c>
      <c r="T143" s="115">
        <f t="shared" si="61"/>
        <v>0.11312404369640251</v>
      </c>
      <c r="U143" s="431">
        <f t="shared" si="61"/>
        <v>9.076269594856487E-2</v>
      </c>
      <c r="V143" s="484"/>
    </row>
    <row r="144" spans="1:22" ht="3" customHeight="1">
      <c r="A144" s="136"/>
      <c r="B144" s="67"/>
      <c r="C144" s="67"/>
      <c r="E144" s="67"/>
      <c r="F144" s="85"/>
      <c r="G144" s="115"/>
      <c r="H144" s="115"/>
      <c r="I144" s="115"/>
      <c r="J144" s="115"/>
      <c r="K144" s="115"/>
      <c r="L144" s="115"/>
      <c r="M144" s="115"/>
      <c r="N144" s="115"/>
      <c r="O144" s="115"/>
      <c r="P144" s="115"/>
      <c r="Q144" s="115"/>
      <c r="R144" s="115"/>
      <c r="S144" s="115"/>
      <c r="T144" s="115"/>
      <c r="U144" s="431"/>
      <c r="V144" s="484"/>
    </row>
    <row r="145" spans="1:22">
      <c r="A145" s="136"/>
      <c r="B145" s="67"/>
      <c r="C145" s="67"/>
      <c r="D145" s="3" t="s">
        <v>273</v>
      </c>
      <c r="E145" s="67"/>
      <c r="F145" s="85"/>
      <c r="G145" s="85"/>
      <c r="H145" s="85"/>
      <c r="I145" s="85"/>
      <c r="J145" s="85"/>
      <c r="K145" s="85"/>
      <c r="L145" s="85"/>
      <c r="M145" s="85"/>
      <c r="N145" s="85"/>
      <c r="O145" s="85"/>
      <c r="P145" s="85"/>
      <c r="Q145" s="85"/>
      <c r="R145" s="85"/>
      <c r="S145" s="85"/>
      <c r="T145" s="85"/>
      <c r="U145" s="238"/>
      <c r="V145" s="238"/>
    </row>
    <row r="146" spans="1:22">
      <c r="A146" s="30">
        <v>30</v>
      </c>
      <c r="B146" s="3" t="s">
        <v>275</v>
      </c>
      <c r="C146" s="67"/>
      <c r="D146" s="67"/>
      <c r="E146" s="187" t="s">
        <v>271</v>
      </c>
      <c r="F146" s="85">
        <f>F14</f>
        <v>2377</v>
      </c>
      <c r="G146" s="85">
        <f t="shared" ref="G146:R146" si="62">G14</f>
        <v>2541</v>
      </c>
      <c r="H146" s="85">
        <f t="shared" si="62"/>
        <v>2340</v>
      </c>
      <c r="I146" s="85">
        <f t="shared" si="62"/>
        <v>2183</v>
      </c>
      <c r="J146" s="85">
        <f t="shared" si="62"/>
        <v>2168</v>
      </c>
      <c r="K146" s="85">
        <f t="shared" si="62"/>
        <v>30131</v>
      </c>
      <c r="L146" s="85">
        <f t="shared" si="62"/>
        <v>2372</v>
      </c>
      <c r="M146" s="85">
        <f t="shared" si="62"/>
        <v>68416</v>
      </c>
      <c r="N146" s="85">
        <f t="shared" si="62"/>
        <v>153093</v>
      </c>
      <c r="O146" s="85">
        <f t="shared" si="62"/>
        <v>84085</v>
      </c>
      <c r="P146" s="85">
        <f t="shared" si="62"/>
        <v>115257</v>
      </c>
      <c r="Q146" s="85">
        <f t="shared" si="62"/>
        <v>98841</v>
      </c>
      <c r="R146" s="85">
        <f t="shared" si="62"/>
        <v>68107</v>
      </c>
      <c r="S146" s="85">
        <f>S14</f>
        <v>403</v>
      </c>
      <c r="T146" s="85">
        <f>T14</f>
        <v>332</v>
      </c>
      <c r="U146" s="238">
        <f>U14</f>
        <v>7129</v>
      </c>
      <c r="V146" s="238"/>
    </row>
    <row r="147" spans="1:22">
      <c r="A147" s="30">
        <v>31</v>
      </c>
      <c r="B147" s="3" t="s">
        <v>272</v>
      </c>
      <c r="C147" s="67"/>
      <c r="D147" s="67"/>
      <c r="E147" s="67"/>
      <c r="F147" s="85">
        <f>'Riders and Gas Cost Revenue'!H13</f>
        <v>-242</v>
      </c>
      <c r="G147" s="85">
        <f>'Riders and Gas Cost Revenue'!J13</f>
        <v>-244</v>
      </c>
      <c r="H147" s="85">
        <f>'Riders and Gas Cost Revenue'!L13</f>
        <v>-144</v>
      </c>
      <c r="I147" s="85">
        <f>'Riders and Gas Cost Revenue'!N13</f>
        <v>0</v>
      </c>
      <c r="J147" s="85">
        <f>'Riders and Gas Cost Revenue'!P13</f>
        <v>0</v>
      </c>
      <c r="K147" s="85">
        <f>'Riders and Gas Cost Revenue'!R13</f>
        <v>-28334</v>
      </c>
      <c r="L147" s="85">
        <f>'Riders and Gas Cost Revenue'!T13</f>
        <v>0</v>
      </c>
      <c r="M147" s="85">
        <f>'Riders and Gas Cost Revenue'!W13</f>
        <v>-66686</v>
      </c>
      <c r="N147" s="85">
        <f>'Riders and Gas Cost Revenue'!Z13</f>
        <v>-153018</v>
      </c>
      <c r="O147" s="85">
        <f>'Riders and Gas Cost Revenue'!AC13</f>
        <v>-83992</v>
      </c>
      <c r="P147" s="85">
        <f>'Riders and Gas Cost Revenue'!AF13</f>
        <v>-115193</v>
      </c>
      <c r="Q147" s="85">
        <f>'Riders and Gas Cost Revenue'!AI13</f>
        <v>-98794</v>
      </c>
      <c r="R147" s="85">
        <f>'Riders and Gas Cost Revenue'!AL13</f>
        <v>-67822</v>
      </c>
      <c r="S147" s="238">
        <f>'Riders and Gas Cost Revenue'!AO13</f>
        <v>0</v>
      </c>
      <c r="T147" s="238">
        <f>'Riders and Gas Cost Revenue'!AR13</f>
        <v>0</v>
      </c>
      <c r="U147" s="238">
        <f>'Riders and Gas Cost Revenue'!AS13</f>
        <v>0</v>
      </c>
      <c r="V147" s="238"/>
    </row>
    <row r="148" spans="1:22">
      <c r="A148" s="30">
        <v>32</v>
      </c>
      <c r="B148" s="3" t="s">
        <v>276</v>
      </c>
      <c r="C148" s="67"/>
      <c r="D148" s="67"/>
      <c r="E148" s="67"/>
      <c r="F148" s="85">
        <v>-2130</v>
      </c>
      <c r="G148" s="85">
        <v>-2289</v>
      </c>
      <c r="H148" s="85">
        <v>-2187</v>
      </c>
      <c r="I148" s="85">
        <v>-2174</v>
      </c>
      <c r="J148" s="85">
        <v>-2156</v>
      </c>
      <c r="K148" s="85">
        <v>-1723</v>
      </c>
      <c r="L148" s="85">
        <v>-2361</v>
      </c>
      <c r="M148" s="85">
        <v>-1717</v>
      </c>
      <c r="N148" s="85">
        <v>0</v>
      </c>
      <c r="O148" s="85">
        <v>0</v>
      </c>
      <c r="P148" s="85">
        <v>0</v>
      </c>
      <c r="Q148" s="85">
        <v>0</v>
      </c>
      <c r="R148" s="85">
        <v>0</v>
      </c>
      <c r="S148" s="85">
        <v>0</v>
      </c>
      <c r="T148" s="85">
        <v>0</v>
      </c>
      <c r="U148" s="238">
        <v>0</v>
      </c>
      <c r="V148" s="238"/>
    </row>
    <row r="149" spans="1:22">
      <c r="A149" s="30">
        <v>33</v>
      </c>
      <c r="B149" s="3" t="s">
        <v>454</v>
      </c>
      <c r="C149" s="67"/>
      <c r="D149" s="67"/>
      <c r="E149" s="67"/>
      <c r="F149" s="85"/>
      <c r="G149" s="85"/>
      <c r="H149" s="85"/>
      <c r="I149" s="85"/>
      <c r="J149" s="85"/>
      <c r="K149" s="85"/>
      <c r="L149" s="85"/>
      <c r="M149" s="85"/>
      <c r="N149" s="85"/>
      <c r="O149" s="85"/>
      <c r="P149" s="85"/>
      <c r="Q149" s="85"/>
      <c r="R149" s="85"/>
      <c r="S149" s="85"/>
      <c r="T149" s="85"/>
      <c r="U149" s="238">
        <v>-6914</v>
      </c>
      <c r="V149" s="238"/>
    </row>
    <row r="150" spans="1:22" ht="12.75" thickBot="1">
      <c r="A150" s="30">
        <v>34</v>
      </c>
      <c r="B150" s="67" t="s">
        <v>274</v>
      </c>
      <c r="C150" s="67"/>
      <c r="D150" s="67"/>
      <c r="E150" s="67"/>
      <c r="F150" s="64">
        <f>SUM(F146:F148)</f>
        <v>5</v>
      </c>
      <c r="G150" s="64">
        <f t="shared" ref="G150:R150" si="63">SUM(G146:G148)</f>
        <v>8</v>
      </c>
      <c r="H150" s="64">
        <f t="shared" si="63"/>
        <v>9</v>
      </c>
      <c r="I150" s="64">
        <f t="shared" si="63"/>
        <v>9</v>
      </c>
      <c r="J150" s="64">
        <f t="shared" si="63"/>
        <v>12</v>
      </c>
      <c r="K150" s="64">
        <f t="shared" si="63"/>
        <v>74</v>
      </c>
      <c r="L150" s="64">
        <f t="shared" si="63"/>
        <v>11</v>
      </c>
      <c r="M150" s="64">
        <f t="shared" si="63"/>
        <v>13</v>
      </c>
      <c r="N150" s="64">
        <f t="shared" si="63"/>
        <v>75</v>
      </c>
      <c r="O150" s="64">
        <f t="shared" si="63"/>
        <v>93</v>
      </c>
      <c r="P150" s="64">
        <f t="shared" si="63"/>
        <v>64</v>
      </c>
      <c r="Q150" s="64">
        <f t="shared" si="63"/>
        <v>47</v>
      </c>
      <c r="R150" s="64">
        <f t="shared" si="63"/>
        <v>285</v>
      </c>
      <c r="S150" s="64">
        <f>SUM(S146:S148)</f>
        <v>403</v>
      </c>
      <c r="T150" s="64">
        <f>SUM(T146:T148)</f>
        <v>332</v>
      </c>
      <c r="U150" s="63">
        <f>SUM(U146:U149)</f>
        <v>215</v>
      </c>
      <c r="V150" s="238"/>
    </row>
    <row r="151" spans="1:22" ht="12.75" thickTop="1">
      <c r="A151" s="30"/>
      <c r="B151" s="67"/>
      <c r="C151" s="67"/>
      <c r="D151" s="3" t="s">
        <v>244</v>
      </c>
      <c r="E151" s="67"/>
      <c r="F151" s="85"/>
      <c r="G151" s="115">
        <f>(G150-F150)/F150</f>
        <v>0.6</v>
      </c>
      <c r="H151" s="115">
        <f t="shared" ref="H151:U151" si="64">(H150-G150)/G150</f>
        <v>0.125</v>
      </c>
      <c r="I151" s="115">
        <f t="shared" si="64"/>
        <v>0</v>
      </c>
      <c r="J151" s="115">
        <f t="shared" si="64"/>
        <v>0.33333333333333331</v>
      </c>
      <c r="K151" s="115">
        <f t="shared" si="64"/>
        <v>5.166666666666667</v>
      </c>
      <c r="L151" s="115">
        <f t="shared" si="64"/>
        <v>-0.85135135135135132</v>
      </c>
      <c r="M151" s="115">
        <f t="shared" si="64"/>
        <v>0.18181818181818182</v>
      </c>
      <c r="N151" s="115">
        <f t="shared" si="64"/>
        <v>4.7692307692307692</v>
      </c>
      <c r="O151" s="115">
        <f t="shared" si="64"/>
        <v>0.24</v>
      </c>
      <c r="P151" s="115">
        <f t="shared" si="64"/>
        <v>-0.31182795698924731</v>
      </c>
      <c r="Q151" s="115">
        <f t="shared" si="64"/>
        <v>-0.265625</v>
      </c>
      <c r="R151" s="115">
        <f t="shared" si="64"/>
        <v>5.0638297872340425</v>
      </c>
      <c r="S151" s="115">
        <f t="shared" si="64"/>
        <v>0.41403508771929826</v>
      </c>
      <c r="T151" s="115">
        <f t="shared" si="64"/>
        <v>-0.17617866004962779</v>
      </c>
      <c r="U151" s="431">
        <f t="shared" si="64"/>
        <v>-0.35240963855421686</v>
      </c>
      <c r="V151" s="484"/>
    </row>
    <row r="152" spans="1:22" ht="6.75" customHeight="1">
      <c r="A152" s="136"/>
      <c r="B152" s="67"/>
      <c r="C152" s="67"/>
      <c r="D152" s="67"/>
      <c r="E152" s="67"/>
      <c r="F152" s="85"/>
      <c r="G152" s="85"/>
      <c r="H152" s="85"/>
      <c r="I152" s="85"/>
      <c r="J152" s="85"/>
      <c r="K152" s="85"/>
      <c r="L152" s="85"/>
      <c r="M152" s="85"/>
      <c r="N152" s="85"/>
      <c r="O152" s="85"/>
      <c r="P152" s="85"/>
      <c r="Q152" s="85"/>
      <c r="R152" s="85"/>
    </row>
    <row r="153" spans="1:22" ht="12.75">
      <c r="A153" s="204" t="s">
        <v>43</v>
      </c>
      <c r="B153"/>
      <c r="C153"/>
      <c r="D153"/>
      <c r="E153"/>
      <c r="F153"/>
      <c r="G153"/>
      <c r="H153"/>
      <c r="I153"/>
      <c r="J153"/>
      <c r="K153"/>
      <c r="L153"/>
      <c r="M153"/>
      <c r="N153"/>
      <c r="O153"/>
      <c r="R153" s="4"/>
    </row>
    <row r="154" spans="1:22" ht="12.75">
      <c r="A154" s="204" t="s">
        <v>48</v>
      </c>
      <c r="B154"/>
      <c r="C154"/>
      <c r="D154"/>
      <c r="E154"/>
      <c r="F154"/>
      <c r="G154"/>
      <c r="H154"/>
      <c r="I154"/>
      <c r="J154"/>
      <c r="K154"/>
      <c r="L154"/>
      <c r="M154"/>
      <c r="N154"/>
      <c r="O154"/>
      <c r="R154" s="4"/>
    </row>
    <row r="155" spans="1:22" ht="12.75">
      <c r="A155" s="204" t="s">
        <v>118</v>
      </c>
      <c r="B155"/>
      <c r="C155"/>
      <c r="D155"/>
      <c r="E155"/>
      <c r="F155"/>
      <c r="G155"/>
      <c r="H155"/>
      <c r="I155"/>
      <c r="J155"/>
      <c r="K155"/>
      <c r="L155"/>
      <c r="M155"/>
      <c r="N155"/>
      <c r="O155"/>
      <c r="R155" s="4"/>
    </row>
    <row r="156" spans="1:22" ht="3.6" customHeight="1">
      <c r="A156"/>
      <c r="B156"/>
      <c r="C156"/>
      <c r="D156"/>
      <c r="E156"/>
      <c r="F156"/>
      <c r="G156"/>
      <c r="H156"/>
      <c r="I156"/>
      <c r="J156"/>
      <c r="K156"/>
      <c r="L156"/>
      <c r="M156"/>
      <c r="N156"/>
      <c r="O156"/>
      <c r="R156" s="4"/>
    </row>
    <row r="157" spans="1:22" ht="15.75">
      <c r="A157" s="30" t="s">
        <v>0</v>
      </c>
      <c r="B157"/>
      <c r="C157"/>
      <c r="D157"/>
      <c r="E157" s="589" t="s">
        <v>227</v>
      </c>
      <c r="F157" s="589"/>
      <c r="G157" s="589"/>
      <c r="H157" s="589"/>
      <c r="I157" s="589"/>
      <c r="J157" s="589"/>
      <c r="K157" s="589"/>
      <c r="L157" s="589"/>
      <c r="M157" s="589"/>
      <c r="N157" s="589"/>
      <c r="O157" s="589"/>
      <c r="P157" s="589"/>
      <c r="Q157" s="589"/>
      <c r="R157" s="589"/>
      <c r="T157" s="360"/>
      <c r="U157" s="360"/>
      <c r="V157" s="400"/>
    </row>
    <row r="158" spans="1:22" ht="12.75">
      <c r="A158" s="74" t="s">
        <v>2</v>
      </c>
      <c r="B158" s="72" t="s">
        <v>73</v>
      </c>
      <c r="C158" s="72"/>
      <c r="D158" s="73"/>
      <c r="E158" s="73"/>
      <c r="F158" s="62"/>
      <c r="G158" s="206"/>
      <c r="H158" s="206" t="s">
        <v>74</v>
      </c>
      <c r="I158" s="206" t="s">
        <v>75</v>
      </c>
      <c r="J158" s="206" t="s">
        <v>76</v>
      </c>
      <c r="K158" s="206" t="s">
        <v>77</v>
      </c>
      <c r="L158" s="206" t="s">
        <v>78</v>
      </c>
      <c r="M158" s="206" t="s">
        <v>79</v>
      </c>
      <c r="N158" s="206" t="s">
        <v>80</v>
      </c>
      <c r="O158" s="206" t="s">
        <v>81</v>
      </c>
      <c r="P158" s="206" t="s">
        <v>82</v>
      </c>
      <c r="Q158" s="206" t="s">
        <v>83</v>
      </c>
      <c r="R158" s="206" t="s">
        <v>128</v>
      </c>
      <c r="S158" s="206" t="s">
        <v>373</v>
      </c>
      <c r="T158" s="206" t="s">
        <v>411</v>
      </c>
      <c r="U158" s="432" t="s">
        <v>411</v>
      </c>
      <c r="V158" s="485"/>
    </row>
    <row r="159" spans="1:22" ht="12.75">
      <c r="B159"/>
      <c r="C159"/>
      <c r="D159"/>
      <c r="E159"/>
      <c r="F159"/>
      <c r="G159"/>
      <c r="H159"/>
      <c r="I159"/>
      <c r="J159"/>
      <c r="K159"/>
      <c r="L159"/>
      <c r="M159"/>
      <c r="N159"/>
      <c r="O159"/>
      <c r="R159" s="4"/>
      <c r="S159" s="4"/>
      <c r="T159" s="4"/>
      <c r="U159" s="29"/>
      <c r="V159" s="238"/>
    </row>
    <row r="160" spans="1:22" ht="12.75">
      <c r="A160" s="22">
        <v>1</v>
      </c>
      <c r="B160" s="66" t="s">
        <v>253</v>
      </c>
      <c r="C160"/>
      <c r="D160"/>
      <c r="E160"/>
      <c r="F160"/>
      <c r="G160" s="71"/>
      <c r="H160" s="71">
        <f t="shared" ref="H160:R160" si="65">(H113-G113)/G113</f>
        <v>0.20624420401854715</v>
      </c>
      <c r="I160" s="71">
        <f t="shared" si="65"/>
        <v>5.7762287940136332E-2</v>
      </c>
      <c r="J160" s="71">
        <f t="shared" si="65"/>
        <v>-3.9926349452466321E-2</v>
      </c>
      <c r="K160" s="71">
        <f t="shared" si="65"/>
        <v>2.9978802866659937E-2</v>
      </c>
      <c r="L160" s="71">
        <f t="shared" si="65"/>
        <v>-4.9980399843198749E-3</v>
      </c>
      <c r="M160" s="71">
        <f t="shared" si="65"/>
        <v>3.2748941199645422E-2</v>
      </c>
      <c r="N160" s="71">
        <f t="shared" si="65"/>
        <v>2.8801678508416386E-2</v>
      </c>
      <c r="O160" s="71">
        <f t="shared" si="65"/>
        <v>0.13149478563151795</v>
      </c>
      <c r="P160" s="71">
        <f t="shared" si="65"/>
        <v>6.0134360150745532E-2</v>
      </c>
      <c r="Q160" s="71">
        <f t="shared" si="65"/>
        <v>7.093713068006173E-2</v>
      </c>
      <c r="R160" s="71">
        <f t="shared" si="65"/>
        <v>0.1055405750680434</v>
      </c>
      <c r="S160" s="71">
        <f>(S113-R113)/R113</f>
        <v>9.9213472145164971E-3</v>
      </c>
      <c r="T160" s="71">
        <f>(T113-S113)/S113</f>
        <v>1.3216997899499112E-2</v>
      </c>
      <c r="U160" s="89">
        <f>(U113-T113)/T113</f>
        <v>0.10856669005549531</v>
      </c>
      <c r="V160" s="119"/>
    </row>
    <row r="161" spans="1:25" ht="12.75">
      <c r="B161"/>
      <c r="C161"/>
      <c r="D161"/>
      <c r="E161"/>
      <c r="F161"/>
      <c r="G161"/>
      <c r="H161"/>
      <c r="I161"/>
      <c r="J161"/>
      <c r="K161"/>
      <c r="L161"/>
      <c r="M161"/>
      <c r="N161"/>
      <c r="O161"/>
      <c r="R161" s="4"/>
      <c r="S161" s="4"/>
      <c r="T161" s="4"/>
      <c r="U161" s="29"/>
      <c r="V161" s="238"/>
    </row>
    <row r="162" spans="1:25" ht="12.75">
      <c r="A162" s="22">
        <v>2</v>
      </c>
      <c r="B162" s="66" t="s">
        <v>405</v>
      </c>
      <c r="C162"/>
      <c r="D162"/>
      <c r="E162"/>
      <c r="F162"/>
      <c r="G162" s="71"/>
      <c r="H162" s="71">
        <f t="shared" ref="H162:U162" si="66">(H120-G120)/G120</f>
        <v>6.0097833682739341E-2</v>
      </c>
      <c r="I162" s="71">
        <f t="shared" si="66"/>
        <v>5.1252471984179301E-2</v>
      </c>
      <c r="J162" s="71">
        <f t="shared" si="66"/>
        <v>1.8811725975858284E-3</v>
      </c>
      <c r="K162" s="71">
        <f t="shared" si="66"/>
        <v>5.4764512595837894E-2</v>
      </c>
      <c r="L162" s="71">
        <f t="shared" si="66"/>
        <v>3.2932799287939477E-2</v>
      </c>
      <c r="M162" s="71">
        <f t="shared" si="66"/>
        <v>6.4627315812149935E-2</v>
      </c>
      <c r="N162" s="71">
        <f t="shared" si="66"/>
        <v>4.5730473492513156E-2</v>
      </c>
      <c r="O162" s="71">
        <f t="shared" si="66"/>
        <v>9.0815273477812181E-2</v>
      </c>
      <c r="P162" s="71">
        <f t="shared" si="66"/>
        <v>7.9351939451277206E-2</v>
      </c>
      <c r="Q162" s="71">
        <f t="shared" si="66"/>
        <v>7.1326832475073959E-2</v>
      </c>
      <c r="R162" s="71">
        <f t="shared" si="66"/>
        <v>9.3475148292084267E-2</v>
      </c>
      <c r="S162" s="71">
        <f t="shared" si="66"/>
        <v>0.1385147774036663</v>
      </c>
      <c r="T162" s="71">
        <f t="shared" si="66"/>
        <v>9.2910539719050361E-2</v>
      </c>
      <c r="U162" s="89">
        <f t="shared" si="66"/>
        <v>0.1407095610342754</v>
      </c>
      <c r="V162" s="119"/>
    </row>
    <row r="163" spans="1:25" ht="12.75">
      <c r="B163"/>
      <c r="C163"/>
      <c r="D163"/>
      <c r="E163"/>
      <c r="F163"/>
      <c r="G163"/>
      <c r="H163"/>
      <c r="I163"/>
      <c r="J163"/>
      <c r="K163"/>
      <c r="L163"/>
      <c r="M163"/>
      <c r="N163"/>
      <c r="O163"/>
      <c r="R163" s="4"/>
      <c r="S163" s="4"/>
      <c r="T163" s="4"/>
      <c r="U163" s="29"/>
      <c r="V163" s="238"/>
    </row>
    <row r="164" spans="1:25" ht="12.75">
      <c r="A164" s="22">
        <v>3</v>
      </c>
      <c r="B164" s="67" t="s">
        <v>407</v>
      </c>
      <c r="C164"/>
      <c r="D164"/>
      <c r="E164"/>
      <c r="F164"/>
      <c r="G164" s="71"/>
      <c r="H164" s="71">
        <f t="shared" ref="H164:U164" si="67">(H136-G136)/G136</f>
        <v>0.192689964732286</v>
      </c>
      <c r="I164" s="71">
        <f t="shared" si="67"/>
        <v>-9.4892473118279572E-2</v>
      </c>
      <c r="J164" s="71">
        <f t="shared" si="67"/>
        <v>0.1182061182061182</v>
      </c>
      <c r="K164" s="89">
        <f t="shared" si="67"/>
        <v>-0.10836653386454183</v>
      </c>
      <c r="L164" s="71">
        <f t="shared" si="67"/>
        <v>6.9109323801012812E-2</v>
      </c>
      <c r="M164" s="71">
        <f t="shared" si="67"/>
        <v>-1.337419894120925E-2</v>
      </c>
      <c r="N164" s="71">
        <f t="shared" si="67"/>
        <v>-0.16379553798362045</v>
      </c>
      <c r="O164" s="71">
        <f t="shared" si="67"/>
        <v>0.25903411009793986</v>
      </c>
      <c r="P164" s="71">
        <f t="shared" si="67"/>
        <v>2.8433476394849784E-2</v>
      </c>
      <c r="Q164" s="71">
        <f t="shared" si="67"/>
        <v>0.12589314736567569</v>
      </c>
      <c r="R164" s="71">
        <f t="shared" si="67"/>
        <v>6.3781896002181149E-2</v>
      </c>
      <c r="S164" s="71">
        <f t="shared" si="67"/>
        <v>0.13044425087108014</v>
      </c>
      <c r="T164" s="71">
        <f t="shared" si="67"/>
        <v>6.3956848391446733E-2</v>
      </c>
      <c r="U164" s="89">
        <f t="shared" si="67"/>
        <v>5.4318305268875608E-3</v>
      </c>
      <c r="V164" s="119"/>
    </row>
    <row r="165" spans="1:25" ht="12.75">
      <c r="B165"/>
      <c r="C165"/>
      <c r="D165"/>
      <c r="E165"/>
      <c r="F165"/>
      <c r="G165"/>
      <c r="H165"/>
      <c r="I165"/>
      <c r="J165"/>
      <c r="K165"/>
      <c r="L165"/>
      <c r="M165"/>
      <c r="N165"/>
      <c r="O165"/>
      <c r="R165" s="4"/>
      <c r="S165" s="4"/>
      <c r="T165" s="4"/>
      <c r="U165" s="29"/>
      <c r="V165" s="238"/>
    </row>
    <row r="166" spans="1:25" ht="12.75">
      <c r="A166" s="22">
        <v>4</v>
      </c>
      <c r="B166" s="68" t="s">
        <v>50</v>
      </c>
      <c r="C166"/>
      <c r="D166"/>
      <c r="E166"/>
      <c r="F166"/>
      <c r="G166" s="71"/>
      <c r="H166" s="71">
        <f t="shared" ref="H166:U166" si="68">(H84-G84)/G84</f>
        <v>1.8532818532818532E-3</v>
      </c>
      <c r="I166" s="71">
        <f t="shared" si="68"/>
        <v>-3.619546785879451E-2</v>
      </c>
      <c r="J166" s="71">
        <f t="shared" si="68"/>
        <v>-7.5173538914302164E-4</v>
      </c>
      <c r="K166" s="71">
        <f t="shared" si="68"/>
        <v>6.1360544217687073E-2</v>
      </c>
      <c r="L166" s="71">
        <f t="shared" si="68"/>
        <v>6.1621059140230888E-2</v>
      </c>
      <c r="M166" s="71">
        <f t="shared" si="68"/>
        <v>3.3461420991696793E-2</v>
      </c>
      <c r="N166" s="71">
        <f t="shared" si="68"/>
        <v>5.8790378006872854E-2</v>
      </c>
      <c r="O166" s="71">
        <f t="shared" si="68"/>
        <v>0.12821478182974802</v>
      </c>
      <c r="P166" s="71">
        <f t="shared" si="68"/>
        <v>2.3560751642636043E-2</v>
      </c>
      <c r="Q166" s="71">
        <f t="shared" si="68"/>
        <v>3.177047908668304E-2</v>
      </c>
      <c r="R166" s="71">
        <f t="shared" si="68"/>
        <v>6.3927040146442723E-2</v>
      </c>
      <c r="S166" s="71">
        <f t="shared" si="68"/>
        <v>6.3864978211555304E-2</v>
      </c>
      <c r="T166" s="71">
        <f t="shared" si="68"/>
        <v>8.7322330199895076E-2</v>
      </c>
      <c r="U166" s="89">
        <f t="shared" si="68"/>
        <v>8.2983253726189796E-2</v>
      </c>
      <c r="V166" s="119"/>
    </row>
    <row r="167" spans="1:25" ht="12.75">
      <c r="B167" s="68"/>
      <c r="C167"/>
      <c r="D167"/>
      <c r="E167"/>
      <c r="F167"/>
      <c r="G167" s="71"/>
      <c r="H167" s="71"/>
      <c r="I167" s="71"/>
      <c r="J167" s="71"/>
      <c r="K167" s="71"/>
      <c r="L167" s="71"/>
      <c r="M167" s="71"/>
      <c r="N167" s="71"/>
      <c r="O167" s="71"/>
      <c r="P167" s="71"/>
      <c r="Q167" s="71"/>
      <c r="R167" s="71"/>
      <c r="S167" s="71"/>
      <c r="T167" s="71"/>
      <c r="U167" s="89"/>
      <c r="V167" s="119"/>
    </row>
    <row r="168" spans="1:25" ht="12.75">
      <c r="A168" s="22">
        <v>5</v>
      </c>
      <c r="B168" s="68" t="s">
        <v>72</v>
      </c>
      <c r="C168"/>
      <c r="D168"/>
      <c r="E168"/>
      <c r="F168"/>
      <c r="G168" s="71"/>
      <c r="H168" s="71">
        <f t="shared" ref="H168:U168" si="69">(H91-G91)/G91</f>
        <v>6.1834066290841474E-3</v>
      </c>
      <c r="I168" s="71">
        <f t="shared" si="69"/>
        <v>-3.4723750018333555E-2</v>
      </c>
      <c r="J168" s="71">
        <f t="shared" si="69"/>
        <v>-6.9058779733641275E-3</v>
      </c>
      <c r="K168" s="71">
        <f t="shared" si="69"/>
        <v>7.709726281001851E-2</v>
      </c>
      <c r="L168" s="71">
        <f t="shared" si="69"/>
        <v>6.0839796585130258E-2</v>
      </c>
      <c r="M168" s="71">
        <f t="shared" si="69"/>
        <v>1.5646549992635341E-2</v>
      </c>
      <c r="N168" s="71">
        <f t="shared" si="69"/>
        <v>0.11853736675917442</v>
      </c>
      <c r="O168" s="71">
        <f t="shared" si="69"/>
        <v>6.5399190245224864E-2</v>
      </c>
      <c r="P168" s="71">
        <f t="shared" si="69"/>
        <v>3.3975373109559795E-2</v>
      </c>
      <c r="Q168" s="71">
        <f t="shared" si="69"/>
        <v>5.0074898352236254E-2</v>
      </c>
      <c r="R168" s="71">
        <f t="shared" si="69"/>
        <v>5.7560627674750356E-2</v>
      </c>
      <c r="S168" s="71">
        <f t="shared" si="69"/>
        <v>8.3082022179614412E-2</v>
      </c>
      <c r="T168" s="71">
        <f t="shared" si="69"/>
        <v>0.11312404369640251</v>
      </c>
      <c r="U168" s="89">
        <f t="shared" si="69"/>
        <v>9.076269594856487E-2</v>
      </c>
      <c r="V168" s="119"/>
    </row>
    <row r="169" spans="1:25" ht="12.75">
      <c r="B169" s="68"/>
      <c r="C169"/>
      <c r="D169"/>
      <c r="E169"/>
      <c r="F169"/>
      <c r="G169" s="71"/>
      <c r="H169" s="71"/>
      <c r="I169" s="71"/>
      <c r="J169" s="71"/>
      <c r="K169" s="71"/>
      <c r="L169" s="71"/>
      <c r="M169" s="71"/>
      <c r="N169" s="71"/>
      <c r="O169" s="71"/>
      <c r="P169" s="71"/>
      <c r="Q169" s="71"/>
      <c r="R169" s="71"/>
      <c r="S169" s="71"/>
      <c r="T169" s="71"/>
      <c r="U169" s="89"/>
      <c r="V169" s="119"/>
    </row>
    <row r="170" spans="1:25" ht="12.75">
      <c r="A170" s="22">
        <v>6</v>
      </c>
      <c r="B170" s="68" t="s">
        <v>160</v>
      </c>
      <c r="C170"/>
      <c r="D170"/>
      <c r="E170"/>
      <c r="F170"/>
      <c r="H170" s="215" t="s">
        <v>278</v>
      </c>
      <c r="I170" s="71"/>
      <c r="J170" s="71"/>
      <c r="K170" s="71"/>
      <c r="L170" s="71"/>
      <c r="M170" s="71"/>
      <c r="N170" s="71"/>
      <c r="O170" s="71"/>
      <c r="P170" s="71"/>
      <c r="Q170" s="71"/>
      <c r="R170" s="71"/>
      <c r="S170" s="71"/>
      <c r="T170" s="71"/>
      <c r="U170" s="89"/>
      <c r="V170" s="119"/>
      <c r="Y170" s="309"/>
    </row>
    <row r="171" spans="1:25" ht="12.75">
      <c r="B171"/>
      <c r="C171"/>
      <c r="D171"/>
      <c r="E171"/>
      <c r="F171"/>
      <c r="G171"/>
      <c r="H171"/>
      <c r="I171"/>
      <c r="J171"/>
      <c r="K171"/>
      <c r="L171"/>
      <c r="M171"/>
      <c r="N171"/>
      <c r="O171"/>
      <c r="R171" s="4"/>
      <c r="S171" s="4"/>
      <c r="T171" s="4"/>
      <c r="U171" s="29"/>
      <c r="V171" s="238"/>
    </row>
    <row r="172" spans="1:25" ht="12.75">
      <c r="B172" s="72" t="s">
        <v>438</v>
      </c>
      <c r="C172" s="72"/>
      <c r="D172" s="73"/>
      <c r="E172" s="73"/>
      <c r="F172" s="62"/>
      <c r="G172" s="206"/>
      <c r="H172" s="206" t="s">
        <v>412</v>
      </c>
      <c r="I172" s="206" t="s">
        <v>413</v>
      </c>
      <c r="J172" s="206" t="s">
        <v>414</v>
      </c>
      <c r="K172" s="206" t="s">
        <v>415</v>
      </c>
      <c r="L172" s="206" t="s">
        <v>416</v>
      </c>
      <c r="M172" s="206" t="s">
        <v>417</v>
      </c>
      <c r="N172" s="206" t="s">
        <v>418</v>
      </c>
      <c r="O172" s="206" t="s">
        <v>419</v>
      </c>
      <c r="P172" s="206" t="s">
        <v>420</v>
      </c>
      <c r="Q172" s="206" t="s">
        <v>421</v>
      </c>
      <c r="R172" s="206" t="s">
        <v>422</v>
      </c>
      <c r="S172" s="206" t="s">
        <v>410</v>
      </c>
      <c r="T172" s="206" t="s">
        <v>411</v>
      </c>
      <c r="U172" s="432" t="s">
        <v>411</v>
      </c>
      <c r="V172" s="485"/>
    </row>
    <row r="173" spans="1:25" ht="6.75" customHeight="1" thickBot="1">
      <c r="B173"/>
      <c r="C173"/>
      <c r="D173"/>
      <c r="E173"/>
      <c r="F173"/>
      <c r="G173"/>
      <c r="H173"/>
      <c r="I173"/>
      <c r="J173"/>
      <c r="K173"/>
      <c r="L173"/>
      <c r="M173"/>
      <c r="N173"/>
      <c r="O173"/>
      <c r="R173" s="4"/>
      <c r="S173" s="4"/>
      <c r="T173" s="4"/>
      <c r="U173" s="29"/>
      <c r="V173" s="238"/>
    </row>
    <row r="174" spans="1:25" ht="12.75">
      <c r="A174" s="22">
        <v>7</v>
      </c>
      <c r="B174" s="66" t="s">
        <v>253</v>
      </c>
      <c r="C174"/>
      <c r="D174"/>
      <c r="E174"/>
      <c r="F174"/>
      <c r="G174" s="71"/>
      <c r="H174" s="71">
        <f>RATE(13,,-G113,$T113)</f>
        <v>5.2231831649669942E-2</v>
      </c>
      <c r="I174" s="71">
        <f>RATE(12,,-H113,$T113)</f>
        <v>4.0322006428777472E-2</v>
      </c>
      <c r="J174" s="71">
        <f>RATE(11,,-I113,$T113)</f>
        <v>3.8750856958859409E-2</v>
      </c>
      <c r="K174" s="71">
        <f>RATE(10,,-J113,$T113)</f>
        <v>4.6964797647047557E-2</v>
      </c>
      <c r="L174" s="71">
        <f>RATE(9,,-K113,$T113)</f>
        <v>4.8869338296876105E-2</v>
      </c>
      <c r="M174" s="71">
        <f>RATE(8,,-L113,$T113)</f>
        <v>5.5804652723981926E-2</v>
      </c>
      <c r="N174" s="332">
        <f>RATE(7,,-M113,$T113)</f>
        <v>5.9140077650873556E-2</v>
      </c>
      <c r="O174" s="71">
        <f>RATE(6,,-N113,$T113)</f>
        <v>6.428275445093784E-2</v>
      </c>
      <c r="P174" s="71">
        <f>RATE(5,,-O113,$T113)</f>
        <v>5.1327243313496522E-2</v>
      </c>
      <c r="Q174" s="71">
        <f>RATE(4,,-P113,$T113)</f>
        <v>4.9136920050297031E-2</v>
      </c>
      <c r="R174" s="71">
        <f>RATE(3,,-Q113,$T113)</f>
        <v>4.196924852952158E-2</v>
      </c>
      <c r="S174" s="71">
        <f>RATE(2,,-R113,$T113)</f>
        <v>1.1567830419349718E-2</v>
      </c>
      <c r="T174" s="71">
        <f>RATE(1,,-S113,$T113)</f>
        <v>1.3216997899499056E-2</v>
      </c>
      <c r="U174" s="89">
        <f>RATE(1,,-T113,$T113)</f>
        <v>3.9619459789916618E-17</v>
      </c>
      <c r="V174" s="119"/>
    </row>
    <row r="175" spans="1:25" ht="8.25" customHeight="1">
      <c r="B175" s="66"/>
      <c r="C175"/>
      <c r="D175"/>
      <c r="E175"/>
      <c r="F175"/>
      <c r="G175" s="71"/>
      <c r="H175" s="71"/>
      <c r="I175" s="71"/>
      <c r="J175" s="71"/>
      <c r="K175" s="71"/>
      <c r="L175" s="71"/>
      <c r="M175" s="71"/>
      <c r="N175" s="331"/>
      <c r="O175" s="71"/>
      <c r="P175" s="71"/>
      <c r="Q175" s="71"/>
      <c r="R175" s="71"/>
      <c r="S175" s="71"/>
      <c r="T175" s="71"/>
      <c r="U175" s="89"/>
      <c r="V175" s="119"/>
    </row>
    <row r="176" spans="1:25" ht="12.75">
      <c r="A176" s="22" t="s">
        <v>228</v>
      </c>
      <c r="B176" s="213" t="s">
        <v>436</v>
      </c>
      <c r="C176"/>
      <c r="D176"/>
      <c r="E176"/>
      <c r="F176"/>
      <c r="G176" s="71"/>
      <c r="H176" s="71"/>
      <c r="I176" s="71"/>
      <c r="J176" s="71"/>
      <c r="K176" s="71"/>
      <c r="L176" s="71"/>
      <c r="M176" s="71"/>
      <c r="N176" s="361">
        <v>0.03</v>
      </c>
      <c r="O176" s="71"/>
      <c r="P176" s="71"/>
      <c r="Q176" s="71"/>
      <c r="R176" s="71"/>
      <c r="S176" s="71"/>
      <c r="T176" s="71"/>
      <c r="U176" s="89"/>
      <c r="V176" s="119"/>
    </row>
    <row r="177" spans="1:25" ht="4.5" customHeight="1">
      <c r="B177" s="66"/>
      <c r="C177"/>
      <c r="D177"/>
      <c r="E177"/>
      <c r="F177"/>
      <c r="G177" s="124"/>
      <c r="H177" s="71"/>
      <c r="I177" s="71"/>
      <c r="J177" s="71"/>
      <c r="K177" s="71"/>
      <c r="L177" s="71"/>
      <c r="M177" s="71"/>
      <c r="N177" s="333"/>
      <c r="O177" s="71"/>
      <c r="P177" s="71"/>
      <c r="Q177" s="71"/>
      <c r="R177" s="71"/>
      <c r="S177" s="71"/>
      <c r="T177" s="71"/>
      <c r="U177" s="89"/>
      <c r="V177" s="119"/>
    </row>
    <row r="178" spans="1:25" ht="12.75">
      <c r="A178" s="22">
        <v>9</v>
      </c>
      <c r="B178" s="66" t="s">
        <v>405</v>
      </c>
      <c r="C178"/>
      <c r="D178"/>
      <c r="E178"/>
      <c r="F178"/>
      <c r="G178" s="124"/>
      <c r="H178" s="71">
        <f>RATE(13,,-G120,$T120)</f>
        <v>6.702743374683795E-2</v>
      </c>
      <c r="I178" s="71">
        <f>RATE(12,,-H120,$T120)</f>
        <v>6.7606941008443708E-2</v>
      </c>
      <c r="J178" s="71">
        <f>RATE(11,,-I120,$T120)</f>
        <v>6.9106268173088167E-2</v>
      </c>
      <c r="K178" s="71">
        <f>RATE(10,,-J120,$T120)</f>
        <v>7.6072027034380249E-2</v>
      </c>
      <c r="L178" s="71">
        <f>RATE(9,,-K120,$T120)</f>
        <v>7.8465941315540244E-2</v>
      </c>
      <c r="M178" s="71">
        <f>RATE(8,,-L120,$T120)</f>
        <v>8.4296934954186942E-2</v>
      </c>
      <c r="N178" s="334">
        <f>RATE(7,,-M120,$T120)</f>
        <v>8.7136391223947646E-2</v>
      </c>
      <c r="O178" s="71">
        <f>RATE(6,,-N120,$T120)</f>
        <v>9.4195049014548005E-2</v>
      </c>
      <c r="P178" s="71">
        <f>RATE(5,,-O120,$T120)</f>
        <v>9.4872259710231069E-2</v>
      </c>
      <c r="Q178" s="71">
        <f>RATE(4,,-P120,$T120)</f>
        <v>9.8787085714715756E-2</v>
      </c>
      <c r="R178" s="71">
        <f>RATE(3,,-Q120,$T120)</f>
        <v>0.10809603554063664</v>
      </c>
      <c r="S178" s="71">
        <f>RATE(2,,-R120,$T120)</f>
        <v>0.11547962771641652</v>
      </c>
      <c r="T178" s="71">
        <f>RATE(1,,-S120,$T120)</f>
        <v>9.2910539719050209E-2</v>
      </c>
      <c r="U178" s="89">
        <f>RATE(1,,-T120,$T120)</f>
        <v>5.0671032813615503E-17</v>
      </c>
      <c r="V178" s="119"/>
    </row>
    <row r="179" spans="1:25" ht="5.25" customHeight="1">
      <c r="B179" s="66"/>
      <c r="C179"/>
      <c r="D179" s="70"/>
      <c r="E179" s="70"/>
      <c r="F179"/>
      <c r="G179" s="125"/>
      <c r="H179" s="77"/>
      <c r="I179" s="77"/>
      <c r="J179" s="77"/>
      <c r="K179" s="77"/>
      <c r="L179" s="77"/>
      <c r="M179" s="77"/>
      <c r="N179" s="333"/>
      <c r="O179" s="77"/>
      <c r="P179" s="77"/>
      <c r="Q179" s="77"/>
      <c r="R179" s="77"/>
      <c r="S179" s="77"/>
      <c r="T179" s="77"/>
      <c r="U179" s="410"/>
      <c r="V179" s="486"/>
      <c r="Y179" s="316"/>
    </row>
    <row r="180" spans="1:25" ht="12.75">
      <c r="A180" s="22">
        <v>10</v>
      </c>
      <c r="B180" s="67" t="s">
        <v>407</v>
      </c>
      <c r="C180"/>
      <c r="D180"/>
      <c r="E180"/>
      <c r="F180"/>
      <c r="G180" s="124"/>
      <c r="H180" s="71">
        <f>RATE(13,,-G136,$T136)</f>
        <v>4.4934829633029992E-2</v>
      </c>
      <c r="I180" s="71">
        <f>RATE(12,,-H136,$T136)</f>
        <v>3.3481424809416356E-2</v>
      </c>
      <c r="J180" s="71">
        <f>RATE(11,,-I136,$T136)</f>
        <v>4.6018260340206694E-2</v>
      </c>
      <c r="K180" s="71">
        <f>RATE(10,,-J136,$T136)</f>
        <v>3.9060908848030214E-2</v>
      </c>
      <c r="L180" s="89">
        <f>RATE(9,,-K136,$T136)</f>
        <v>5.6877995291895043E-2</v>
      </c>
      <c r="M180" s="71">
        <f>RATE(8,,-L136,$T136)</f>
        <v>5.5358951389711968E-2</v>
      </c>
      <c r="N180" s="361">
        <f>RATE(7,,-M136,$T136)</f>
        <v>6.5561315184392552E-2</v>
      </c>
      <c r="O180" s="71">
        <f>RATE(6,,-N136,$T136)</f>
        <v>0.10948841714983193</v>
      </c>
      <c r="P180" s="71">
        <f>RATE(5,,-O136,$T136)</f>
        <v>8.178219194971563E-2</v>
      </c>
      <c r="Q180" s="71">
        <f>RATE(4,,-P136,$T136)</f>
        <v>9.5546292996307972E-2</v>
      </c>
      <c r="R180" s="71">
        <f>RATE(3,,-Q136,$T136)</f>
        <v>8.5613544114414325E-2</v>
      </c>
      <c r="S180" s="71">
        <f>RATE(2,,-R136,$T136)</f>
        <v>9.6696814274166792E-2</v>
      </c>
      <c r="T180" s="71">
        <f>RATE(1,,-S136,$T136)</f>
        <v>6.3956848391446858E-2</v>
      </c>
      <c r="U180" s="89">
        <f>RATE(1,,-T136,$T136)</f>
        <v>-8.3131039622259519E-17</v>
      </c>
      <c r="V180" s="119"/>
      <c r="Y180" s="316"/>
    </row>
    <row r="181" spans="1:25" ht="9" customHeight="1">
      <c r="B181"/>
      <c r="C181"/>
      <c r="D181" s="70"/>
      <c r="E181" s="70"/>
      <c r="F181"/>
      <c r="G181" s="77"/>
      <c r="H181" s="77"/>
      <c r="I181" s="77"/>
      <c r="J181" s="77"/>
      <c r="K181" s="77"/>
      <c r="L181" s="77"/>
      <c r="M181" s="77"/>
      <c r="N181" s="333"/>
      <c r="O181" s="77"/>
      <c r="P181" s="77"/>
      <c r="Q181" s="77"/>
      <c r="R181" s="77"/>
      <c r="S181" s="77"/>
      <c r="T181" s="77"/>
      <c r="U181" s="410"/>
      <c r="V181" s="486"/>
      <c r="Y181" s="316"/>
    </row>
    <row r="182" spans="1:25" ht="12.75">
      <c r="A182" s="22">
        <v>11</v>
      </c>
      <c r="B182" s="68" t="s">
        <v>406</v>
      </c>
      <c r="D182" s="70"/>
      <c r="E182" s="70"/>
      <c r="G182" s="71"/>
      <c r="H182" s="71">
        <f>RATE(13,,-G84,$T84)</f>
        <v>4.3730410255582379E-2</v>
      </c>
      <c r="I182" s="71">
        <f>RATE(12,,-H84,$T84)</f>
        <v>4.7298194879917793E-2</v>
      </c>
      <c r="J182" s="71">
        <f>RATE(11,,-I84,$T84)</f>
        <v>5.5238144078790206E-2</v>
      </c>
      <c r="K182" s="71">
        <f>RATE(10,,-J84,$T84)</f>
        <v>6.10068537216331E-2</v>
      </c>
      <c r="L182" s="71">
        <f>RATE(9,,-K84,$T84)</f>
        <v>6.0967562053945878E-2</v>
      </c>
      <c r="M182" s="71">
        <f>RATE(8,,-L84,$T84)</f>
        <v>6.0885903207858326E-2</v>
      </c>
      <c r="N182" s="334">
        <f>RATE(7,,-M84,$T84)</f>
        <v>6.4862649639835332E-2</v>
      </c>
      <c r="O182" s="71">
        <f>RATE(6,,-N84,$T84)</f>
        <v>6.5878075306076089E-2</v>
      </c>
      <c r="P182" s="71">
        <f>RATE(5,,-O84,$T84)</f>
        <v>5.3830291191638957E-2</v>
      </c>
      <c r="Q182" s="71">
        <f>RATE(4,,-P84,$T84)</f>
        <v>6.1536523065830108E-2</v>
      </c>
      <c r="R182" s="71">
        <f>RATE(3,,-Q84,$T84)</f>
        <v>7.1648158788648622E-2</v>
      </c>
      <c r="S182" s="71">
        <f>RATE(2,,-R84,$T84)</f>
        <v>7.5529705367104349E-2</v>
      </c>
      <c r="T182" s="71">
        <f>RATE(1,,-S84,$T84)</f>
        <v>8.7322330199895007E-2</v>
      </c>
      <c r="U182" s="89">
        <f>RATE(1,,-T84,$T84)</f>
        <v>3.3903672561772294E-17</v>
      </c>
      <c r="V182" s="119"/>
      <c r="Y182" s="316"/>
    </row>
    <row r="183" spans="1:25" ht="7.5" customHeight="1">
      <c r="B183" s="68"/>
      <c r="D183" s="70"/>
      <c r="E183" s="70"/>
      <c r="G183" s="71"/>
      <c r="H183" s="71"/>
      <c r="I183" s="71"/>
      <c r="J183" s="71"/>
      <c r="K183" s="71"/>
      <c r="L183" s="71"/>
      <c r="M183" s="71"/>
      <c r="N183" s="333"/>
      <c r="O183" s="71"/>
      <c r="P183" s="71"/>
      <c r="Q183" s="71"/>
      <c r="R183" s="71"/>
      <c r="S183" s="71"/>
      <c r="T183" s="71"/>
      <c r="U183" s="89"/>
      <c r="V183" s="119"/>
      <c r="Y183" s="316"/>
    </row>
    <row r="184" spans="1:25" ht="13.5" thickBot="1">
      <c r="A184" s="22">
        <v>12</v>
      </c>
      <c r="B184" s="68" t="s">
        <v>72</v>
      </c>
      <c r="C184"/>
      <c r="D184"/>
      <c r="E184"/>
      <c r="F184"/>
      <c r="G184" s="71"/>
      <c r="H184" s="71">
        <f>RATE(13,,-G91,$T91)</f>
        <v>4.8310659267959646E-2</v>
      </c>
      <c r="I184" s="71">
        <f>RATE(12,,-H91,$T91)</f>
        <v>5.1899880999887391E-2</v>
      </c>
      <c r="J184" s="71">
        <f>RATE(11,,-I91,$T91)</f>
        <v>6.0150167870031787E-2</v>
      </c>
      <c r="K184" s="71">
        <f>RATE(10,,-J91,$T91)</f>
        <v>6.7099911677334187E-2</v>
      </c>
      <c r="L184" s="71">
        <f>RATE(9,,-K91,$T91)</f>
        <v>6.599483866669191E-2</v>
      </c>
      <c r="M184" s="71">
        <f>RATE(8,,-L91,$T91)</f>
        <v>6.6640977792237432E-2</v>
      </c>
      <c r="N184" s="362">
        <f>RATE(7,,-M91,$T91)</f>
        <v>7.4131975528255734E-2</v>
      </c>
      <c r="O184" s="71">
        <f>RATE(6,,-N91,$T91)</f>
        <v>6.6904392588354428E-2</v>
      </c>
      <c r="P184" s="71">
        <f>RATE(5,,-O91,$T91)</f>
        <v>6.7205688147962531E-2</v>
      </c>
      <c r="Q184" s="71">
        <f>RATE(4,,-P91,$T91)</f>
        <v>7.567881488245097E-2</v>
      </c>
      <c r="R184" s="71">
        <f>RATE(3,,-Q91,$T91)</f>
        <v>8.4351442625100928E-2</v>
      </c>
      <c r="S184" s="71">
        <f>RATE(2,,-R91,$T91)</f>
        <v>9.800029152248374E-2</v>
      </c>
      <c r="T184" s="71">
        <f>RATE(1,,-S91,$T91)</f>
        <v>0.11312404369640242</v>
      </c>
      <c r="U184" s="89">
        <f>RATE(1,,-T91,$T91)</f>
        <v>3.3578815316010048E-17</v>
      </c>
      <c r="V184" s="119"/>
      <c r="Y184" s="316"/>
    </row>
    <row r="185" spans="1:25" ht="9.75" customHeight="1">
      <c r="B185" s="68"/>
      <c r="D185" s="70"/>
      <c r="E185" s="70"/>
      <c r="G185" s="77"/>
      <c r="H185" s="77"/>
      <c r="I185" s="77"/>
      <c r="J185" s="77"/>
      <c r="K185" s="77"/>
      <c r="L185" s="77"/>
      <c r="M185" s="77"/>
      <c r="N185" s="125"/>
      <c r="O185" s="77"/>
      <c r="P185" s="77"/>
      <c r="Q185" s="77"/>
      <c r="R185" s="77"/>
      <c r="S185" s="77"/>
      <c r="T185" s="77"/>
      <c r="U185" s="410"/>
      <c r="V185" s="486"/>
      <c r="W185" s="316"/>
      <c r="X185" s="316"/>
      <c r="Y185" s="316"/>
    </row>
    <row r="186" spans="1:25" ht="12.75">
      <c r="A186" s="22">
        <v>13</v>
      </c>
      <c r="B186" s="68" t="s">
        <v>160</v>
      </c>
      <c r="D186" s="70"/>
      <c r="E186" s="70"/>
      <c r="G186" s="71" t="str">
        <f>H170</f>
        <v>Not used due to deminimus values that resulted in extraordinary variablility</v>
      </c>
      <c r="H186" s="71"/>
      <c r="I186" s="71"/>
      <c r="J186" s="71"/>
      <c r="K186" s="71"/>
      <c r="L186" s="71"/>
      <c r="M186" s="71"/>
      <c r="N186" s="124"/>
      <c r="O186" s="71"/>
      <c r="P186" s="71"/>
      <c r="Q186" s="71"/>
      <c r="R186" s="71"/>
      <c r="S186" s="71"/>
      <c r="T186" s="71"/>
      <c r="U186" s="89"/>
      <c r="V186" s="119"/>
    </row>
    <row r="187" spans="1:25" ht="12.75">
      <c r="D187" s="70"/>
      <c r="E187" s="70"/>
      <c r="G187" s="77"/>
      <c r="H187" s="77"/>
      <c r="I187" s="77"/>
      <c r="J187" s="77"/>
      <c r="K187" s="77"/>
      <c r="L187" s="77"/>
      <c r="M187" s="77"/>
      <c r="N187" s="125"/>
      <c r="O187" s="77"/>
      <c r="P187" s="77"/>
      <c r="Q187" s="77"/>
      <c r="R187" s="77"/>
      <c r="S187" s="77"/>
      <c r="T187" s="77"/>
      <c r="U187" s="410"/>
      <c r="V187" s="486"/>
    </row>
    <row r="188" spans="1:25" ht="12.75">
      <c r="B188" s="72" t="s">
        <v>437</v>
      </c>
      <c r="C188" s="72"/>
      <c r="D188" s="73"/>
      <c r="E188" s="73"/>
      <c r="F188" s="62"/>
      <c r="G188" s="206"/>
      <c r="H188" s="206" t="s">
        <v>412</v>
      </c>
      <c r="I188" s="206" t="s">
        <v>413</v>
      </c>
      <c r="J188" s="206" t="s">
        <v>414</v>
      </c>
      <c r="K188" s="206" t="s">
        <v>415</v>
      </c>
      <c r="L188" s="206" t="s">
        <v>416</v>
      </c>
      <c r="M188" s="206" t="s">
        <v>417</v>
      </c>
      <c r="N188" s="206" t="s">
        <v>418</v>
      </c>
      <c r="O188" s="206" t="s">
        <v>419</v>
      </c>
      <c r="P188" s="206" t="s">
        <v>420</v>
      </c>
      <c r="Q188" s="206" t="s">
        <v>421</v>
      </c>
      <c r="R188" s="206" t="s">
        <v>422</v>
      </c>
      <c r="S188" s="206" t="s">
        <v>410</v>
      </c>
      <c r="T188" s="206" t="s">
        <v>411</v>
      </c>
      <c r="U188" s="432" t="s">
        <v>411</v>
      </c>
      <c r="V188" s="485"/>
    </row>
    <row r="189" spans="1:25" ht="9" customHeight="1" thickBot="1">
      <c r="F189" s="85"/>
      <c r="G189"/>
      <c r="H189"/>
      <c r="I189"/>
      <c r="J189"/>
      <c r="K189"/>
      <c r="L189"/>
      <c r="M189"/>
      <c r="N189"/>
      <c r="O189"/>
      <c r="R189" s="4"/>
      <c r="S189" s="4"/>
      <c r="T189" s="4"/>
      <c r="U189" s="29"/>
      <c r="V189" s="238"/>
    </row>
    <row r="190" spans="1:25" ht="12.75">
      <c r="A190" s="22">
        <v>14</v>
      </c>
      <c r="B190" s="66" t="s">
        <v>253</v>
      </c>
      <c r="F190" s="85" t="s">
        <v>187</v>
      </c>
      <c r="G190" s="240" t="s">
        <v>423</v>
      </c>
      <c r="H190" s="71">
        <f>2*H174</f>
        <v>0.10446366329933988</v>
      </c>
      <c r="I190" s="71">
        <f t="shared" ref="I190:T190" si="70">2*I174</f>
        <v>8.0644012857554945E-2</v>
      </c>
      <c r="J190" s="71">
        <f t="shared" si="70"/>
        <v>7.7501713917718817E-2</v>
      </c>
      <c r="K190" s="71">
        <f t="shared" si="70"/>
        <v>9.3929595294095114E-2</v>
      </c>
      <c r="L190" s="71">
        <f t="shared" si="70"/>
        <v>9.7738676593752211E-2</v>
      </c>
      <c r="M190" s="71">
        <f t="shared" si="70"/>
        <v>0.11160930544796385</v>
      </c>
      <c r="N190" s="363">
        <f t="shared" si="70"/>
        <v>0.11828015530174711</v>
      </c>
      <c r="O190" s="71">
        <f t="shared" si="70"/>
        <v>0.12856550890187568</v>
      </c>
      <c r="P190" s="71">
        <f t="shared" si="70"/>
        <v>0.10265448662699304</v>
      </c>
      <c r="Q190" s="71">
        <f t="shared" si="70"/>
        <v>9.8273840100594062E-2</v>
      </c>
      <c r="R190" s="71">
        <f t="shared" si="70"/>
        <v>8.393849705904316E-2</v>
      </c>
      <c r="S190" s="71">
        <f t="shared" si="70"/>
        <v>2.3135660838699435E-2</v>
      </c>
      <c r="T190" s="71">
        <f t="shared" si="70"/>
        <v>2.6433995798998113E-2</v>
      </c>
      <c r="U190" s="89">
        <f t="shared" ref="U190" si="71">2*U174</f>
        <v>7.9238919579833235E-17</v>
      </c>
      <c r="V190" s="119"/>
    </row>
    <row r="191" spans="1:25" ht="12.75">
      <c r="B191" s="66"/>
      <c r="F191" s="85"/>
      <c r="G191" s="3"/>
      <c r="H191" s="71"/>
      <c r="I191" s="71"/>
      <c r="J191" s="71"/>
      <c r="K191" s="71"/>
      <c r="L191" s="71"/>
      <c r="M191" s="71"/>
      <c r="N191" s="331"/>
      <c r="O191" s="71"/>
      <c r="P191" s="71"/>
      <c r="Q191" s="71"/>
      <c r="R191" s="71"/>
      <c r="S191" s="71"/>
      <c r="T191" s="71"/>
      <c r="U191" s="89"/>
      <c r="V191" s="119"/>
    </row>
    <row r="192" spans="1:25" ht="12.75">
      <c r="A192" s="22" t="s">
        <v>229</v>
      </c>
      <c r="B192" s="213" t="s">
        <v>408</v>
      </c>
      <c r="F192" s="85" t="s">
        <v>187</v>
      </c>
      <c r="G192" s="240" t="s">
        <v>423</v>
      </c>
      <c r="H192" s="71"/>
      <c r="I192" s="71"/>
      <c r="J192" s="71"/>
      <c r="K192" s="71"/>
      <c r="L192" s="71"/>
      <c r="M192" s="71"/>
      <c r="N192" s="334">
        <f>2*N176</f>
        <v>0.06</v>
      </c>
      <c r="O192" s="71"/>
      <c r="P192" s="71"/>
      <c r="Q192" s="71"/>
      <c r="R192" s="71"/>
      <c r="S192" s="71"/>
      <c r="T192" s="71"/>
      <c r="U192" s="89"/>
      <c r="V192" s="119"/>
    </row>
    <row r="193" spans="1:25" ht="12.75">
      <c r="B193" s="66"/>
      <c r="F193" s="85"/>
      <c r="G193" s="3"/>
      <c r="H193" s="71"/>
      <c r="I193" s="71"/>
      <c r="J193" s="71"/>
      <c r="K193" s="71"/>
      <c r="L193" s="71"/>
      <c r="M193" s="71"/>
      <c r="N193" s="331"/>
      <c r="O193" s="71"/>
      <c r="P193" s="71"/>
      <c r="Q193" s="71"/>
      <c r="R193" s="71"/>
      <c r="S193" s="71"/>
      <c r="T193" s="71"/>
      <c r="U193" s="89"/>
      <c r="V193" s="119"/>
    </row>
    <row r="194" spans="1:25" ht="12.75">
      <c r="A194" s="22">
        <v>16</v>
      </c>
      <c r="B194" s="66" t="s">
        <v>405</v>
      </c>
      <c r="F194" s="85" t="s">
        <v>188</v>
      </c>
      <c r="G194" s="240" t="s">
        <v>423</v>
      </c>
      <c r="H194" s="71">
        <f>2*H178</f>
        <v>0.1340548674936759</v>
      </c>
      <c r="I194" s="71">
        <f t="shared" ref="I194:T194" si="72">2*I178</f>
        <v>0.13521388201688742</v>
      </c>
      <c r="J194" s="71">
        <f t="shared" si="72"/>
        <v>0.13821253634617633</v>
      </c>
      <c r="K194" s="71">
        <f t="shared" si="72"/>
        <v>0.1521440540687605</v>
      </c>
      <c r="L194" s="71">
        <f t="shared" si="72"/>
        <v>0.15693188263108049</v>
      </c>
      <c r="M194" s="71">
        <f t="shared" si="72"/>
        <v>0.16859386990837388</v>
      </c>
      <c r="N194" s="350">
        <f t="shared" si="72"/>
        <v>0.17427278244789529</v>
      </c>
      <c r="O194" s="71">
        <f t="shared" si="72"/>
        <v>0.18839009802909601</v>
      </c>
      <c r="P194" s="71">
        <f t="shared" si="72"/>
        <v>0.18974451942046214</v>
      </c>
      <c r="Q194" s="71">
        <f t="shared" si="72"/>
        <v>0.19757417142943151</v>
      </c>
      <c r="R194" s="71">
        <f t="shared" si="72"/>
        <v>0.21619207108127328</v>
      </c>
      <c r="S194" s="71">
        <f t="shared" si="72"/>
        <v>0.23095925543283305</v>
      </c>
      <c r="T194" s="71">
        <f t="shared" si="72"/>
        <v>0.18582107943810042</v>
      </c>
      <c r="U194" s="89">
        <f t="shared" ref="U194" si="73">2*U178</f>
        <v>1.0134206562723101E-16</v>
      </c>
      <c r="V194" s="119"/>
      <c r="W194" s="27"/>
      <c r="X194" s="27"/>
      <c r="Y194" s="27"/>
    </row>
    <row r="195" spans="1:25" ht="9.75" customHeight="1">
      <c r="B195" s="66"/>
      <c r="F195" s="85"/>
      <c r="G195" s="3"/>
      <c r="H195" s="77"/>
      <c r="I195" s="77"/>
      <c r="J195" s="77"/>
      <c r="K195" s="77"/>
      <c r="L195" s="77"/>
      <c r="M195" s="77"/>
      <c r="N195" s="331"/>
      <c r="O195" s="77"/>
      <c r="P195" s="77"/>
      <c r="Q195" s="77"/>
      <c r="R195" s="77"/>
      <c r="S195" s="77"/>
      <c r="T195" s="77"/>
      <c r="U195" s="410"/>
      <c r="V195" s="486"/>
      <c r="W195" s="27"/>
      <c r="X195" s="27"/>
      <c r="Y195" s="27"/>
    </row>
    <row r="196" spans="1:25" ht="12.75">
      <c r="A196" s="22">
        <v>17</v>
      </c>
      <c r="B196" s="67" t="s">
        <v>67</v>
      </c>
      <c r="C196" s="67"/>
      <c r="F196" s="85" t="s">
        <v>188</v>
      </c>
      <c r="G196" s="240" t="s">
        <v>423</v>
      </c>
      <c r="H196" s="71">
        <f>2*H180</f>
        <v>8.9869659266059984E-2</v>
      </c>
      <c r="I196" s="71">
        <f t="shared" ref="I196:T196" si="74">2*I180</f>
        <v>6.6962849618832712E-2</v>
      </c>
      <c r="J196" s="71">
        <f t="shared" si="74"/>
        <v>9.2036520680413389E-2</v>
      </c>
      <c r="K196" s="71">
        <f t="shared" si="74"/>
        <v>7.8121817696060428E-2</v>
      </c>
      <c r="L196" s="71">
        <f t="shared" si="74"/>
        <v>0.11375599058379009</v>
      </c>
      <c r="M196" s="71">
        <f t="shared" si="74"/>
        <v>0.11071790277942394</v>
      </c>
      <c r="N196" s="350">
        <f t="shared" si="74"/>
        <v>0.1311226303687851</v>
      </c>
      <c r="O196" s="71">
        <f t="shared" si="74"/>
        <v>0.21897683429966386</v>
      </c>
      <c r="P196" s="71">
        <f t="shared" si="74"/>
        <v>0.16356438389943126</v>
      </c>
      <c r="Q196" s="71">
        <f t="shared" si="74"/>
        <v>0.19109258599261594</v>
      </c>
      <c r="R196" s="71">
        <f t="shared" si="74"/>
        <v>0.17122708822882865</v>
      </c>
      <c r="S196" s="71">
        <f t="shared" si="74"/>
        <v>0.19339362854833358</v>
      </c>
      <c r="T196" s="71">
        <f t="shared" si="74"/>
        <v>0.12791369678289372</v>
      </c>
      <c r="U196" s="89">
        <f t="shared" ref="U196" si="75">2*U180</f>
        <v>-1.6626207924451904E-16</v>
      </c>
      <c r="V196" s="119"/>
      <c r="W196" s="319"/>
      <c r="X196" s="135"/>
      <c r="Y196" s="27"/>
    </row>
    <row r="197" spans="1:25" ht="12.75">
      <c r="B197"/>
      <c r="F197" s="85"/>
      <c r="G197" s="3"/>
      <c r="H197" s="77"/>
      <c r="I197" s="77"/>
      <c r="J197" s="77"/>
      <c r="K197" s="77"/>
      <c r="L197" s="77"/>
      <c r="M197" s="77"/>
      <c r="N197" s="335"/>
      <c r="O197" s="77"/>
      <c r="P197" s="77"/>
      <c r="Q197" s="77"/>
      <c r="R197" s="77"/>
      <c r="S197" s="77"/>
      <c r="T197" s="77"/>
      <c r="U197" s="410"/>
      <c r="V197" s="486"/>
      <c r="W197" s="27"/>
      <c r="X197" s="27"/>
      <c r="Y197" s="27"/>
    </row>
    <row r="198" spans="1:25" ht="12.75">
      <c r="A198" s="22">
        <v>18</v>
      </c>
      <c r="B198" s="68" t="s">
        <v>406</v>
      </c>
      <c r="F198" s="4" t="s">
        <v>188</v>
      </c>
      <c r="G198" s="240" t="s">
        <v>423</v>
      </c>
      <c r="H198" s="71">
        <f>2*H182</f>
        <v>8.7460820511164758E-2</v>
      </c>
      <c r="I198" s="71">
        <f t="shared" ref="I198:T198" si="76">2*I182</f>
        <v>9.4596389759835586E-2</v>
      </c>
      <c r="J198" s="71">
        <f t="shared" si="76"/>
        <v>0.11047628815758041</v>
      </c>
      <c r="K198" s="71">
        <f t="shared" si="76"/>
        <v>0.1220137074432662</v>
      </c>
      <c r="L198" s="71">
        <f t="shared" si="76"/>
        <v>0.12193512410789176</v>
      </c>
      <c r="M198" s="71">
        <f t="shared" si="76"/>
        <v>0.12177180641571665</v>
      </c>
      <c r="N198" s="350">
        <f t="shared" si="76"/>
        <v>0.12972529927967066</v>
      </c>
      <c r="O198" s="71">
        <f t="shared" si="76"/>
        <v>0.13175615061215218</v>
      </c>
      <c r="P198" s="71">
        <f t="shared" si="76"/>
        <v>0.10766058238327791</v>
      </c>
      <c r="Q198" s="71">
        <f t="shared" si="76"/>
        <v>0.12307304613166022</v>
      </c>
      <c r="R198" s="71">
        <f t="shared" si="76"/>
        <v>0.14329631757729724</v>
      </c>
      <c r="S198" s="71">
        <f t="shared" si="76"/>
        <v>0.1510594107342087</v>
      </c>
      <c r="T198" s="71">
        <f t="shared" si="76"/>
        <v>0.17464466039979001</v>
      </c>
      <c r="U198" s="89">
        <f t="shared" ref="U198" si="77">2*U182</f>
        <v>6.7807345123544587E-17</v>
      </c>
      <c r="V198" s="119"/>
      <c r="W198" s="135"/>
      <c r="X198" s="27"/>
      <c r="Y198" s="27"/>
    </row>
    <row r="199" spans="1:25" ht="12.75">
      <c r="B199" s="68"/>
      <c r="G199" s="240"/>
      <c r="H199" s="71"/>
      <c r="I199" s="71"/>
      <c r="J199" s="71"/>
      <c r="K199" s="71"/>
      <c r="L199" s="71"/>
      <c r="M199" s="71"/>
      <c r="N199" s="335"/>
      <c r="O199" s="71"/>
      <c r="P199" s="71"/>
      <c r="Q199" s="71"/>
      <c r="R199" s="71"/>
      <c r="S199" s="71"/>
      <c r="T199" s="71"/>
      <c r="U199" s="89"/>
      <c r="V199" s="119"/>
      <c r="W199" s="135"/>
      <c r="X199" s="27"/>
      <c r="Y199" s="27"/>
    </row>
    <row r="200" spans="1:25" ht="13.5" thickBot="1">
      <c r="A200" s="22">
        <v>19</v>
      </c>
      <c r="B200" s="68" t="s">
        <v>72</v>
      </c>
      <c r="F200" s="85" t="s">
        <v>188</v>
      </c>
      <c r="G200" s="240" t="s">
        <v>423</v>
      </c>
      <c r="H200" s="71">
        <f>2*H184</f>
        <v>9.6621318535919293E-2</v>
      </c>
      <c r="I200" s="71">
        <f t="shared" ref="I200:T200" si="78">2*I184</f>
        <v>0.10379976199977478</v>
      </c>
      <c r="J200" s="71">
        <f t="shared" si="78"/>
        <v>0.12030033574006357</v>
      </c>
      <c r="K200" s="71">
        <f t="shared" si="78"/>
        <v>0.13419982335466837</v>
      </c>
      <c r="L200" s="71">
        <f t="shared" si="78"/>
        <v>0.13198967733338382</v>
      </c>
      <c r="M200" s="71">
        <f t="shared" si="78"/>
        <v>0.13328195558447486</v>
      </c>
      <c r="N200" s="364">
        <f t="shared" si="78"/>
        <v>0.14826395105651147</v>
      </c>
      <c r="O200" s="71">
        <f t="shared" si="78"/>
        <v>0.13380878517670886</v>
      </c>
      <c r="P200" s="71">
        <f t="shared" si="78"/>
        <v>0.13441137629592506</v>
      </c>
      <c r="Q200" s="71">
        <f t="shared" si="78"/>
        <v>0.15135762976490194</v>
      </c>
      <c r="R200" s="71">
        <f t="shared" si="78"/>
        <v>0.16870288525020186</v>
      </c>
      <c r="S200" s="71">
        <f t="shared" si="78"/>
        <v>0.19600058304496748</v>
      </c>
      <c r="T200" s="71">
        <f t="shared" si="78"/>
        <v>0.22624808739280483</v>
      </c>
      <c r="U200" s="89">
        <f t="shared" ref="U200" si="79">2*U184</f>
        <v>6.7157630632020096E-17</v>
      </c>
      <c r="V200" s="119"/>
    </row>
    <row r="201" spans="1:25">
      <c r="B201" s="68"/>
      <c r="G201" s="77"/>
      <c r="H201" s="77"/>
      <c r="I201" s="77"/>
      <c r="J201" s="77"/>
      <c r="K201" s="77"/>
      <c r="L201" s="77"/>
      <c r="M201" s="77"/>
      <c r="N201" s="125"/>
      <c r="O201" s="77"/>
      <c r="P201" s="77"/>
      <c r="Q201" s="77"/>
      <c r="R201" s="77"/>
    </row>
    <row r="202" spans="1:25" ht="12.75">
      <c r="A202" s="22">
        <v>20</v>
      </c>
      <c r="B202" s="68" t="s">
        <v>160</v>
      </c>
      <c r="F202" s="4" t="s">
        <v>187</v>
      </c>
      <c r="G202" s="71" t="str">
        <f>G186</f>
        <v>Not used due to deminimus values that resulted in extraordinary variablility</v>
      </c>
      <c r="H202" s="71"/>
      <c r="I202" s="71"/>
      <c r="J202" s="71"/>
      <c r="K202" s="71"/>
      <c r="L202" s="71"/>
      <c r="M202" s="71"/>
      <c r="N202" s="124"/>
      <c r="O202" s="71"/>
      <c r="P202" s="71"/>
      <c r="Q202" s="71"/>
      <c r="R202" s="71"/>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7:R157"/>
    <mergeCell ref="A1:R1"/>
    <mergeCell ref="A2:R2"/>
    <mergeCell ref="A59:R59"/>
    <mergeCell ref="E4:R4"/>
    <mergeCell ref="E61:R61"/>
  </mergeCells>
  <phoneticPr fontId="0" type="noConversion"/>
  <pageMargins left="0.7" right="0.7" top="0.75" bottom="0.75" header="0.3" footer="0.3"/>
  <pageSetup scale="67" fitToHeight="3" orientation="landscape" r:id="rId3"/>
  <headerFooter scaleWithDoc="0">
    <oddHeader>&amp;RExhibit No. CSH-7
Dockets UE-160228/UG-160229
Page &amp;P of &amp;N</oddHeader>
  </headerFooter>
  <rowBreaks count="2" manualBreakCount="2">
    <brk id="59" max="20" man="1"/>
    <brk id="97" max="20" man="1"/>
  </rowBreaks>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115" zoomScaleNormal="100" zoomScaleSheetLayoutView="115" workbookViewId="0">
      <selection activeCell="K72" sqref="K72"/>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93" t="s">
        <v>528</v>
      </c>
      <c r="B1" s="593"/>
      <c r="C1" s="593"/>
      <c r="D1" s="593"/>
      <c r="E1" s="593"/>
      <c r="J1" s="541" t="s">
        <v>532</v>
      </c>
    </row>
    <row r="2" spans="1:10">
      <c r="B2" s="433">
        <v>2007</v>
      </c>
      <c r="C2" s="433">
        <v>2008</v>
      </c>
      <c r="D2" s="351">
        <v>2009</v>
      </c>
      <c r="E2" s="351">
        <v>2010</v>
      </c>
      <c r="F2" s="351">
        <v>2011</v>
      </c>
      <c r="G2" s="351">
        <v>2012</v>
      </c>
      <c r="H2" s="351">
        <v>2013</v>
      </c>
      <c r="I2" s="351">
        <v>2014</v>
      </c>
      <c r="J2" s="542">
        <v>2015</v>
      </c>
    </row>
    <row r="3" spans="1:10">
      <c r="A3" t="s">
        <v>445</v>
      </c>
      <c r="B3" s="392">
        <f>'Cost Trends'!M139</f>
        <v>145500</v>
      </c>
      <c r="C3" s="392">
        <f>'Cost Trends'!N139</f>
        <v>154054</v>
      </c>
      <c r="D3" s="392">
        <f>'Cost Trends'!O139</f>
        <v>173806</v>
      </c>
      <c r="E3" s="392">
        <f>'Cost Trends'!P139</f>
        <v>177901</v>
      </c>
      <c r="F3" s="392">
        <f>'Cost Trends'!Q139</f>
        <v>183553</v>
      </c>
      <c r="G3" s="392">
        <f>'Cost Trends'!R139</f>
        <v>195287</v>
      </c>
      <c r="H3" s="392">
        <f>'Cost Trends'!S139</f>
        <v>207759</v>
      </c>
      <c r="I3" s="392">
        <f>'Cost Trends'!T139</f>
        <v>225901</v>
      </c>
      <c r="J3" s="392">
        <f>'Cost Trends'!U139</f>
        <v>244647</v>
      </c>
    </row>
    <row r="4" spans="1:10">
      <c r="B4" s="98">
        <v>0</v>
      </c>
      <c r="C4" s="98">
        <v>1</v>
      </c>
      <c r="D4" s="98">
        <v>2</v>
      </c>
      <c r="E4" s="98">
        <v>3</v>
      </c>
      <c r="F4" s="98">
        <v>4</v>
      </c>
      <c r="G4" s="98">
        <v>5</v>
      </c>
      <c r="H4" s="98">
        <v>6</v>
      </c>
      <c r="I4" s="98">
        <v>7</v>
      </c>
      <c r="J4" s="368">
        <v>8</v>
      </c>
    </row>
    <row r="5" spans="1:10">
      <c r="A5" t="s">
        <v>445</v>
      </c>
      <c r="B5" s="92">
        <f>B3</f>
        <v>145500</v>
      </c>
      <c r="C5" s="92">
        <f t="shared" ref="C5:J5" si="0">C3</f>
        <v>154054</v>
      </c>
      <c r="D5" s="92">
        <f t="shared" si="0"/>
        <v>173806</v>
      </c>
      <c r="E5" s="92">
        <f t="shared" si="0"/>
        <v>177901</v>
      </c>
      <c r="F5" s="92">
        <f t="shared" si="0"/>
        <v>183553</v>
      </c>
      <c r="G5" s="92">
        <f t="shared" si="0"/>
        <v>195287</v>
      </c>
      <c r="H5" s="92">
        <f t="shared" si="0"/>
        <v>207759</v>
      </c>
      <c r="I5" s="92">
        <f t="shared" si="0"/>
        <v>225901</v>
      </c>
      <c r="J5" s="343">
        <f t="shared" si="0"/>
        <v>244647</v>
      </c>
    </row>
    <row r="6" spans="1:10">
      <c r="B6" s="44"/>
      <c r="C6" s="44"/>
      <c r="D6" s="44"/>
      <c r="E6" s="44"/>
      <c r="F6" s="44"/>
      <c r="G6" s="44"/>
      <c r="J6" s="120"/>
    </row>
    <row r="25" spans="1:10">
      <c r="B25" s="80" t="s">
        <v>441</v>
      </c>
      <c r="C25" s="80" t="s">
        <v>111</v>
      </c>
    </row>
    <row r="26" spans="1:10">
      <c r="A26" s="469" t="s">
        <v>444</v>
      </c>
      <c r="B26" s="469">
        <f>2*B63</f>
        <v>1116.9372294372308</v>
      </c>
      <c r="C26" s="470">
        <f>B62</f>
        <v>7155.9344155844128</v>
      </c>
    </row>
    <row r="27" spans="1:10">
      <c r="A27" s="471" t="s">
        <v>450</v>
      </c>
      <c r="B27" s="120">
        <f>(8*B26)</f>
        <v>8935.4978354978466</v>
      </c>
      <c r="C27" s="120"/>
    </row>
    <row r="28" spans="1:10">
      <c r="A28" s="120" t="s">
        <v>443</v>
      </c>
      <c r="B28" s="469"/>
      <c r="C28" s="472">
        <f>B27+C26</f>
        <v>16091.43225108226</v>
      </c>
    </row>
    <row r="29" spans="1:10" ht="13.5" thickBot="1">
      <c r="A29" s="120" t="s">
        <v>440</v>
      </c>
      <c r="B29" s="89"/>
      <c r="C29" s="89">
        <f>C28/J5</f>
        <v>6.5774083684174589E-2</v>
      </c>
    </row>
    <row r="30" spans="1:10" ht="13.5" thickBot="1">
      <c r="A30" s="80" t="s">
        <v>442</v>
      </c>
      <c r="B30" s="352"/>
      <c r="C30" s="378">
        <f>2.5*C29</f>
        <v>0.16443520921043647</v>
      </c>
      <c r="D30" s="70" t="s">
        <v>555</v>
      </c>
    </row>
    <row r="31" spans="1:10">
      <c r="A31" s="104"/>
      <c r="B31" s="104"/>
      <c r="C31" s="104"/>
      <c r="D31" s="104"/>
      <c r="E31" s="104"/>
      <c r="F31" s="104"/>
      <c r="G31" s="104"/>
      <c r="H31" s="104"/>
      <c r="I31" s="104"/>
      <c r="J31" s="104"/>
    </row>
    <row r="34" spans="1:12">
      <c r="A34" t="s">
        <v>560</v>
      </c>
      <c r="B34" t="s">
        <v>561</v>
      </c>
      <c r="C34" t="str">
        <f>A3</f>
        <v xml:space="preserve">Net Plant after DFIT </v>
      </c>
    </row>
    <row r="35" spans="1:12">
      <c r="A35">
        <f t="array" ref="A35:A43">TRANSPOSE(B4:J4)</f>
        <v>0</v>
      </c>
      <c r="B35">
        <f>A35^2</f>
        <v>0</v>
      </c>
      <c r="C35">
        <f t="array" ref="C35:C43">TRANSPOSE(B5:J5)</f>
        <v>145500</v>
      </c>
    </row>
    <row r="36" spans="1:12">
      <c r="A36">
        <v>1</v>
      </c>
      <c r="B36">
        <f t="shared" ref="B36:B43" si="1">A36^2</f>
        <v>1</v>
      </c>
      <c r="C36">
        <v>154054</v>
      </c>
    </row>
    <row r="37" spans="1:12">
      <c r="A37">
        <v>2</v>
      </c>
      <c r="B37">
        <f t="shared" si="1"/>
        <v>4</v>
      </c>
      <c r="C37">
        <v>173806</v>
      </c>
    </row>
    <row r="38" spans="1:12">
      <c r="A38">
        <v>3</v>
      </c>
      <c r="B38">
        <f t="shared" si="1"/>
        <v>9</v>
      </c>
      <c r="C38">
        <v>177901</v>
      </c>
    </row>
    <row r="39" spans="1:12">
      <c r="A39">
        <v>4</v>
      </c>
      <c r="B39">
        <f t="shared" si="1"/>
        <v>16</v>
      </c>
      <c r="C39">
        <v>183553</v>
      </c>
    </row>
    <row r="40" spans="1:12">
      <c r="A40">
        <v>5</v>
      </c>
      <c r="B40">
        <f t="shared" si="1"/>
        <v>25</v>
      </c>
      <c r="C40">
        <v>195287</v>
      </c>
    </row>
    <row r="41" spans="1:12">
      <c r="A41">
        <v>6</v>
      </c>
      <c r="B41">
        <f t="shared" si="1"/>
        <v>36</v>
      </c>
      <c r="C41">
        <v>207759</v>
      </c>
    </row>
    <row r="42" spans="1:12">
      <c r="A42">
        <v>7</v>
      </c>
      <c r="B42">
        <f t="shared" si="1"/>
        <v>49</v>
      </c>
      <c r="C42">
        <v>225901</v>
      </c>
    </row>
    <row r="43" spans="1:12">
      <c r="A43">
        <v>8</v>
      </c>
      <c r="B43">
        <f t="shared" si="1"/>
        <v>64</v>
      </c>
      <c r="C43">
        <v>244647</v>
      </c>
    </row>
    <row r="44" spans="1:12">
      <c r="A44" s="461" t="s">
        <v>562</v>
      </c>
      <c r="K44" s="461" t="s">
        <v>586</v>
      </c>
    </row>
    <row r="45" spans="1:12">
      <c r="A45" t="s">
        <v>563</v>
      </c>
      <c r="K45" t="s">
        <v>563</v>
      </c>
    </row>
    <row r="46" spans="1:12" ht="13.5" thickBot="1"/>
    <row r="47" spans="1:12">
      <c r="A47" s="547" t="s">
        <v>564</v>
      </c>
      <c r="B47" s="547"/>
      <c r="K47" s="547" t="s">
        <v>564</v>
      </c>
      <c r="L47" s="547"/>
    </row>
    <row r="48" spans="1:12">
      <c r="A48" s="544" t="s">
        <v>565</v>
      </c>
      <c r="B48" s="544">
        <v>0.99168520232386681</v>
      </c>
      <c r="K48" s="544" t="s">
        <v>565</v>
      </c>
      <c r="L48" s="544">
        <v>0.98586129575912507</v>
      </c>
    </row>
    <row r="49" spans="1:19">
      <c r="A49" s="544" t="s">
        <v>566</v>
      </c>
      <c r="B49" s="544">
        <v>0.98343954050812854</v>
      </c>
      <c r="K49" s="544" t="s">
        <v>566</v>
      </c>
      <c r="L49" s="544">
        <v>0.9719224944758611</v>
      </c>
    </row>
    <row r="50" spans="1:19">
      <c r="A50" s="544" t="s">
        <v>567</v>
      </c>
      <c r="B50" s="544">
        <v>0.97791938734417139</v>
      </c>
      <c r="K50" s="544" t="s">
        <v>567</v>
      </c>
      <c r="L50" s="544">
        <v>0.96791142225812699</v>
      </c>
    </row>
    <row r="51" spans="1:19">
      <c r="A51" s="544" t="s">
        <v>568</v>
      </c>
      <c r="B51" s="544">
        <v>4798.0430947678706</v>
      </c>
      <c r="K51" s="544" t="s">
        <v>568</v>
      </c>
      <c r="L51" s="544">
        <v>5784.0737111513172</v>
      </c>
    </row>
    <row r="52" spans="1:19" ht="13.5" thickBot="1">
      <c r="A52" s="545" t="s">
        <v>569</v>
      </c>
      <c r="B52" s="545">
        <v>9</v>
      </c>
      <c r="K52" s="545" t="s">
        <v>569</v>
      </c>
      <c r="L52" s="545">
        <v>9</v>
      </c>
    </row>
    <row r="54" spans="1:19" ht="13.5" thickBot="1">
      <c r="A54" t="s">
        <v>570</v>
      </c>
      <c r="K54" t="s">
        <v>570</v>
      </c>
    </row>
    <row r="55" spans="1:19">
      <c r="A55" s="546"/>
      <c r="B55" s="546" t="s">
        <v>574</v>
      </c>
      <c r="C55" s="546" t="s">
        <v>575</v>
      </c>
      <c r="D55" s="546" t="s">
        <v>576</v>
      </c>
      <c r="E55" s="546" t="s">
        <v>577</v>
      </c>
      <c r="F55" s="546" t="s">
        <v>578</v>
      </c>
      <c r="K55" s="546"/>
      <c r="L55" s="546" t="s">
        <v>574</v>
      </c>
      <c r="M55" s="546" t="s">
        <v>575</v>
      </c>
      <c r="N55" s="546" t="s">
        <v>576</v>
      </c>
      <c r="O55" s="546" t="s">
        <v>577</v>
      </c>
      <c r="P55" s="546" t="s">
        <v>578</v>
      </c>
    </row>
    <row r="56" spans="1:19">
      <c r="A56" s="544" t="s">
        <v>571</v>
      </c>
      <c r="B56" s="544">
        <v>2</v>
      </c>
      <c r="C56" s="544">
        <v>8202662109.6533918</v>
      </c>
      <c r="D56" s="544">
        <v>4101331054.8266959</v>
      </c>
      <c r="E56" s="544">
        <v>178.15439378191874</v>
      </c>
      <c r="F56" s="544">
        <v>4.5416864508194297E-6</v>
      </c>
      <c r="K56" s="544" t="s">
        <v>571</v>
      </c>
      <c r="L56" s="544">
        <v>1</v>
      </c>
      <c r="M56" s="544">
        <v>8106600854.0166674</v>
      </c>
      <c r="N56" s="544">
        <v>8106600854.0166674</v>
      </c>
      <c r="O56" s="544">
        <v>242.3098966352949</v>
      </c>
      <c r="P56" s="544">
        <v>1.0914044133696723E-6</v>
      </c>
    </row>
    <row r="57" spans="1:19">
      <c r="A57" s="544" t="s">
        <v>572</v>
      </c>
      <c r="B57" s="544">
        <v>6</v>
      </c>
      <c r="C57" s="544">
        <v>138127305.23549789</v>
      </c>
      <c r="D57" s="544">
        <v>23021217.539249647</v>
      </c>
      <c r="E57" s="544"/>
      <c r="F57" s="544"/>
      <c r="K57" s="544" t="s">
        <v>572</v>
      </c>
      <c r="L57" s="544">
        <v>7</v>
      </c>
      <c r="M57" s="544">
        <v>234188560.87222236</v>
      </c>
      <c r="N57" s="544">
        <v>33455508.696031768</v>
      </c>
      <c r="O57" s="544"/>
      <c r="P57" s="544"/>
    </row>
    <row r="58" spans="1:19" ht="13.5" thickBot="1">
      <c r="A58" s="545" t="s">
        <v>5</v>
      </c>
      <c r="B58" s="545">
        <v>8</v>
      </c>
      <c r="C58" s="545">
        <v>8340789414.8888893</v>
      </c>
      <c r="D58" s="545"/>
      <c r="E58" s="545"/>
      <c r="F58" s="545"/>
      <c r="K58" s="545" t="s">
        <v>5</v>
      </c>
      <c r="L58" s="545">
        <v>8</v>
      </c>
      <c r="M58" s="545">
        <v>8340789414.8888893</v>
      </c>
      <c r="N58" s="545"/>
      <c r="O58" s="545"/>
      <c r="P58" s="545"/>
    </row>
    <row r="59" spans="1:19" ht="13.5" thickBot="1"/>
    <row r="60" spans="1:19">
      <c r="A60" s="546"/>
      <c r="B60" s="546" t="s">
        <v>579</v>
      </c>
      <c r="C60" s="546" t="s">
        <v>568</v>
      </c>
      <c r="D60" s="546" t="s">
        <v>580</v>
      </c>
      <c r="E60" s="546" t="s">
        <v>581</v>
      </c>
      <c r="F60" s="546" t="s">
        <v>582</v>
      </c>
      <c r="G60" s="546" t="s">
        <v>583</v>
      </c>
      <c r="H60" s="546" t="s">
        <v>584</v>
      </c>
      <c r="I60" s="546" t="s">
        <v>585</v>
      </c>
      <c r="K60" s="546"/>
      <c r="L60" s="546" t="s">
        <v>579</v>
      </c>
      <c r="M60" s="546" t="s">
        <v>568</v>
      </c>
      <c r="N60" s="546" t="s">
        <v>580</v>
      </c>
      <c r="O60" s="546" t="s">
        <v>581</v>
      </c>
      <c r="P60" s="546" t="s">
        <v>582</v>
      </c>
      <c r="Q60" s="546" t="s">
        <v>583</v>
      </c>
      <c r="R60" s="546" t="s">
        <v>584</v>
      </c>
      <c r="S60" s="546" t="s">
        <v>585</v>
      </c>
    </row>
    <row r="61" spans="1:19">
      <c r="A61" s="544" t="s">
        <v>573</v>
      </c>
      <c r="B61" s="544">
        <v>148540.75151515153</v>
      </c>
      <c r="C61" s="544">
        <v>3899.7379179835725</v>
      </c>
      <c r="D61" s="544">
        <v>38.08993184648601</v>
      </c>
      <c r="E61" s="544">
        <v>2.1864395894291595E-8</v>
      </c>
      <c r="F61" s="544">
        <v>138998.43658727812</v>
      </c>
      <c r="G61" s="544">
        <v>158083.06644302493</v>
      </c>
      <c r="H61" s="544">
        <v>138998.43658727812</v>
      </c>
      <c r="I61" s="544">
        <v>158083.06644302493</v>
      </c>
      <c r="K61" s="544" t="s">
        <v>573</v>
      </c>
      <c r="L61" s="544">
        <v>143328.37777777779</v>
      </c>
      <c r="M61" s="544">
        <v>3555.1016482812415</v>
      </c>
      <c r="N61" s="544">
        <v>40.316253080153615</v>
      </c>
      <c r="O61" s="544">
        <v>1.5052458849765524E-9</v>
      </c>
      <c r="P61" s="544">
        <v>134921.89820337447</v>
      </c>
      <c r="Q61" s="544">
        <v>151734.8573521811</v>
      </c>
      <c r="R61" s="544">
        <v>134921.89820337447</v>
      </c>
      <c r="S61" s="544">
        <v>151734.8573521811</v>
      </c>
    </row>
    <row r="62" spans="1:19" ht="13.5" thickBot="1">
      <c r="A62" s="544" t="s">
        <v>560</v>
      </c>
      <c r="B62" s="544">
        <v>7155.9344155844128</v>
      </c>
      <c r="C62" s="544">
        <v>2273.1732396658363</v>
      </c>
      <c r="D62" s="544">
        <v>3.147993426421102</v>
      </c>
      <c r="E62" s="544">
        <v>1.9865244413649303E-2</v>
      </c>
      <c r="F62" s="544">
        <v>1593.679875740474</v>
      </c>
      <c r="G62" s="544">
        <v>12718.188955428352</v>
      </c>
      <c r="H62" s="544">
        <v>1593.679875740474</v>
      </c>
      <c r="I62" s="544">
        <v>12718.188955428352</v>
      </c>
      <c r="K62" s="545" t="s">
        <v>560</v>
      </c>
      <c r="L62" s="545">
        <v>11623.683333333331</v>
      </c>
      <c r="M62" s="545">
        <v>746.72070521750595</v>
      </c>
      <c r="N62" s="545">
        <v>15.566306454496353</v>
      </c>
      <c r="O62" s="545">
        <v>1.0914044133696743E-6</v>
      </c>
      <c r="P62" s="545">
        <v>9857.9694446095491</v>
      </c>
      <c r="Q62" s="545">
        <v>13389.397222057112</v>
      </c>
      <c r="R62" s="545">
        <v>9857.9694446095491</v>
      </c>
      <c r="S62" s="545">
        <v>13389.397222057112</v>
      </c>
    </row>
    <row r="63" spans="1:19" ht="13.5" thickBot="1">
      <c r="A63" s="545" t="s">
        <v>561</v>
      </c>
      <c r="B63" s="545">
        <v>558.46861471861541</v>
      </c>
      <c r="C63" s="545">
        <v>273.39387847896586</v>
      </c>
      <c r="D63" s="545">
        <v>2.0427253815106265</v>
      </c>
      <c r="E63" s="545">
        <v>8.7115030842766145E-2</v>
      </c>
      <c r="F63" s="545">
        <v>-110.50210656205377</v>
      </c>
      <c r="G63" s="545">
        <v>1227.4393359992846</v>
      </c>
      <c r="H63" s="545">
        <v>-110.50210656205377</v>
      </c>
      <c r="I63" s="545">
        <v>1227.4393359992846</v>
      </c>
    </row>
  </sheetData>
  <mergeCells count="1">
    <mergeCell ref="A1:E1"/>
  </mergeCells>
  <pageMargins left="0.7" right="0.7" top="0.75" bottom="0.75" header="0.3" footer="0.3"/>
  <pageSetup scale="98" orientation="landscape" r:id="rId1"/>
  <headerFooter scaleWithDoc="0">
    <oddHeader>&amp;RExhibit No. __(EMA-5)</oddHeader>
    <oddFooter xml:space="preserve">&amp;LStaff_DR_030 - Attachment E&amp;RPage &amp;P of &amp;N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115" zoomScaleNormal="100" zoomScaleSheetLayoutView="115" workbookViewId="0">
      <selection activeCell="K72" sqref="K72"/>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93" t="s">
        <v>607</v>
      </c>
      <c r="B1" s="593"/>
      <c r="C1" s="593"/>
      <c r="D1" s="593"/>
      <c r="E1" s="593"/>
      <c r="J1" s="541" t="s">
        <v>532</v>
      </c>
    </row>
    <row r="2" spans="1:10">
      <c r="B2" s="433">
        <v>2007</v>
      </c>
      <c r="C2" s="433">
        <v>2008</v>
      </c>
      <c r="D2" s="351">
        <v>2009</v>
      </c>
      <c r="E2" s="351">
        <v>2010</v>
      </c>
      <c r="F2" s="351">
        <v>2011</v>
      </c>
      <c r="G2" s="351">
        <v>2012</v>
      </c>
      <c r="H2" s="351">
        <v>2013</v>
      </c>
      <c r="I2" s="351">
        <v>2014</v>
      </c>
      <c r="J2" s="542">
        <v>2015</v>
      </c>
    </row>
    <row r="3" spans="1:10">
      <c r="A3" t="s">
        <v>587</v>
      </c>
      <c r="B3" s="392">
        <f>'Cost Trends'!M72</f>
        <v>13758</v>
      </c>
      <c r="C3" s="392">
        <f>'Cost Trends'!N72</f>
        <v>15260</v>
      </c>
      <c r="D3" s="392">
        <f>'Cost Trends'!O72</f>
        <v>21798</v>
      </c>
      <c r="E3" s="392">
        <f>'Cost Trends'!P72</f>
        <v>20047</v>
      </c>
      <c r="F3" s="392">
        <f>'Cost Trends'!Q72</f>
        <v>22008</v>
      </c>
      <c r="G3" s="392">
        <f>'Cost Trends'!R72</f>
        <v>24365</v>
      </c>
      <c r="H3" s="392">
        <f>'Cost Trends'!S72</f>
        <v>24711</v>
      </c>
      <c r="I3" s="392">
        <f>'Cost Trends'!T72</f>
        <v>25235</v>
      </c>
      <c r="J3" s="392">
        <f>'Cost Trends'!U72</f>
        <v>25720</v>
      </c>
    </row>
    <row r="4" spans="1:10">
      <c r="B4" s="98">
        <v>0</v>
      </c>
      <c r="C4" s="98">
        <v>1</v>
      </c>
      <c r="D4" s="98">
        <v>2</v>
      </c>
      <c r="E4" s="98">
        <v>3</v>
      </c>
      <c r="F4" s="98">
        <v>4</v>
      </c>
      <c r="G4" s="98">
        <v>5</v>
      </c>
      <c r="H4" s="98">
        <v>6</v>
      </c>
      <c r="I4" s="98">
        <v>7</v>
      </c>
      <c r="J4" s="368">
        <v>8</v>
      </c>
    </row>
    <row r="5" spans="1:10">
      <c r="A5" t="str">
        <f>A3</f>
        <v>Underground Storage Plant</v>
      </c>
      <c r="B5" s="92">
        <f>B3</f>
        <v>13758</v>
      </c>
      <c r="C5" s="92">
        <f t="shared" ref="C5:J5" si="0">C3</f>
        <v>15260</v>
      </c>
      <c r="D5" s="92">
        <f t="shared" si="0"/>
        <v>21798</v>
      </c>
      <c r="E5" s="92">
        <f t="shared" si="0"/>
        <v>20047</v>
      </c>
      <c r="F5" s="92">
        <f t="shared" si="0"/>
        <v>22008</v>
      </c>
      <c r="G5" s="92">
        <f t="shared" si="0"/>
        <v>24365</v>
      </c>
      <c r="H5" s="92">
        <f t="shared" si="0"/>
        <v>24711</v>
      </c>
      <c r="I5" s="92">
        <f t="shared" si="0"/>
        <v>25235</v>
      </c>
      <c r="J5" s="343">
        <f t="shared" si="0"/>
        <v>25720</v>
      </c>
    </row>
    <row r="6" spans="1:10">
      <c r="B6" s="44"/>
      <c r="C6" s="44"/>
      <c r="D6" s="44"/>
      <c r="E6" s="44"/>
      <c r="F6" s="44"/>
      <c r="G6" s="44"/>
      <c r="J6" s="120"/>
    </row>
    <row r="25" spans="1:10">
      <c r="B25" s="80" t="s">
        <v>441</v>
      </c>
      <c r="C25" s="80" t="s">
        <v>111</v>
      </c>
    </row>
    <row r="26" spans="1:10">
      <c r="A26" s="469" t="s">
        <v>444</v>
      </c>
      <c r="B26" s="469">
        <f>2*B63</f>
        <v>-386.11904761904731</v>
      </c>
      <c r="C26" s="470">
        <f>B62</f>
        <v>3009.7595238095228</v>
      </c>
    </row>
    <row r="27" spans="1:10">
      <c r="A27" s="471" t="s">
        <v>450</v>
      </c>
      <c r="B27" s="120">
        <f>(8*B26)</f>
        <v>-3088.9523809523785</v>
      </c>
      <c r="C27" s="120"/>
    </row>
    <row r="28" spans="1:10">
      <c r="A28" s="120" t="s">
        <v>443</v>
      </c>
      <c r="B28" s="469"/>
      <c r="C28" s="472">
        <f>B27+C26</f>
        <v>-79.192857142855701</v>
      </c>
    </row>
    <row r="29" spans="1:10" ht="13.5" thickBot="1">
      <c r="A29" s="120" t="s">
        <v>440</v>
      </c>
      <c r="B29" s="89"/>
      <c r="C29" s="89">
        <f>C28/J5</f>
        <v>-3.0790379915573754E-3</v>
      </c>
    </row>
    <row r="30" spans="1:10" ht="13.5" thickBot="1">
      <c r="A30" s="80" t="s">
        <v>442</v>
      </c>
      <c r="B30" s="352"/>
      <c r="C30" s="378">
        <f>2.5*C29</f>
        <v>-7.6975949788934388E-3</v>
      </c>
      <c r="D30" s="70" t="s">
        <v>555</v>
      </c>
    </row>
    <row r="31" spans="1:10">
      <c r="A31" s="104"/>
      <c r="B31" s="104"/>
      <c r="C31" s="104"/>
      <c r="D31" s="104"/>
      <c r="E31" s="104"/>
      <c r="F31" s="104"/>
      <c r="G31" s="104"/>
      <c r="H31" s="104"/>
      <c r="I31" s="104"/>
      <c r="J31" s="104"/>
    </row>
    <row r="34" spans="1:12">
      <c r="A34" t="s">
        <v>560</v>
      </c>
      <c r="B34" t="s">
        <v>561</v>
      </c>
      <c r="C34" t="str">
        <f>A3</f>
        <v>Underground Storage Plant</v>
      </c>
    </row>
    <row r="35" spans="1:12">
      <c r="A35">
        <f t="array" ref="A35:A43">TRANSPOSE(B4:J4)</f>
        <v>0</v>
      </c>
      <c r="B35">
        <f>A35^2</f>
        <v>0</v>
      </c>
      <c r="C35">
        <f t="array" ref="C35:C43">TRANSPOSE(B5:J5)</f>
        <v>13758</v>
      </c>
    </row>
    <row r="36" spans="1:12">
      <c r="A36">
        <v>1</v>
      </c>
      <c r="B36">
        <f t="shared" ref="B36:B43" si="1">A36^2</f>
        <v>1</v>
      </c>
      <c r="C36">
        <v>15260</v>
      </c>
    </row>
    <row r="37" spans="1:12">
      <c r="A37">
        <v>2</v>
      </c>
      <c r="B37">
        <f t="shared" si="1"/>
        <v>4</v>
      </c>
      <c r="C37">
        <v>21798</v>
      </c>
    </row>
    <row r="38" spans="1:12">
      <c r="A38">
        <v>3</v>
      </c>
      <c r="B38">
        <f t="shared" si="1"/>
        <v>9</v>
      </c>
      <c r="C38">
        <v>20047</v>
      </c>
    </row>
    <row r="39" spans="1:12">
      <c r="A39">
        <v>4</v>
      </c>
      <c r="B39">
        <f t="shared" si="1"/>
        <v>16</v>
      </c>
      <c r="C39">
        <v>22008</v>
      </c>
    </row>
    <row r="40" spans="1:12">
      <c r="A40">
        <v>5</v>
      </c>
      <c r="B40">
        <f t="shared" si="1"/>
        <v>25</v>
      </c>
      <c r="C40">
        <v>24365</v>
      </c>
    </row>
    <row r="41" spans="1:12">
      <c r="A41">
        <v>6</v>
      </c>
      <c r="B41">
        <f t="shared" si="1"/>
        <v>36</v>
      </c>
      <c r="C41">
        <v>24711</v>
      </c>
    </row>
    <row r="42" spans="1:12">
      <c r="A42">
        <v>7</v>
      </c>
      <c r="B42">
        <f t="shared" si="1"/>
        <v>49</v>
      </c>
      <c r="C42">
        <v>25235</v>
      </c>
    </row>
    <row r="43" spans="1:12">
      <c r="A43">
        <v>8</v>
      </c>
      <c r="B43">
        <f t="shared" si="1"/>
        <v>64</v>
      </c>
      <c r="C43">
        <v>25720</v>
      </c>
    </row>
    <row r="44" spans="1:12">
      <c r="A44" s="461" t="s">
        <v>562</v>
      </c>
      <c r="K44" s="461" t="s">
        <v>586</v>
      </c>
    </row>
    <row r="45" spans="1:12">
      <c r="A45" t="s">
        <v>563</v>
      </c>
      <c r="K45" t="s">
        <v>563</v>
      </c>
    </row>
    <row r="46" spans="1:12" ht="13.5" thickBot="1"/>
    <row r="47" spans="1:12">
      <c r="A47" s="547" t="s">
        <v>564</v>
      </c>
      <c r="B47" s="547"/>
      <c r="K47" s="547" t="s">
        <v>564</v>
      </c>
      <c r="L47" s="547"/>
    </row>
    <row r="48" spans="1:12">
      <c r="A48" s="544" t="s">
        <v>565</v>
      </c>
      <c r="B48" s="544">
        <v>0.96210903585124297</v>
      </c>
      <c r="K48" s="544" t="s">
        <v>565</v>
      </c>
      <c r="L48" s="544">
        <v>0.92190871160610111</v>
      </c>
    </row>
    <row r="49" spans="1:19">
      <c r="A49" s="544" t="s">
        <v>566</v>
      </c>
      <c r="B49" s="544">
        <v>0.92565379686660831</v>
      </c>
      <c r="K49" s="544" t="s">
        <v>566</v>
      </c>
      <c r="L49" s="544">
        <v>0.84991567253522138</v>
      </c>
    </row>
    <row r="50" spans="1:19">
      <c r="A50" s="544" t="s">
        <v>567</v>
      </c>
      <c r="B50" s="544">
        <v>0.90087172915547775</v>
      </c>
      <c r="K50" s="544" t="s">
        <v>567</v>
      </c>
      <c r="L50" s="544">
        <v>0.82847505432596724</v>
      </c>
    </row>
    <row r="51" spans="1:19">
      <c r="A51" s="544" t="s">
        <v>568</v>
      </c>
      <c r="B51" s="544">
        <v>1370.4496614626801</v>
      </c>
      <c r="K51" s="544" t="s">
        <v>568</v>
      </c>
      <c r="L51" s="544">
        <v>1802.7187168890828</v>
      </c>
    </row>
    <row r="52" spans="1:19" ht="13.5" thickBot="1">
      <c r="A52" s="545" t="s">
        <v>569</v>
      </c>
      <c r="B52" s="545">
        <v>9</v>
      </c>
      <c r="K52" s="545" t="s">
        <v>569</v>
      </c>
      <c r="L52" s="545">
        <v>9</v>
      </c>
    </row>
    <row r="54" spans="1:19" ht="13.5" thickBot="1">
      <c r="A54" t="s">
        <v>570</v>
      </c>
      <c r="K54" t="s">
        <v>570</v>
      </c>
    </row>
    <row r="55" spans="1:19">
      <c r="A55" s="546"/>
      <c r="B55" s="546" t="s">
        <v>574</v>
      </c>
      <c r="C55" s="546" t="s">
        <v>575</v>
      </c>
      <c r="D55" s="546" t="s">
        <v>576</v>
      </c>
      <c r="E55" s="546" t="s">
        <v>577</v>
      </c>
      <c r="F55" s="546" t="s">
        <v>578</v>
      </c>
      <c r="K55" s="546"/>
      <c r="L55" s="546" t="s">
        <v>574</v>
      </c>
      <c r="M55" s="546" t="s">
        <v>575</v>
      </c>
      <c r="N55" s="546" t="s">
        <v>576</v>
      </c>
      <c r="O55" s="546" t="s">
        <v>577</v>
      </c>
      <c r="P55" s="546" t="s">
        <v>578</v>
      </c>
    </row>
    <row r="56" spans="1:19">
      <c r="A56" s="544" t="s">
        <v>571</v>
      </c>
      <c r="B56" s="544">
        <v>2</v>
      </c>
      <c r="C56" s="544">
        <v>140303084.57460317</v>
      </c>
      <c r="D56" s="544">
        <v>70151542.287301585</v>
      </c>
      <c r="E56" s="544">
        <v>37.351758039578826</v>
      </c>
      <c r="F56" s="544">
        <v>4.1093807473741782E-4</v>
      </c>
      <c r="K56" s="544" t="s">
        <v>571</v>
      </c>
      <c r="L56" s="544">
        <v>1</v>
      </c>
      <c r="M56" s="544">
        <v>128823314.81666666</v>
      </c>
      <c r="N56" s="544">
        <v>128823314.81666666</v>
      </c>
      <c r="O56" s="544">
        <v>39.64044619610759</v>
      </c>
      <c r="P56" s="544">
        <v>4.0569911494091847E-4</v>
      </c>
    </row>
    <row r="57" spans="1:19">
      <c r="A57" s="544" t="s">
        <v>572</v>
      </c>
      <c r="B57" s="544">
        <v>6</v>
      </c>
      <c r="C57" s="544">
        <v>11268793.647619046</v>
      </c>
      <c r="D57" s="544">
        <v>1878132.2746031743</v>
      </c>
      <c r="E57" s="544"/>
      <c r="F57" s="544"/>
      <c r="K57" s="544" t="s">
        <v>572</v>
      </c>
      <c r="L57" s="544">
        <v>7</v>
      </c>
      <c r="M57" s="544">
        <v>22748563.405555546</v>
      </c>
      <c r="N57" s="544">
        <v>3249794.7722222209</v>
      </c>
      <c r="O57" s="544"/>
      <c r="P57" s="544"/>
    </row>
    <row r="58" spans="1:19" ht="13.5" thickBot="1">
      <c r="A58" s="545" t="s">
        <v>5</v>
      </c>
      <c r="B58" s="545">
        <v>8</v>
      </c>
      <c r="C58" s="545">
        <v>151571878.22222221</v>
      </c>
      <c r="D58" s="545"/>
      <c r="E58" s="545"/>
      <c r="F58" s="545"/>
      <c r="K58" s="545" t="s">
        <v>5</v>
      </c>
      <c r="L58" s="545">
        <v>8</v>
      </c>
      <c r="M58" s="545">
        <v>151571878.22222221</v>
      </c>
      <c r="N58" s="545"/>
      <c r="O58" s="545"/>
      <c r="P58" s="545"/>
    </row>
    <row r="59" spans="1:19" ht="13.5" thickBot="1"/>
    <row r="60" spans="1:19">
      <c r="A60" s="546"/>
      <c r="B60" s="546" t="s">
        <v>579</v>
      </c>
      <c r="C60" s="546" t="s">
        <v>568</v>
      </c>
      <c r="D60" s="546" t="s">
        <v>580</v>
      </c>
      <c r="E60" s="546" t="s">
        <v>581</v>
      </c>
      <c r="F60" s="546" t="s">
        <v>582</v>
      </c>
      <c r="G60" s="546" t="s">
        <v>583</v>
      </c>
      <c r="H60" s="546" t="s">
        <v>584</v>
      </c>
      <c r="I60" s="546" t="s">
        <v>585</v>
      </c>
      <c r="K60" s="546"/>
      <c r="L60" s="546" t="s">
        <v>579</v>
      </c>
      <c r="M60" s="546" t="s">
        <v>568</v>
      </c>
      <c r="N60" s="546" t="s">
        <v>580</v>
      </c>
      <c r="O60" s="546" t="s">
        <v>581</v>
      </c>
      <c r="P60" s="546" t="s">
        <v>582</v>
      </c>
      <c r="Q60" s="546" t="s">
        <v>583</v>
      </c>
      <c r="R60" s="546" t="s">
        <v>584</v>
      </c>
      <c r="S60" s="546" t="s">
        <v>585</v>
      </c>
    </row>
    <row r="61" spans="1:19">
      <c r="A61" s="544" t="s">
        <v>573</v>
      </c>
      <c r="B61" s="544">
        <v>13770.533333333333</v>
      </c>
      <c r="C61" s="544">
        <v>1113.8696347520665</v>
      </c>
      <c r="D61" s="544">
        <v>12.362787263159824</v>
      </c>
      <c r="E61" s="544">
        <v>1.7087805820451823E-5</v>
      </c>
      <c r="F61" s="544">
        <v>11044.992523427984</v>
      </c>
      <c r="G61" s="544">
        <v>16496.074143238682</v>
      </c>
      <c r="H61" s="544">
        <v>11044.992523427984</v>
      </c>
      <c r="I61" s="544">
        <v>16496.074143238682</v>
      </c>
      <c r="K61" s="544" t="s">
        <v>573</v>
      </c>
      <c r="L61" s="544">
        <v>15572.422222222223</v>
      </c>
      <c r="M61" s="544">
        <v>1108.0163569568592</v>
      </c>
      <c r="N61" s="544">
        <v>14.054325213204896</v>
      </c>
      <c r="O61" s="544">
        <v>2.1879374705852443E-6</v>
      </c>
      <c r="P61" s="544">
        <v>12952.379873400547</v>
      </c>
      <c r="Q61" s="544">
        <v>18192.4645710439</v>
      </c>
      <c r="R61" s="544">
        <v>12952.379873400547</v>
      </c>
      <c r="S61" s="544">
        <v>18192.4645710439</v>
      </c>
    </row>
    <row r="62" spans="1:19" ht="13.5" thickBot="1">
      <c r="A62" s="544" t="s">
        <v>560</v>
      </c>
      <c r="B62" s="544">
        <v>3009.7595238095228</v>
      </c>
      <c r="C62" s="544">
        <v>649.2791822030905</v>
      </c>
      <c r="D62" s="544">
        <v>4.6355398514349542</v>
      </c>
      <c r="E62" s="544">
        <v>3.5570261803511828E-3</v>
      </c>
      <c r="F62" s="544">
        <v>1421.0305981750666</v>
      </c>
      <c r="G62" s="544">
        <v>4598.4884494439793</v>
      </c>
      <c r="H62" s="544">
        <v>1421.0305981750666</v>
      </c>
      <c r="I62" s="544">
        <v>4598.4884494439793</v>
      </c>
      <c r="K62" s="545" t="s">
        <v>560</v>
      </c>
      <c r="L62" s="545">
        <v>1465.2833333333328</v>
      </c>
      <c r="M62" s="545">
        <v>232.72998561359401</v>
      </c>
      <c r="N62" s="545">
        <v>6.2960659300953612</v>
      </c>
      <c r="O62" s="545">
        <v>4.0569911494091918E-4</v>
      </c>
      <c r="P62" s="545">
        <v>914.9643652785885</v>
      </c>
      <c r="Q62" s="545">
        <v>2015.6023013880772</v>
      </c>
      <c r="R62" s="545">
        <v>914.9643652785885</v>
      </c>
      <c r="S62" s="545">
        <v>2015.6023013880772</v>
      </c>
    </row>
    <row r="63" spans="1:19" ht="13.5" thickBot="1">
      <c r="A63" s="545" t="s">
        <v>561</v>
      </c>
      <c r="B63" s="545">
        <v>-193.05952380952365</v>
      </c>
      <c r="C63" s="545">
        <v>78.088616714601315</v>
      </c>
      <c r="D63" s="545">
        <v>-2.4723132760197126</v>
      </c>
      <c r="E63" s="545">
        <v>4.830597073652905E-2</v>
      </c>
      <c r="F63" s="545">
        <v>-384.13548548799878</v>
      </c>
      <c r="G63" s="545">
        <v>-1.9835621310485294</v>
      </c>
      <c r="H63" s="545">
        <v>-384.13548548799878</v>
      </c>
      <c r="I63" s="545">
        <v>-1.9835621310485294</v>
      </c>
    </row>
  </sheetData>
  <mergeCells count="1">
    <mergeCell ref="A1:E1"/>
  </mergeCells>
  <pageMargins left="0.7" right="0.7" top="0.75" bottom="0.75" header="0.3" footer="0.3"/>
  <pageSetup scale="98" orientation="landscape" r:id="rId1"/>
  <headerFooter scaleWithDoc="0">
    <oddHeader>&amp;RExhibit No. CSH-7
Dockets UE-160228/UG-160229
Page &amp;P of &amp;N</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115" zoomScaleNormal="100" zoomScaleSheetLayoutView="115" workbookViewId="0">
      <selection activeCell="K72" sqref="K72"/>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93" t="s">
        <v>607</v>
      </c>
      <c r="B1" s="593"/>
      <c r="C1" s="593"/>
      <c r="D1" s="593"/>
      <c r="E1" s="593"/>
      <c r="J1" s="541" t="s">
        <v>532</v>
      </c>
    </row>
    <row r="2" spans="1:10">
      <c r="B2" s="433">
        <v>2007</v>
      </c>
      <c r="C2" s="433">
        <v>2008</v>
      </c>
      <c r="D2" s="351">
        <v>2009</v>
      </c>
      <c r="E2" s="351">
        <v>2010</v>
      </c>
      <c r="F2" s="351">
        <v>2011</v>
      </c>
      <c r="G2" s="351">
        <v>2012</v>
      </c>
      <c r="H2" s="351">
        <v>2013</v>
      </c>
      <c r="I2" s="351">
        <v>2014</v>
      </c>
      <c r="J2" s="542">
        <v>2015</v>
      </c>
    </row>
    <row r="3" spans="1:10">
      <c r="A3" t="s">
        <v>33</v>
      </c>
      <c r="B3" s="392">
        <f>'Cost Trends'!M73</f>
        <v>229417</v>
      </c>
      <c r="C3" s="392">
        <f>'Cost Trends'!N73</f>
        <v>240778</v>
      </c>
      <c r="D3" s="392">
        <f>'Cost Trends'!O73</f>
        <v>255976</v>
      </c>
      <c r="E3" s="392">
        <f>'Cost Trends'!P73</f>
        <v>269469</v>
      </c>
      <c r="F3" s="392">
        <f>'Cost Trends'!Q73</f>
        <v>281279</v>
      </c>
      <c r="G3" s="392">
        <f>'Cost Trends'!R73</f>
        <v>296152</v>
      </c>
      <c r="H3" s="392">
        <f>'Cost Trends'!S73</f>
        <v>313469</v>
      </c>
      <c r="I3" s="392">
        <f>'Cost Trends'!T73</f>
        <v>337894</v>
      </c>
      <c r="J3" s="392">
        <f>'Cost Trends'!U73</f>
        <v>360612</v>
      </c>
    </row>
    <row r="4" spans="1:10">
      <c r="B4" s="98">
        <v>0</v>
      </c>
      <c r="C4" s="98">
        <v>1</v>
      </c>
      <c r="D4" s="98">
        <v>2</v>
      </c>
      <c r="E4" s="98">
        <v>3</v>
      </c>
      <c r="F4" s="98">
        <v>4</v>
      </c>
      <c r="G4" s="98">
        <v>5</v>
      </c>
      <c r="H4" s="98">
        <v>6</v>
      </c>
      <c r="I4" s="98">
        <v>7</v>
      </c>
      <c r="J4" s="368">
        <v>8</v>
      </c>
    </row>
    <row r="5" spans="1:10">
      <c r="A5" t="str">
        <f>A3</f>
        <v>Distribution Plant</v>
      </c>
      <c r="B5" s="92">
        <f>B3</f>
        <v>229417</v>
      </c>
      <c r="C5" s="92">
        <f t="shared" ref="C5:J5" si="0">C3</f>
        <v>240778</v>
      </c>
      <c r="D5" s="92">
        <f t="shared" si="0"/>
        <v>255976</v>
      </c>
      <c r="E5" s="92">
        <f t="shared" si="0"/>
        <v>269469</v>
      </c>
      <c r="F5" s="92">
        <f t="shared" si="0"/>
        <v>281279</v>
      </c>
      <c r="G5" s="92">
        <f t="shared" si="0"/>
        <v>296152</v>
      </c>
      <c r="H5" s="92">
        <f t="shared" si="0"/>
        <v>313469</v>
      </c>
      <c r="I5" s="92">
        <f t="shared" si="0"/>
        <v>337894</v>
      </c>
      <c r="J5" s="343">
        <f t="shared" si="0"/>
        <v>360612</v>
      </c>
    </row>
    <row r="6" spans="1:10">
      <c r="B6" s="44"/>
      <c r="C6" s="44"/>
      <c r="D6" s="44"/>
      <c r="E6" s="44"/>
      <c r="F6" s="44"/>
      <c r="G6" s="44"/>
      <c r="J6" s="120"/>
    </row>
    <row r="25" spans="1:10">
      <c r="B25" s="80" t="s">
        <v>441</v>
      </c>
      <c r="C25" s="80" t="s">
        <v>111</v>
      </c>
    </row>
    <row r="26" spans="1:10">
      <c r="A26" s="469" t="s">
        <v>444</v>
      </c>
      <c r="B26" s="469">
        <f>2*B63</f>
        <v>1677.0974025974017</v>
      </c>
      <c r="C26" s="470">
        <f>B62</f>
        <v>9254.8937229437252</v>
      </c>
    </row>
    <row r="27" spans="1:10">
      <c r="A27" s="471" t="s">
        <v>450</v>
      </c>
      <c r="B27" s="120">
        <f>(8*B26)</f>
        <v>13416.779220779214</v>
      </c>
      <c r="C27" s="120"/>
    </row>
    <row r="28" spans="1:10">
      <c r="A28" s="120" t="s">
        <v>443</v>
      </c>
      <c r="B28" s="469"/>
      <c r="C28" s="472">
        <f>B27+C26</f>
        <v>22671.672943722937</v>
      </c>
    </row>
    <row r="29" spans="1:10" ht="13.5" thickBot="1">
      <c r="A29" s="120" t="s">
        <v>440</v>
      </c>
      <c r="B29" s="89"/>
      <c r="C29" s="89">
        <f>C28/J5</f>
        <v>6.2869990304601442E-2</v>
      </c>
    </row>
    <row r="30" spans="1:10" ht="13.5" thickBot="1">
      <c r="A30" s="80" t="s">
        <v>442</v>
      </c>
      <c r="B30" s="352"/>
      <c r="C30" s="378">
        <f>2.5*C29</f>
        <v>0.1571749757615036</v>
      </c>
      <c r="D30" s="70" t="s">
        <v>555</v>
      </c>
    </row>
    <row r="31" spans="1:10">
      <c r="A31" s="104"/>
      <c r="B31" s="104"/>
      <c r="C31" s="104"/>
      <c r="D31" s="104"/>
      <c r="E31" s="104"/>
      <c r="F31" s="104"/>
      <c r="G31" s="104"/>
      <c r="H31" s="104"/>
      <c r="I31" s="104"/>
      <c r="J31" s="104"/>
    </row>
    <row r="34" spans="1:12">
      <c r="A34" t="s">
        <v>560</v>
      </c>
      <c r="B34" t="s">
        <v>561</v>
      </c>
      <c r="C34" t="str">
        <f>A3</f>
        <v>Distribution Plant</v>
      </c>
    </row>
    <row r="35" spans="1:12">
      <c r="A35">
        <f t="array" ref="A35:A43">TRANSPOSE(B4:J4)</f>
        <v>0</v>
      </c>
      <c r="B35">
        <f>A35^2</f>
        <v>0</v>
      </c>
      <c r="C35">
        <f t="array" ref="C35:C43">TRANSPOSE(B5:J5)</f>
        <v>229417</v>
      </c>
    </row>
    <row r="36" spans="1:12">
      <c r="A36">
        <v>1</v>
      </c>
      <c r="B36">
        <f t="shared" ref="B36:B43" si="1">A36^2</f>
        <v>1</v>
      </c>
      <c r="C36">
        <v>240778</v>
      </c>
    </row>
    <row r="37" spans="1:12">
      <c r="A37">
        <v>2</v>
      </c>
      <c r="B37">
        <f t="shared" si="1"/>
        <v>4</v>
      </c>
      <c r="C37">
        <v>255976</v>
      </c>
    </row>
    <row r="38" spans="1:12">
      <c r="A38">
        <v>3</v>
      </c>
      <c r="B38">
        <f t="shared" si="1"/>
        <v>9</v>
      </c>
      <c r="C38">
        <v>269469</v>
      </c>
    </row>
    <row r="39" spans="1:12">
      <c r="A39">
        <v>4</v>
      </c>
      <c r="B39">
        <f t="shared" si="1"/>
        <v>16</v>
      </c>
      <c r="C39">
        <v>281279</v>
      </c>
    </row>
    <row r="40" spans="1:12">
      <c r="A40">
        <v>5</v>
      </c>
      <c r="B40">
        <f t="shared" si="1"/>
        <v>25</v>
      </c>
      <c r="C40">
        <v>296152</v>
      </c>
      <c r="E40" t="s">
        <v>281</v>
      </c>
    </row>
    <row r="41" spans="1:12">
      <c r="A41">
        <v>6</v>
      </c>
      <c r="B41">
        <f t="shared" si="1"/>
        <v>36</v>
      </c>
      <c r="C41">
        <v>313469</v>
      </c>
    </row>
    <row r="42" spans="1:12">
      <c r="A42">
        <v>7</v>
      </c>
      <c r="B42">
        <f t="shared" si="1"/>
        <v>49</v>
      </c>
      <c r="C42">
        <v>337894</v>
      </c>
    </row>
    <row r="43" spans="1:12">
      <c r="A43">
        <v>8</v>
      </c>
      <c r="B43">
        <f t="shared" si="1"/>
        <v>64</v>
      </c>
      <c r="C43">
        <v>360612</v>
      </c>
    </row>
    <row r="44" spans="1:12">
      <c r="A44" s="461" t="s">
        <v>562</v>
      </c>
      <c r="K44" s="461" t="s">
        <v>586</v>
      </c>
    </row>
    <row r="45" spans="1:12">
      <c r="A45" t="s">
        <v>563</v>
      </c>
      <c r="K45" t="s">
        <v>563</v>
      </c>
    </row>
    <row r="46" spans="1:12" ht="13.5" thickBot="1"/>
    <row r="47" spans="1:12">
      <c r="A47" s="547" t="s">
        <v>564</v>
      </c>
      <c r="B47" s="547"/>
      <c r="K47" s="547" t="s">
        <v>564</v>
      </c>
      <c r="L47" s="547"/>
    </row>
    <row r="48" spans="1:12">
      <c r="A48" s="544" t="s">
        <v>565</v>
      </c>
      <c r="B48" s="544">
        <v>0.99866456974792317</v>
      </c>
      <c r="K48" s="544" t="s">
        <v>565</v>
      </c>
      <c r="L48" s="544">
        <v>0.99166587336447121</v>
      </c>
    </row>
    <row r="49" spans="1:19">
      <c r="A49" s="544" t="s">
        <v>566</v>
      </c>
      <c r="B49" s="544">
        <v>0.9973309228698044</v>
      </c>
      <c r="K49" s="544" t="s">
        <v>566</v>
      </c>
      <c r="L49" s="544">
        <v>0.98340120439571943</v>
      </c>
    </row>
    <row r="50" spans="1:19">
      <c r="A50" s="544" t="s">
        <v>567</v>
      </c>
      <c r="B50" s="544">
        <v>0.99644123049307254</v>
      </c>
      <c r="K50" s="544" t="s">
        <v>567</v>
      </c>
      <c r="L50" s="544">
        <v>0.98102994788082221</v>
      </c>
    </row>
    <row r="51" spans="1:19">
      <c r="A51" s="544" t="s">
        <v>568</v>
      </c>
      <c r="B51" s="544">
        <v>2629.8889853887326</v>
      </c>
      <c r="K51" s="544" t="s">
        <v>568</v>
      </c>
      <c r="L51" s="544">
        <v>6071.8599784266316</v>
      </c>
    </row>
    <row r="52" spans="1:19" ht="13.5" thickBot="1">
      <c r="A52" s="545" t="s">
        <v>569</v>
      </c>
      <c r="B52" s="545">
        <v>9</v>
      </c>
      <c r="K52" s="545" t="s">
        <v>569</v>
      </c>
      <c r="L52" s="545">
        <v>9</v>
      </c>
    </row>
    <row r="54" spans="1:19" ht="13.5" thickBot="1">
      <c r="A54" t="s">
        <v>570</v>
      </c>
      <c r="K54" t="s">
        <v>570</v>
      </c>
    </row>
    <row r="55" spans="1:19">
      <c r="A55" s="546"/>
      <c r="B55" s="546" t="s">
        <v>574</v>
      </c>
      <c r="C55" s="546" t="s">
        <v>575</v>
      </c>
      <c r="D55" s="546" t="s">
        <v>576</v>
      </c>
      <c r="E55" s="546" t="s">
        <v>577</v>
      </c>
      <c r="F55" s="546" t="s">
        <v>578</v>
      </c>
      <c r="K55" s="546"/>
      <c r="L55" s="546" t="s">
        <v>574</v>
      </c>
      <c r="M55" s="546" t="s">
        <v>575</v>
      </c>
      <c r="N55" s="546" t="s">
        <v>576</v>
      </c>
      <c r="O55" s="546" t="s">
        <v>577</v>
      </c>
      <c r="P55" s="546" t="s">
        <v>578</v>
      </c>
    </row>
    <row r="56" spans="1:19">
      <c r="A56" s="544" t="s">
        <v>571</v>
      </c>
      <c r="B56" s="544">
        <v>2</v>
      </c>
      <c r="C56" s="544">
        <v>15506159375.547186</v>
      </c>
      <c r="D56" s="544">
        <v>7753079687.7735929</v>
      </c>
      <c r="E56" s="544">
        <v>1120.9840040816639</v>
      </c>
      <c r="F56" s="544">
        <v>1.9014432681593661E-8</v>
      </c>
      <c r="K56" s="544" t="s">
        <v>571</v>
      </c>
      <c r="L56" s="544">
        <v>1</v>
      </c>
      <c r="M56" s="544">
        <v>15289584886.816666</v>
      </c>
      <c r="N56" s="544">
        <v>15289584886.816666</v>
      </c>
      <c r="O56" s="544">
        <v>414.71734425085862</v>
      </c>
      <c r="P56" s="544">
        <v>1.725930037885129E-7</v>
      </c>
    </row>
    <row r="57" spans="1:19">
      <c r="A57" s="544" t="s">
        <v>572</v>
      </c>
      <c r="B57" s="544">
        <v>6</v>
      </c>
      <c r="C57" s="544">
        <v>41497896.452813864</v>
      </c>
      <c r="D57" s="544">
        <v>6916316.075468977</v>
      </c>
      <c r="E57" s="544"/>
      <c r="F57" s="544"/>
      <c r="K57" s="544" t="s">
        <v>572</v>
      </c>
      <c r="L57" s="544">
        <v>7</v>
      </c>
      <c r="M57" s="544">
        <v>258072385.1833334</v>
      </c>
      <c r="N57" s="544">
        <v>36867483.597619057</v>
      </c>
      <c r="O57" s="544"/>
      <c r="P57" s="544"/>
    </row>
    <row r="58" spans="1:19" ht="13.5" thickBot="1">
      <c r="A58" s="545" t="s">
        <v>5</v>
      </c>
      <c r="B58" s="545">
        <v>8</v>
      </c>
      <c r="C58" s="545">
        <v>15547657272</v>
      </c>
      <c r="D58" s="545"/>
      <c r="E58" s="545"/>
      <c r="F58" s="545"/>
      <c r="K58" s="545" t="s">
        <v>5</v>
      </c>
      <c r="L58" s="545">
        <v>8</v>
      </c>
      <c r="M58" s="545">
        <v>15547657272</v>
      </c>
      <c r="N58" s="545"/>
      <c r="O58" s="545"/>
      <c r="P58" s="545"/>
    </row>
    <row r="59" spans="1:19" ht="13.5" thickBot="1"/>
    <row r="60" spans="1:19">
      <c r="A60" s="546"/>
      <c r="B60" s="546" t="s">
        <v>579</v>
      </c>
      <c r="C60" s="546" t="s">
        <v>568</v>
      </c>
      <c r="D60" s="546" t="s">
        <v>580</v>
      </c>
      <c r="E60" s="546" t="s">
        <v>581</v>
      </c>
      <c r="F60" s="546" t="s">
        <v>582</v>
      </c>
      <c r="G60" s="546" t="s">
        <v>583</v>
      </c>
      <c r="H60" s="546" t="s">
        <v>584</v>
      </c>
      <c r="I60" s="546" t="s">
        <v>585</v>
      </c>
      <c r="K60" s="546"/>
      <c r="L60" s="546" t="s">
        <v>579</v>
      </c>
      <c r="M60" s="546" t="s">
        <v>568</v>
      </c>
      <c r="N60" s="546" t="s">
        <v>580</v>
      </c>
      <c r="O60" s="546" t="s">
        <v>581</v>
      </c>
      <c r="P60" s="546" t="s">
        <v>582</v>
      </c>
      <c r="Q60" s="546" t="s">
        <v>583</v>
      </c>
      <c r="R60" s="546" t="s">
        <v>584</v>
      </c>
      <c r="S60" s="546" t="s">
        <v>585</v>
      </c>
    </row>
    <row r="61" spans="1:19">
      <c r="A61" s="544" t="s">
        <v>573</v>
      </c>
      <c r="B61" s="544">
        <v>231200.65454545451</v>
      </c>
      <c r="C61" s="544">
        <v>2137.5126471022168</v>
      </c>
      <c r="D61" s="544">
        <v>108.16340893182019</v>
      </c>
      <c r="E61" s="544">
        <v>4.2095634545127031E-11</v>
      </c>
      <c r="F61" s="544">
        <v>225970.34951728783</v>
      </c>
      <c r="G61" s="544">
        <v>236430.95957362119</v>
      </c>
      <c r="H61" s="544">
        <v>225970.34951728783</v>
      </c>
      <c r="I61" s="544">
        <v>236430.95957362119</v>
      </c>
      <c r="K61" s="544" t="s">
        <v>573</v>
      </c>
      <c r="L61" s="544">
        <v>223374.19999999998</v>
      </c>
      <c r="M61" s="544">
        <v>3731.9855339707842</v>
      </c>
      <c r="N61" s="544">
        <v>59.85398334658943</v>
      </c>
      <c r="O61" s="544">
        <v>9.5386358282424248E-11</v>
      </c>
      <c r="P61" s="544">
        <v>214549.45649977922</v>
      </c>
      <c r="Q61" s="544">
        <v>232198.94350022075</v>
      </c>
      <c r="R61" s="544">
        <v>214549.45649977922</v>
      </c>
      <c r="S61" s="544">
        <v>232198.94350022075</v>
      </c>
    </row>
    <row r="62" spans="1:19" ht="13.5" thickBot="1">
      <c r="A62" s="544" t="s">
        <v>560</v>
      </c>
      <c r="B62" s="544">
        <v>9254.8937229437252</v>
      </c>
      <c r="C62" s="544">
        <v>1245.9648958544481</v>
      </c>
      <c r="D62" s="544">
        <v>7.427892835292905</v>
      </c>
      <c r="E62" s="544">
        <v>3.0638743540216835E-4</v>
      </c>
      <c r="F62" s="544">
        <v>6206.1274531668678</v>
      </c>
      <c r="G62" s="544">
        <v>12303.659992720583</v>
      </c>
      <c r="H62" s="544">
        <v>6206.1274531668678</v>
      </c>
      <c r="I62" s="544">
        <v>12303.659992720583</v>
      </c>
      <c r="K62" s="545" t="s">
        <v>560</v>
      </c>
      <c r="L62" s="545">
        <v>15963.283333333333</v>
      </c>
      <c r="M62" s="545">
        <v>783.87375256498899</v>
      </c>
      <c r="N62" s="545">
        <v>20.364610093268631</v>
      </c>
      <c r="O62" s="545">
        <v>1.725930037885129E-7</v>
      </c>
      <c r="P62" s="545">
        <v>14109.716447831117</v>
      </c>
      <c r="Q62" s="545">
        <v>17816.850218835549</v>
      </c>
      <c r="R62" s="545">
        <v>14109.716447831117</v>
      </c>
      <c r="S62" s="545">
        <v>17816.850218835549</v>
      </c>
    </row>
    <row r="63" spans="1:19" ht="13.5" thickBot="1">
      <c r="A63" s="545" t="s">
        <v>561</v>
      </c>
      <c r="B63" s="545">
        <v>838.54870129870085</v>
      </c>
      <c r="C63" s="545">
        <v>149.85183239987612</v>
      </c>
      <c r="D63" s="545">
        <v>5.5958521685677702</v>
      </c>
      <c r="E63" s="545">
        <v>1.3861487443637464E-3</v>
      </c>
      <c r="F63" s="545">
        <v>471.87447668365422</v>
      </c>
      <c r="G63" s="545">
        <v>1205.2229259137475</v>
      </c>
      <c r="H63" s="545">
        <v>471.87447668365422</v>
      </c>
      <c r="I63" s="545">
        <v>1205.2229259137475</v>
      </c>
    </row>
  </sheetData>
  <mergeCells count="1">
    <mergeCell ref="A1:E1"/>
  </mergeCells>
  <pageMargins left="0.7" right="0.7" top="0.75" bottom="0.75" header="0.3" footer="0.3"/>
  <pageSetup scale="98" orientation="landscape" r:id="rId1"/>
  <headerFooter scaleWithDoc="0">
    <oddHeader>&amp;RExhibit No. CSH-7
Dockets UE-160228/UG-160229
Page &amp;P of &amp;N</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115" zoomScaleNormal="100" zoomScaleSheetLayoutView="115" workbookViewId="0">
      <selection activeCell="K72" sqref="K72"/>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93" t="s">
        <v>607</v>
      </c>
      <c r="B1" s="593"/>
      <c r="C1" s="593"/>
      <c r="D1" s="593"/>
      <c r="E1" s="593"/>
      <c r="J1" s="541" t="s">
        <v>532</v>
      </c>
    </row>
    <row r="2" spans="1:10">
      <c r="B2" s="433">
        <v>2007</v>
      </c>
      <c r="C2" s="433">
        <v>2008</v>
      </c>
      <c r="D2" s="351">
        <v>2009</v>
      </c>
      <c r="E2" s="351">
        <v>2010</v>
      </c>
      <c r="F2" s="351">
        <v>2011</v>
      </c>
      <c r="G2" s="351">
        <v>2012</v>
      </c>
      <c r="H2" s="351">
        <v>2013</v>
      </c>
      <c r="I2" s="351">
        <v>2014</v>
      </c>
      <c r="J2" s="542">
        <v>2015</v>
      </c>
    </row>
    <row r="3" spans="1:10">
      <c r="A3" t="s">
        <v>34</v>
      </c>
      <c r="B3" s="392">
        <f>'Cost Trends'!M74</f>
        <v>21708</v>
      </c>
      <c r="C3" s="392">
        <f>'Cost Trends'!N74</f>
        <v>24256</v>
      </c>
      <c r="D3" s="392">
        <f>'Cost Trends'!O74</f>
        <v>27747</v>
      </c>
      <c r="E3" s="392">
        <f>'Cost Trends'!P74</f>
        <v>33401</v>
      </c>
      <c r="F3" s="392">
        <f>'Cost Trends'!Q74</f>
        <v>38971</v>
      </c>
      <c r="G3" s="392">
        <f>'Cost Trends'!R74</f>
        <v>44809</v>
      </c>
      <c r="H3" s="392">
        <f>'Cost Trends'!S74</f>
        <v>52223</v>
      </c>
      <c r="I3" s="392">
        <f>'Cost Trends'!T74</f>
        <v>59169</v>
      </c>
      <c r="J3" s="392">
        <f>'Cost Trends'!U74</f>
        <v>75514</v>
      </c>
    </row>
    <row r="4" spans="1:10">
      <c r="B4" s="98">
        <v>0</v>
      </c>
      <c r="C4" s="98">
        <v>1</v>
      </c>
      <c r="D4" s="98">
        <v>2</v>
      </c>
      <c r="E4" s="98">
        <v>3</v>
      </c>
      <c r="F4" s="98">
        <v>4</v>
      </c>
      <c r="G4" s="98">
        <v>5</v>
      </c>
      <c r="H4" s="98">
        <v>6</v>
      </c>
      <c r="I4" s="98">
        <v>7</v>
      </c>
      <c r="J4" s="368">
        <v>8</v>
      </c>
    </row>
    <row r="5" spans="1:10">
      <c r="A5" t="str">
        <f>A3</f>
        <v>General Plant</v>
      </c>
      <c r="B5" s="92">
        <f>B3</f>
        <v>21708</v>
      </c>
      <c r="C5" s="92">
        <f t="shared" ref="C5:J5" si="0">C3</f>
        <v>24256</v>
      </c>
      <c r="D5" s="92">
        <f t="shared" si="0"/>
        <v>27747</v>
      </c>
      <c r="E5" s="92">
        <f t="shared" si="0"/>
        <v>33401</v>
      </c>
      <c r="F5" s="92">
        <f t="shared" si="0"/>
        <v>38971</v>
      </c>
      <c r="G5" s="92">
        <f t="shared" si="0"/>
        <v>44809</v>
      </c>
      <c r="H5" s="92">
        <f t="shared" si="0"/>
        <v>52223</v>
      </c>
      <c r="I5" s="92">
        <f t="shared" si="0"/>
        <v>59169</v>
      </c>
      <c r="J5" s="343">
        <f t="shared" si="0"/>
        <v>75514</v>
      </c>
    </row>
    <row r="6" spans="1:10">
      <c r="B6" s="44"/>
      <c r="C6" s="44"/>
      <c r="D6" s="44"/>
      <c r="E6" s="44"/>
      <c r="F6" s="44"/>
      <c r="G6" s="44"/>
      <c r="J6" s="120"/>
    </row>
    <row r="25" spans="1:10">
      <c r="A25" s="137"/>
      <c r="B25" s="137"/>
      <c r="C25" s="137"/>
      <c r="D25" s="137"/>
      <c r="E25" s="137"/>
    </row>
    <row r="26" spans="1:10">
      <c r="A26" s="137"/>
      <c r="B26" s="137"/>
      <c r="C26" s="551"/>
      <c r="D26" s="137"/>
      <c r="E26" s="137"/>
    </row>
    <row r="27" spans="1:10">
      <c r="A27" t="s">
        <v>606</v>
      </c>
      <c r="B27" s="44">
        <f>L62</f>
        <v>6338.7166666666672</v>
      </c>
      <c r="D27" s="137"/>
      <c r="E27" s="137"/>
    </row>
    <row r="28" spans="1:10" ht="13.5" thickBot="1">
      <c r="A28" t="s">
        <v>588</v>
      </c>
      <c r="B28" s="71">
        <f>B27/J5</f>
        <v>8.3940946932577629E-2</v>
      </c>
      <c r="D28" s="137"/>
      <c r="E28" s="137"/>
    </row>
    <row r="29" spans="1:10" ht="13.5" thickBot="1">
      <c r="A29" s="70" t="s">
        <v>589</v>
      </c>
      <c r="B29" s="554">
        <f>IF(P33&lt;0.05,B28*2.5,0)</f>
        <v>0.20985236733144408</v>
      </c>
      <c r="C29" t="s">
        <v>590</v>
      </c>
      <c r="D29" s="137"/>
      <c r="E29" s="137"/>
    </row>
    <row r="30" spans="1:10">
      <c r="A30" s="137"/>
      <c r="B30" s="137"/>
      <c r="C30" s="553"/>
      <c r="D30" s="552"/>
      <c r="E30" s="137"/>
    </row>
    <row r="31" spans="1:10">
      <c r="A31" s="104"/>
      <c r="B31" s="104"/>
      <c r="C31" s="104"/>
      <c r="D31" s="104"/>
      <c r="E31" s="104"/>
      <c r="F31" s="104"/>
      <c r="G31" s="104"/>
      <c r="H31" s="104"/>
      <c r="I31" s="104"/>
      <c r="J31" s="104"/>
    </row>
    <row r="34" spans="1:12">
      <c r="A34" t="s">
        <v>560</v>
      </c>
      <c r="B34" t="s">
        <v>561</v>
      </c>
      <c r="C34" t="str">
        <f>A3</f>
        <v>General Plant</v>
      </c>
    </row>
    <row r="35" spans="1:12">
      <c r="A35">
        <f t="array" ref="A35:A43">TRANSPOSE(B4:J4)</f>
        <v>0</v>
      </c>
      <c r="B35">
        <f>A35^2</f>
        <v>0</v>
      </c>
      <c r="C35">
        <f t="array" ref="C35:C43">TRANSPOSE(B5:J5)</f>
        <v>21708</v>
      </c>
    </row>
    <row r="36" spans="1:12">
      <c r="A36">
        <v>1</v>
      </c>
      <c r="B36">
        <f t="shared" ref="B36:B43" si="1">A36^2</f>
        <v>1</v>
      </c>
      <c r="C36">
        <v>24256</v>
      </c>
    </row>
    <row r="37" spans="1:12">
      <c r="A37">
        <v>2</v>
      </c>
      <c r="B37">
        <f t="shared" si="1"/>
        <v>4</v>
      </c>
      <c r="C37">
        <v>27747</v>
      </c>
    </row>
    <row r="38" spans="1:12">
      <c r="A38">
        <v>3</v>
      </c>
      <c r="B38">
        <f t="shared" si="1"/>
        <v>9</v>
      </c>
      <c r="C38">
        <v>33401</v>
      </c>
    </row>
    <row r="39" spans="1:12">
      <c r="A39">
        <v>4</v>
      </c>
      <c r="B39">
        <f t="shared" si="1"/>
        <v>16</v>
      </c>
      <c r="C39">
        <v>38971</v>
      </c>
    </row>
    <row r="40" spans="1:12">
      <c r="A40">
        <v>5</v>
      </c>
      <c r="B40">
        <f t="shared" si="1"/>
        <v>25</v>
      </c>
      <c r="C40">
        <v>44809</v>
      </c>
      <c r="E40" t="s">
        <v>281</v>
      </c>
    </row>
    <row r="41" spans="1:12">
      <c r="A41">
        <v>6</v>
      </c>
      <c r="B41">
        <f t="shared" si="1"/>
        <v>36</v>
      </c>
      <c r="C41">
        <v>52223</v>
      </c>
    </row>
    <row r="42" spans="1:12">
      <c r="A42">
        <v>7</v>
      </c>
      <c r="B42">
        <f t="shared" si="1"/>
        <v>49</v>
      </c>
      <c r="C42">
        <v>59169</v>
      </c>
    </row>
    <row r="43" spans="1:12">
      <c r="A43">
        <v>8</v>
      </c>
      <c r="B43">
        <f t="shared" si="1"/>
        <v>64</v>
      </c>
      <c r="C43">
        <v>75514</v>
      </c>
    </row>
    <row r="44" spans="1:12">
      <c r="A44" s="461" t="s">
        <v>562</v>
      </c>
      <c r="K44" s="461" t="s">
        <v>586</v>
      </c>
    </row>
    <row r="45" spans="1:12">
      <c r="A45" t="s">
        <v>563</v>
      </c>
      <c r="K45" t="s">
        <v>563</v>
      </c>
    </row>
    <row r="46" spans="1:12" ht="13.5" thickBot="1"/>
    <row r="47" spans="1:12">
      <c r="A47" s="547" t="s">
        <v>564</v>
      </c>
      <c r="B47" s="547"/>
      <c r="K47" s="547" t="s">
        <v>564</v>
      </c>
      <c r="L47" s="547"/>
    </row>
    <row r="48" spans="1:12">
      <c r="A48" s="544" t="s">
        <v>565</v>
      </c>
      <c r="B48" s="544">
        <v>0.99598535557360568</v>
      </c>
      <c r="K48" s="544" t="s">
        <v>565</v>
      </c>
      <c r="L48" s="544">
        <v>0.97360632685271375</v>
      </c>
    </row>
    <row r="49" spans="1:19">
      <c r="A49" s="544" t="s">
        <v>566</v>
      </c>
      <c r="B49" s="544">
        <v>0.99198682851708164</v>
      </c>
      <c r="K49" s="544" t="s">
        <v>566</v>
      </c>
      <c r="L49" s="544">
        <v>0.94790927968763339</v>
      </c>
    </row>
    <row r="50" spans="1:19">
      <c r="A50" s="544" t="s">
        <v>567</v>
      </c>
      <c r="B50" s="544">
        <v>0.98931577135610882</v>
      </c>
      <c r="K50" s="544" t="s">
        <v>567</v>
      </c>
      <c r="L50" s="544">
        <v>0.94046774821443813</v>
      </c>
    </row>
    <row r="51" spans="1:19">
      <c r="A51" s="544" t="s">
        <v>568</v>
      </c>
      <c r="B51" s="544">
        <v>1842.9780836686923</v>
      </c>
      <c r="K51" s="544" t="s">
        <v>568</v>
      </c>
      <c r="L51" s="544">
        <v>4350.3554108593962</v>
      </c>
    </row>
    <row r="52" spans="1:19" ht="13.5" thickBot="1">
      <c r="A52" s="545" t="s">
        <v>569</v>
      </c>
      <c r="B52" s="545">
        <v>9</v>
      </c>
      <c r="K52" s="545" t="s">
        <v>569</v>
      </c>
      <c r="L52" s="545">
        <v>9</v>
      </c>
    </row>
    <row r="54" spans="1:19" ht="13.5" thickBot="1">
      <c r="A54" t="s">
        <v>570</v>
      </c>
      <c r="K54" t="s">
        <v>570</v>
      </c>
    </row>
    <row r="55" spans="1:19">
      <c r="A55" s="546"/>
      <c r="B55" s="546" t="s">
        <v>574</v>
      </c>
      <c r="C55" s="546" t="s">
        <v>575</v>
      </c>
      <c r="D55" s="546" t="s">
        <v>576</v>
      </c>
      <c r="E55" s="546" t="s">
        <v>577</v>
      </c>
      <c r="F55" s="546" t="s">
        <v>578</v>
      </c>
      <c r="K55" s="546"/>
      <c r="L55" s="546" t="s">
        <v>574</v>
      </c>
      <c r="M55" s="546" t="s">
        <v>575</v>
      </c>
      <c r="N55" s="546" t="s">
        <v>576</v>
      </c>
      <c r="O55" s="546" t="s">
        <v>577</v>
      </c>
      <c r="P55" s="546" t="s">
        <v>578</v>
      </c>
    </row>
    <row r="56" spans="1:19">
      <c r="A56" s="544" t="s">
        <v>571</v>
      </c>
      <c r="B56" s="544">
        <v>2</v>
      </c>
      <c r="C56" s="544">
        <v>2522859474.9209237</v>
      </c>
      <c r="D56" s="544">
        <v>1261429737.4604619</v>
      </c>
      <c r="E56" s="544">
        <v>371.38360159832678</v>
      </c>
      <c r="F56" s="544">
        <v>5.1453309071652336E-7</v>
      </c>
      <c r="K56" s="544" t="s">
        <v>571</v>
      </c>
      <c r="L56" s="544">
        <v>1</v>
      </c>
      <c r="M56" s="544">
        <v>2410759738.8166671</v>
      </c>
      <c r="N56" s="544">
        <v>2410759738.8166671</v>
      </c>
      <c r="O56" s="544">
        <v>127.38094075151712</v>
      </c>
      <c r="P56" s="544">
        <v>9.5849358158619614E-6</v>
      </c>
    </row>
    <row r="57" spans="1:19">
      <c r="A57" s="544" t="s">
        <v>572</v>
      </c>
      <c r="B57" s="544">
        <v>6</v>
      </c>
      <c r="C57" s="544">
        <v>20379409.301298752</v>
      </c>
      <c r="D57" s="544">
        <v>3396568.2168831252</v>
      </c>
      <c r="E57" s="544"/>
      <c r="F57" s="544"/>
      <c r="K57" s="544" t="s">
        <v>572</v>
      </c>
      <c r="L57" s="544">
        <v>7</v>
      </c>
      <c r="M57" s="544">
        <v>132479145.40555537</v>
      </c>
      <c r="N57" s="544">
        <v>18925592.200793624</v>
      </c>
      <c r="O57" s="544"/>
      <c r="P57" s="544"/>
    </row>
    <row r="58" spans="1:19" ht="13.5" thickBot="1">
      <c r="A58" s="545" t="s">
        <v>5</v>
      </c>
      <c r="B58" s="545">
        <v>8</v>
      </c>
      <c r="C58" s="545">
        <v>2543238884.2222223</v>
      </c>
      <c r="D58" s="545"/>
      <c r="E58" s="545"/>
      <c r="F58" s="545"/>
      <c r="K58" s="545" t="s">
        <v>5</v>
      </c>
      <c r="L58" s="545">
        <v>8</v>
      </c>
      <c r="M58" s="545">
        <v>2543238884.2222223</v>
      </c>
      <c r="N58" s="545"/>
      <c r="O58" s="545"/>
      <c r="P58" s="545"/>
    </row>
    <row r="59" spans="1:19" ht="13.5" thickBot="1"/>
    <row r="60" spans="1:19">
      <c r="A60" s="546"/>
      <c r="B60" s="546" t="s">
        <v>579</v>
      </c>
      <c r="C60" s="546" t="s">
        <v>568</v>
      </c>
      <c r="D60" s="546" t="s">
        <v>580</v>
      </c>
      <c r="E60" s="546" t="s">
        <v>581</v>
      </c>
      <c r="F60" s="546" t="s">
        <v>582</v>
      </c>
      <c r="G60" s="546" t="s">
        <v>583</v>
      </c>
      <c r="H60" s="546" t="s">
        <v>584</v>
      </c>
      <c r="I60" s="546" t="s">
        <v>585</v>
      </c>
      <c r="K60" s="546"/>
      <c r="L60" s="546" t="s">
        <v>579</v>
      </c>
      <c r="M60" s="546" t="s">
        <v>568</v>
      </c>
      <c r="N60" s="546" t="s">
        <v>580</v>
      </c>
      <c r="O60" s="546" t="s">
        <v>581</v>
      </c>
      <c r="P60" s="546" t="s">
        <v>582</v>
      </c>
      <c r="Q60" s="546" t="s">
        <v>583</v>
      </c>
      <c r="R60" s="546" t="s">
        <v>584</v>
      </c>
      <c r="S60" s="546" t="s">
        <v>585</v>
      </c>
    </row>
    <row r="61" spans="1:19">
      <c r="A61" s="544" t="s">
        <v>573</v>
      </c>
      <c r="B61" s="544">
        <v>22253.406060606045</v>
      </c>
      <c r="C61" s="544">
        <v>1497.9297544727906</v>
      </c>
      <c r="D61" s="544">
        <v>14.85610790102659</v>
      </c>
      <c r="E61" s="544">
        <v>5.8517349960139292E-6</v>
      </c>
      <c r="F61" s="544">
        <v>18588.103992203898</v>
      </c>
      <c r="G61" s="544">
        <v>25918.708129008191</v>
      </c>
      <c r="H61" s="544">
        <v>18588.103992203898</v>
      </c>
      <c r="I61" s="544">
        <v>25918.708129008191</v>
      </c>
      <c r="K61" s="544" t="s">
        <v>573</v>
      </c>
      <c r="L61" s="544">
        <v>16622.688888888886</v>
      </c>
      <c r="M61" s="544">
        <v>2673.8863410295244</v>
      </c>
      <c r="N61" s="544">
        <v>6.216677438312006</v>
      </c>
      <c r="O61" s="544">
        <v>4.3808725920445291E-4</v>
      </c>
      <c r="P61" s="544">
        <v>10299.952400887778</v>
      </c>
      <c r="Q61" s="544">
        <v>22945.425376889994</v>
      </c>
      <c r="R61" s="544">
        <v>10299.952400887778</v>
      </c>
      <c r="S61" s="544">
        <v>22945.425376889994</v>
      </c>
    </row>
    <row r="62" spans="1:19" ht="13.5" thickBot="1">
      <c r="A62" s="544" t="s">
        <v>560</v>
      </c>
      <c r="B62" s="544">
        <v>1512.3876623376682</v>
      </c>
      <c r="C62" s="544">
        <v>873.14940244174261</v>
      </c>
      <c r="D62" s="544">
        <v>1.732106393371295</v>
      </c>
      <c r="E62" s="548">
        <v>0.13396430293384612</v>
      </c>
      <c r="F62" s="544">
        <v>-624.13195831718031</v>
      </c>
      <c r="G62" s="544">
        <v>3648.9072829925167</v>
      </c>
      <c r="H62" s="544">
        <v>-624.13195831718031</v>
      </c>
      <c r="I62" s="544">
        <v>3648.9072829925167</v>
      </c>
      <c r="K62" s="545" t="s">
        <v>560</v>
      </c>
      <c r="L62" s="545">
        <v>6338.7166666666672</v>
      </c>
      <c r="M62" s="545">
        <v>561.62846854472548</v>
      </c>
      <c r="N62" s="545">
        <v>11.286316527172058</v>
      </c>
      <c r="O62" s="545">
        <v>9.5849358158619614E-6</v>
      </c>
      <c r="P62" s="545">
        <v>5010.6763695608934</v>
      </c>
      <c r="Q62" s="545">
        <v>7666.7569637724409</v>
      </c>
      <c r="R62" s="545">
        <v>5010.6763695608934</v>
      </c>
      <c r="S62" s="545">
        <v>7666.7569637724409</v>
      </c>
    </row>
    <row r="63" spans="1:19" ht="13.5" thickBot="1">
      <c r="A63" s="545" t="s">
        <v>561</v>
      </c>
      <c r="B63" s="545">
        <v>603.29112554112487</v>
      </c>
      <c r="C63" s="545">
        <v>105.01342240868148</v>
      </c>
      <c r="D63" s="545">
        <v>5.7448953829282177</v>
      </c>
      <c r="E63" s="545">
        <v>1.2099929772473651E-3</v>
      </c>
      <c r="F63" s="545">
        <v>346.33253772002945</v>
      </c>
      <c r="G63" s="545">
        <v>860.24971336222029</v>
      </c>
      <c r="H63" s="545">
        <v>346.33253772002945</v>
      </c>
      <c r="I63" s="545">
        <v>860.24971336222029</v>
      </c>
    </row>
  </sheetData>
  <mergeCells count="1">
    <mergeCell ref="A1:E1"/>
  </mergeCells>
  <pageMargins left="0.7" right="0.7" top="0.75" bottom="0.75" header="0.3" footer="0.3"/>
  <pageSetup scale="98" orientation="landscape" r:id="rId1"/>
  <headerFooter scaleWithDoc="0">
    <oddHeader>&amp;RExhibit No. CSH-7
Dockets UE-160228/UG-160229
Page &amp;P of &amp;N</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115" zoomScaleNormal="100" zoomScaleSheetLayoutView="115" workbookViewId="0">
      <selection activeCell="K72" sqref="K72"/>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93" t="s">
        <v>607</v>
      </c>
      <c r="B1" s="593"/>
      <c r="C1" s="593"/>
      <c r="D1" s="593"/>
      <c r="E1" s="593"/>
      <c r="J1" s="541" t="s">
        <v>532</v>
      </c>
    </row>
    <row r="2" spans="1:10">
      <c r="B2" s="433">
        <v>2007</v>
      </c>
      <c r="C2" s="433">
        <v>2008</v>
      </c>
      <c r="D2" s="351">
        <v>2009</v>
      </c>
      <c r="E2" s="351">
        <v>2010</v>
      </c>
      <c r="F2" s="351">
        <v>2011</v>
      </c>
      <c r="G2" s="351">
        <v>2012</v>
      </c>
      <c r="H2" s="351">
        <v>2013</v>
      </c>
      <c r="I2" s="351">
        <v>2014</v>
      </c>
      <c r="J2" s="542">
        <v>2015</v>
      </c>
    </row>
    <row r="3" spans="1:10">
      <c r="A3" t="s">
        <v>591</v>
      </c>
      <c r="B3" s="392">
        <f>'Cost Trends'!M78</f>
        <v>7427</v>
      </c>
      <c r="C3" s="392">
        <f>'Cost Trends'!N78</f>
        <v>7581</v>
      </c>
      <c r="D3" s="392">
        <f>'Cost Trends'!O78</f>
        <v>7807</v>
      </c>
      <c r="E3" s="392">
        <f>'Cost Trends'!P78</f>
        <v>7912</v>
      </c>
      <c r="F3" s="392">
        <f>'Cost Trends'!Q78</f>
        <v>8286</v>
      </c>
      <c r="G3" s="392">
        <f>'Cost Trends'!R78</f>
        <v>8677</v>
      </c>
      <c r="H3" s="392">
        <f>'Cost Trends'!S78</f>
        <v>9088</v>
      </c>
      <c r="I3" s="392">
        <f>'Cost Trends'!T78</f>
        <v>9521</v>
      </c>
      <c r="J3" s="392">
        <f>'Cost Trends'!U78</f>
        <v>9906</v>
      </c>
    </row>
    <row r="4" spans="1:10">
      <c r="B4" s="98">
        <v>0</v>
      </c>
      <c r="C4" s="98">
        <v>1</v>
      </c>
      <c r="D4" s="98">
        <v>2</v>
      </c>
      <c r="E4" s="98">
        <v>3</v>
      </c>
      <c r="F4" s="98">
        <v>4</v>
      </c>
      <c r="G4" s="98">
        <v>5</v>
      </c>
      <c r="H4" s="98">
        <v>6</v>
      </c>
      <c r="I4" s="98">
        <v>7</v>
      </c>
      <c r="J4" s="368">
        <v>8</v>
      </c>
    </row>
    <row r="5" spans="1:10">
      <c r="A5" t="str">
        <f>A3</f>
        <v>UG Stor Accum Depr/Amort</v>
      </c>
      <c r="B5" s="92">
        <f>B3</f>
        <v>7427</v>
      </c>
      <c r="C5" s="92">
        <f t="shared" ref="C5:J5" si="0">C3</f>
        <v>7581</v>
      </c>
      <c r="D5" s="92">
        <f t="shared" si="0"/>
        <v>7807</v>
      </c>
      <c r="E5" s="92">
        <f t="shared" si="0"/>
        <v>7912</v>
      </c>
      <c r="F5" s="92">
        <f t="shared" si="0"/>
        <v>8286</v>
      </c>
      <c r="G5" s="92">
        <f t="shared" si="0"/>
        <v>8677</v>
      </c>
      <c r="H5" s="92">
        <f t="shared" si="0"/>
        <v>9088</v>
      </c>
      <c r="I5" s="92">
        <f t="shared" si="0"/>
        <v>9521</v>
      </c>
      <c r="J5" s="343">
        <f t="shared" si="0"/>
        <v>9906</v>
      </c>
    </row>
    <row r="6" spans="1:10">
      <c r="B6" s="44"/>
      <c r="C6" s="44"/>
      <c r="D6" s="44"/>
      <c r="E6" s="44"/>
      <c r="F6" s="44"/>
      <c r="G6" s="44"/>
      <c r="J6" s="120"/>
    </row>
    <row r="25" spans="1:10">
      <c r="B25" s="80" t="s">
        <v>441</v>
      </c>
      <c r="C25" s="80" t="s">
        <v>111</v>
      </c>
    </row>
    <row r="26" spans="1:10">
      <c r="A26" s="469" t="s">
        <v>444</v>
      </c>
      <c r="B26" s="469">
        <f>2*B63</f>
        <v>47.932900432900446</v>
      </c>
      <c r="C26" s="470">
        <f>B62</f>
        <v>125.98506493506497</v>
      </c>
      <c r="H26" s="44"/>
    </row>
    <row r="27" spans="1:10">
      <c r="A27" s="471" t="s">
        <v>450</v>
      </c>
      <c r="B27" s="120">
        <f>(8*B26)</f>
        <v>383.46320346320357</v>
      </c>
      <c r="C27" s="120"/>
      <c r="H27" s="71"/>
    </row>
    <row r="28" spans="1:10">
      <c r="A28" s="120" t="s">
        <v>443</v>
      </c>
      <c r="B28" s="469"/>
      <c r="C28" s="472">
        <f>B27+C26</f>
        <v>509.44826839826851</v>
      </c>
      <c r="G28" s="70"/>
      <c r="H28" s="71"/>
    </row>
    <row r="29" spans="1:10" ht="13.5" thickBot="1">
      <c r="A29" s="120" t="s">
        <v>440</v>
      </c>
      <c r="B29" s="89"/>
      <c r="C29" s="89">
        <f>C28/J5</f>
        <v>5.1428252412504392E-2</v>
      </c>
    </row>
    <row r="30" spans="1:10" ht="13.5" thickBot="1">
      <c r="A30" s="80" t="s">
        <v>442</v>
      </c>
      <c r="B30" s="352"/>
      <c r="C30" s="378">
        <f>2.5*C29</f>
        <v>0.12857063103126098</v>
      </c>
      <c r="D30" s="70" t="s">
        <v>555</v>
      </c>
    </row>
    <row r="31" spans="1:10">
      <c r="A31" s="104"/>
      <c r="B31" s="104"/>
      <c r="C31" s="104"/>
      <c r="D31" s="104"/>
      <c r="E31" s="104"/>
      <c r="F31" s="104"/>
      <c r="G31" s="104"/>
      <c r="H31" s="104"/>
      <c r="I31" s="104"/>
      <c r="J31" s="104"/>
    </row>
    <row r="34" spans="1:12">
      <c r="A34" t="s">
        <v>560</v>
      </c>
      <c r="B34" t="s">
        <v>561</v>
      </c>
      <c r="C34" t="str">
        <f>A3</f>
        <v>UG Stor Accum Depr/Amort</v>
      </c>
    </row>
    <row r="35" spans="1:12">
      <c r="A35">
        <f t="array" ref="A35:A43">TRANSPOSE(B4:J4)</f>
        <v>0</v>
      </c>
      <c r="B35">
        <f>A35^2</f>
        <v>0</v>
      </c>
      <c r="C35">
        <f t="array" ref="C35:C43">TRANSPOSE(B5:J5)</f>
        <v>7427</v>
      </c>
    </row>
    <row r="36" spans="1:12">
      <c r="A36">
        <v>1</v>
      </c>
      <c r="B36">
        <f t="shared" ref="B36:B43" si="1">A36^2</f>
        <v>1</v>
      </c>
      <c r="C36">
        <v>7581</v>
      </c>
    </row>
    <row r="37" spans="1:12">
      <c r="A37">
        <v>2</v>
      </c>
      <c r="B37">
        <f t="shared" si="1"/>
        <v>4</v>
      </c>
      <c r="C37">
        <v>7807</v>
      </c>
    </row>
    <row r="38" spans="1:12">
      <c r="A38">
        <v>3</v>
      </c>
      <c r="B38">
        <f t="shared" si="1"/>
        <v>9</v>
      </c>
      <c r="C38">
        <v>7912</v>
      </c>
    </row>
    <row r="39" spans="1:12">
      <c r="A39">
        <v>4</v>
      </c>
      <c r="B39">
        <f t="shared" si="1"/>
        <v>16</v>
      </c>
      <c r="C39">
        <v>8286</v>
      </c>
    </row>
    <row r="40" spans="1:12">
      <c r="A40">
        <v>5</v>
      </c>
      <c r="B40">
        <f t="shared" si="1"/>
        <v>25</v>
      </c>
      <c r="C40">
        <v>8677</v>
      </c>
      <c r="E40" t="s">
        <v>281</v>
      </c>
    </row>
    <row r="41" spans="1:12">
      <c r="A41">
        <v>6</v>
      </c>
      <c r="B41">
        <f t="shared" si="1"/>
        <v>36</v>
      </c>
      <c r="C41">
        <v>9088</v>
      </c>
    </row>
    <row r="42" spans="1:12">
      <c r="A42">
        <v>7</v>
      </c>
      <c r="B42">
        <f t="shared" si="1"/>
        <v>49</v>
      </c>
      <c r="C42">
        <v>9521</v>
      </c>
    </row>
    <row r="43" spans="1:12">
      <c r="A43">
        <v>8</v>
      </c>
      <c r="B43">
        <f t="shared" si="1"/>
        <v>64</v>
      </c>
      <c r="C43">
        <v>9906</v>
      </c>
    </row>
    <row r="44" spans="1:12">
      <c r="A44" s="461" t="s">
        <v>562</v>
      </c>
      <c r="K44" s="461" t="s">
        <v>586</v>
      </c>
    </row>
    <row r="45" spans="1:12">
      <c r="A45" t="s">
        <v>563</v>
      </c>
      <c r="K45" t="s">
        <v>563</v>
      </c>
    </row>
    <row r="46" spans="1:12" ht="13.5" thickBot="1"/>
    <row r="47" spans="1:12">
      <c r="A47" s="547" t="s">
        <v>564</v>
      </c>
      <c r="B47" s="547"/>
      <c r="K47" s="547" t="s">
        <v>564</v>
      </c>
      <c r="L47" s="547"/>
    </row>
    <row r="48" spans="1:12">
      <c r="A48" s="544" t="s">
        <v>565</v>
      </c>
      <c r="B48" s="544">
        <v>0.998334622563955</v>
      </c>
      <c r="K48" s="544" t="s">
        <v>565</v>
      </c>
      <c r="L48" s="544">
        <v>0.98406593966765354</v>
      </c>
    </row>
    <row r="49" spans="1:19">
      <c r="A49" s="544" t="s">
        <v>566</v>
      </c>
      <c r="B49" s="544">
        <v>0.9966720186099145</v>
      </c>
      <c r="K49" s="544" t="s">
        <v>566</v>
      </c>
      <c r="L49" s="544">
        <v>0.96838577361398193</v>
      </c>
    </row>
    <row r="50" spans="1:19">
      <c r="A50" s="544" t="s">
        <v>567</v>
      </c>
      <c r="B50" s="544">
        <v>0.99556269147988596</v>
      </c>
      <c r="K50" s="544" t="s">
        <v>567</v>
      </c>
      <c r="L50" s="544">
        <v>0.96386945555883652</v>
      </c>
    </row>
    <row r="51" spans="1:19">
      <c r="A51" s="544" t="s">
        <v>568</v>
      </c>
      <c r="B51" s="544">
        <v>58.898772211017828</v>
      </c>
      <c r="K51" s="544" t="s">
        <v>568</v>
      </c>
      <c r="L51" s="544">
        <v>168.06747747296913</v>
      </c>
    </row>
    <row r="52" spans="1:19" ht="13.5" thickBot="1">
      <c r="A52" s="545" t="s">
        <v>569</v>
      </c>
      <c r="B52" s="545">
        <v>9</v>
      </c>
      <c r="K52" s="545" t="s">
        <v>569</v>
      </c>
      <c r="L52" s="545">
        <v>9</v>
      </c>
    </row>
    <row r="54" spans="1:19" ht="13.5" thickBot="1">
      <c r="A54" t="s">
        <v>570</v>
      </c>
      <c r="K54" t="s">
        <v>570</v>
      </c>
    </row>
    <row r="55" spans="1:19">
      <c r="A55" s="546"/>
      <c r="B55" s="546" t="s">
        <v>574</v>
      </c>
      <c r="C55" s="546" t="s">
        <v>575</v>
      </c>
      <c r="D55" s="546" t="s">
        <v>576</v>
      </c>
      <c r="E55" s="546" t="s">
        <v>577</v>
      </c>
      <c r="F55" s="546" t="s">
        <v>578</v>
      </c>
      <c r="K55" s="546"/>
      <c r="L55" s="546" t="s">
        <v>574</v>
      </c>
      <c r="M55" s="546" t="s">
        <v>575</v>
      </c>
      <c r="N55" s="546" t="s">
        <v>576</v>
      </c>
      <c r="O55" s="546" t="s">
        <v>577</v>
      </c>
      <c r="P55" s="546" t="s">
        <v>578</v>
      </c>
    </row>
    <row r="56" spans="1:19">
      <c r="A56" s="544" t="s">
        <v>571</v>
      </c>
      <c r="B56" s="544">
        <v>2</v>
      </c>
      <c r="C56" s="544">
        <v>6233545.163347763</v>
      </c>
      <c r="D56" s="544">
        <v>3116772.5816738815</v>
      </c>
      <c r="E56" s="544">
        <v>898.44734851505348</v>
      </c>
      <c r="F56" s="544">
        <v>3.6858925208443266E-8</v>
      </c>
      <c r="K56" s="544" t="s">
        <v>571</v>
      </c>
      <c r="L56" s="544">
        <v>1</v>
      </c>
      <c r="M56" s="544">
        <v>6056632.8166666664</v>
      </c>
      <c r="N56" s="544">
        <v>6056632.8166666664</v>
      </c>
      <c r="O56" s="544">
        <v>214.4193039085676</v>
      </c>
      <c r="P56" s="544">
        <v>1.6555126738383972E-6</v>
      </c>
    </row>
    <row r="57" spans="1:19">
      <c r="A57" s="544" t="s">
        <v>572</v>
      </c>
      <c r="B57" s="544">
        <v>6</v>
      </c>
      <c r="C57" s="544">
        <v>20814.392207792196</v>
      </c>
      <c r="D57" s="544">
        <v>3469.065367965366</v>
      </c>
      <c r="E57" s="544"/>
      <c r="F57" s="544"/>
      <c r="K57" s="544" t="s">
        <v>572</v>
      </c>
      <c r="L57" s="544">
        <v>7</v>
      </c>
      <c r="M57" s="544">
        <v>197726.73888888891</v>
      </c>
      <c r="N57" s="544">
        <v>28246.676984126989</v>
      </c>
      <c r="O57" s="544"/>
      <c r="P57" s="544"/>
    </row>
    <row r="58" spans="1:19" ht="13.5" thickBot="1">
      <c r="A58" s="545" t="s">
        <v>5</v>
      </c>
      <c r="B58" s="545">
        <v>8</v>
      </c>
      <c r="C58" s="545">
        <v>6254359.555555555</v>
      </c>
      <c r="D58" s="545"/>
      <c r="E58" s="545"/>
      <c r="F58" s="545"/>
      <c r="K58" s="545" t="s">
        <v>5</v>
      </c>
      <c r="L58" s="545">
        <v>8</v>
      </c>
      <c r="M58" s="545">
        <v>6254359.555555555</v>
      </c>
      <c r="N58" s="545"/>
      <c r="O58" s="545"/>
      <c r="P58" s="545"/>
    </row>
    <row r="59" spans="1:19" ht="13.5" thickBot="1"/>
    <row r="60" spans="1:19">
      <c r="A60" s="546"/>
      <c r="B60" s="546" t="s">
        <v>579</v>
      </c>
      <c r="C60" s="546" t="s">
        <v>568</v>
      </c>
      <c r="D60" s="546" t="s">
        <v>580</v>
      </c>
      <c r="E60" s="546" t="s">
        <v>581</v>
      </c>
      <c r="F60" s="546" t="s">
        <v>582</v>
      </c>
      <c r="G60" s="546" t="s">
        <v>583</v>
      </c>
      <c r="H60" s="546" t="s">
        <v>584</v>
      </c>
      <c r="I60" s="546" t="s">
        <v>585</v>
      </c>
      <c r="K60" s="546"/>
      <c r="L60" s="546" t="s">
        <v>579</v>
      </c>
      <c r="M60" s="546" t="s">
        <v>568</v>
      </c>
      <c r="N60" s="546" t="s">
        <v>580</v>
      </c>
      <c r="O60" s="546" t="s">
        <v>581</v>
      </c>
      <c r="P60" s="546" t="s">
        <v>582</v>
      </c>
      <c r="Q60" s="546" t="s">
        <v>583</v>
      </c>
      <c r="R60" s="546" t="s">
        <v>584</v>
      </c>
      <c r="S60" s="546" t="s">
        <v>585</v>
      </c>
    </row>
    <row r="61" spans="1:19">
      <c r="A61" s="544" t="s">
        <v>573</v>
      </c>
      <c r="B61" s="544">
        <v>7420.0424242424251</v>
      </c>
      <c r="C61" s="544">
        <v>47.871553209777019</v>
      </c>
      <c r="D61" s="544">
        <v>154.99899056392005</v>
      </c>
      <c r="E61" s="544">
        <v>4.8645858887451892E-12</v>
      </c>
      <c r="F61" s="544">
        <v>7302.9049533607049</v>
      </c>
      <c r="G61" s="544">
        <v>7537.1798951241453</v>
      </c>
      <c r="H61" s="544">
        <v>7302.9049533607049</v>
      </c>
      <c r="I61" s="544">
        <v>7537.1798951241453</v>
      </c>
      <c r="K61" s="544" t="s">
        <v>573</v>
      </c>
      <c r="L61" s="544">
        <v>7196.3555555555558</v>
      </c>
      <c r="M61" s="544">
        <v>103.30037202580731</v>
      </c>
      <c r="N61" s="544">
        <v>69.664372106595181</v>
      </c>
      <c r="O61" s="544">
        <v>3.3018143161479427E-11</v>
      </c>
      <c r="P61" s="544">
        <v>6952.0889906647753</v>
      </c>
      <c r="Q61" s="544">
        <v>7440.6221204463363</v>
      </c>
      <c r="R61" s="544">
        <v>6952.0889906647753</v>
      </c>
      <c r="S61" s="544">
        <v>7440.6221204463363</v>
      </c>
    </row>
    <row r="62" spans="1:19" ht="13.5" thickBot="1">
      <c r="A62" s="544" t="s">
        <v>560</v>
      </c>
      <c r="B62" s="544">
        <v>125.98506493506497</v>
      </c>
      <c r="C62" s="544">
        <v>27.904524864576473</v>
      </c>
      <c r="D62" s="544">
        <v>4.5148614981435244</v>
      </c>
      <c r="E62" s="544">
        <v>4.0395611962468977E-3</v>
      </c>
      <c r="F62" s="544">
        <v>57.705152343363324</v>
      </c>
      <c r="G62" s="544">
        <v>194.26497752676661</v>
      </c>
      <c r="H62" s="544">
        <v>57.705152343363324</v>
      </c>
      <c r="I62" s="544">
        <v>194.26497752676661</v>
      </c>
      <c r="K62" s="545" t="s">
        <v>560</v>
      </c>
      <c r="L62" s="545">
        <v>317.71666666666658</v>
      </c>
      <c r="M62" s="545">
        <v>21.697418043063319</v>
      </c>
      <c r="N62" s="545">
        <v>14.643063337586421</v>
      </c>
      <c r="O62" s="545">
        <v>1.6555126738383972E-6</v>
      </c>
      <c r="P62" s="545">
        <v>266.41042576509221</v>
      </c>
      <c r="Q62" s="545">
        <v>369.02290756824095</v>
      </c>
      <c r="R62" s="545">
        <v>266.41042576509221</v>
      </c>
      <c r="S62" s="545">
        <v>369.02290756824095</v>
      </c>
    </row>
    <row r="63" spans="1:19" ht="13.5" thickBot="1">
      <c r="A63" s="545" t="s">
        <v>561</v>
      </c>
      <c r="B63" s="545">
        <v>23.966450216450223</v>
      </c>
      <c r="C63" s="545">
        <v>3.3560690169662473</v>
      </c>
      <c r="D63" s="545">
        <v>7.1412268625258903</v>
      </c>
      <c r="E63" s="545">
        <v>3.7991139243428123E-4</v>
      </c>
      <c r="F63" s="545">
        <v>15.754445165575065</v>
      </c>
      <c r="G63" s="545">
        <v>32.178455267325383</v>
      </c>
      <c r="H63" s="545">
        <v>15.754445165575065</v>
      </c>
      <c r="I63" s="545">
        <v>32.178455267325383</v>
      </c>
    </row>
  </sheetData>
  <mergeCells count="1">
    <mergeCell ref="A1:E1"/>
  </mergeCells>
  <pageMargins left="0.7" right="0.7" top="0.75" bottom="0.75" header="0.3" footer="0.3"/>
  <pageSetup scale="98" orientation="landscape" r:id="rId1"/>
  <headerFooter scaleWithDoc="0">
    <oddHeader>&amp;RExhibit No. CSH-7
Dockets UE-160228/UG-160229
Page &amp;P of &amp;N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115" zoomScaleNormal="100" zoomScaleSheetLayoutView="115" workbookViewId="0">
      <selection activeCell="K72" sqref="K72"/>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93" t="s">
        <v>607</v>
      </c>
      <c r="B1" s="593"/>
      <c r="C1" s="593"/>
      <c r="D1" s="593"/>
      <c r="E1" s="593"/>
      <c r="J1" s="541" t="s">
        <v>532</v>
      </c>
    </row>
    <row r="2" spans="1:10">
      <c r="B2" s="433">
        <v>2007</v>
      </c>
      <c r="C2" s="433">
        <v>2008</v>
      </c>
      <c r="D2" s="351">
        <v>2009</v>
      </c>
      <c r="E2" s="351">
        <v>2010</v>
      </c>
      <c r="F2" s="351">
        <v>2011</v>
      </c>
      <c r="G2" s="351">
        <v>2012</v>
      </c>
      <c r="H2" s="351">
        <v>2013</v>
      </c>
      <c r="I2" s="351">
        <v>2014</v>
      </c>
      <c r="J2" s="542">
        <v>2015</v>
      </c>
    </row>
    <row r="3" spans="1:10">
      <c r="A3" t="s">
        <v>592</v>
      </c>
      <c r="B3" s="392">
        <f>'Cost Trends'!M79</f>
        <v>77997</v>
      </c>
      <c r="C3" s="392">
        <f>'Cost Trends'!N79</f>
        <v>81405</v>
      </c>
      <c r="D3" s="392">
        <f>'Cost Trends'!O79</f>
        <v>84021</v>
      </c>
      <c r="E3" s="392">
        <f>'Cost Trends'!P79</f>
        <v>89620</v>
      </c>
      <c r="F3" s="392">
        <f>'Cost Trends'!Q79</f>
        <v>97489</v>
      </c>
      <c r="G3" s="392">
        <f>'Cost Trends'!R79</f>
        <v>102678</v>
      </c>
      <c r="H3" s="392">
        <f>'Cost Trends'!S79</f>
        <v>108662</v>
      </c>
      <c r="I3" s="392">
        <f>'Cost Trends'!T79</f>
        <v>114795</v>
      </c>
      <c r="J3" s="392">
        <f>'Cost Trends'!U79</f>
        <v>121623</v>
      </c>
    </row>
    <row r="4" spans="1:10">
      <c r="B4" s="98">
        <v>0</v>
      </c>
      <c r="C4" s="98">
        <v>1</v>
      </c>
      <c r="D4" s="98">
        <v>2</v>
      </c>
      <c r="E4" s="98">
        <v>3</v>
      </c>
      <c r="F4" s="98">
        <v>4</v>
      </c>
      <c r="G4" s="98">
        <v>5</v>
      </c>
      <c r="H4" s="98">
        <v>6</v>
      </c>
      <c r="I4" s="98">
        <v>7</v>
      </c>
      <c r="J4" s="368">
        <v>8</v>
      </c>
    </row>
    <row r="5" spans="1:10">
      <c r="A5" t="str">
        <f>A3</f>
        <v>Distribution Accum. Depr. &amp; Amort.</v>
      </c>
      <c r="B5" s="92">
        <f>B3</f>
        <v>77997</v>
      </c>
      <c r="C5" s="92">
        <f t="shared" ref="C5:J5" si="0">C3</f>
        <v>81405</v>
      </c>
      <c r="D5" s="92">
        <f t="shared" si="0"/>
        <v>84021</v>
      </c>
      <c r="E5" s="92">
        <f t="shared" si="0"/>
        <v>89620</v>
      </c>
      <c r="F5" s="92">
        <f t="shared" si="0"/>
        <v>97489</v>
      </c>
      <c r="G5" s="92">
        <f t="shared" si="0"/>
        <v>102678</v>
      </c>
      <c r="H5" s="92">
        <f t="shared" si="0"/>
        <v>108662</v>
      </c>
      <c r="I5" s="92">
        <f t="shared" si="0"/>
        <v>114795</v>
      </c>
      <c r="J5" s="343">
        <f t="shared" si="0"/>
        <v>121623</v>
      </c>
    </row>
    <row r="6" spans="1:10">
      <c r="B6" s="44"/>
      <c r="C6" s="44"/>
      <c r="D6" s="44"/>
      <c r="E6" s="44"/>
      <c r="F6" s="44"/>
      <c r="G6" s="44"/>
      <c r="J6" s="120"/>
    </row>
    <row r="25" spans="1:10">
      <c r="B25" s="80" t="s">
        <v>441</v>
      </c>
      <c r="C25" s="80" t="s">
        <v>111</v>
      </c>
    </row>
    <row r="26" spans="1:10">
      <c r="A26" s="469" t="s">
        <v>444</v>
      </c>
      <c r="B26" s="469">
        <f>2*B63</f>
        <v>438.20346320346295</v>
      </c>
      <c r="C26" s="470">
        <f>B62</f>
        <v>3864.086147186149</v>
      </c>
      <c r="H26" s="44"/>
    </row>
    <row r="27" spans="1:10">
      <c r="A27" s="471" t="s">
        <v>450</v>
      </c>
      <c r="B27" s="120">
        <f>(8*B26)</f>
        <v>3505.6277056277036</v>
      </c>
      <c r="C27" s="120"/>
      <c r="H27" s="71"/>
    </row>
    <row r="28" spans="1:10">
      <c r="A28" s="120" t="s">
        <v>443</v>
      </c>
      <c r="B28" s="469"/>
      <c r="C28" s="472">
        <f>B27+C26</f>
        <v>7369.713852813853</v>
      </c>
      <c r="G28" s="70"/>
      <c r="H28" s="71"/>
    </row>
    <row r="29" spans="1:10" ht="13.5" thickBot="1">
      <c r="A29" s="120" t="s">
        <v>440</v>
      </c>
      <c r="B29" s="89"/>
      <c r="C29" s="89">
        <f>C28/J5</f>
        <v>6.0594738271657934E-2</v>
      </c>
    </row>
    <row r="30" spans="1:10" ht="13.5" thickBot="1">
      <c r="A30" s="80" t="s">
        <v>442</v>
      </c>
      <c r="B30" s="352"/>
      <c r="C30" s="378">
        <f>2.5*C29</f>
        <v>0.15148684567914483</v>
      </c>
      <c r="D30" s="70" t="s">
        <v>555</v>
      </c>
    </row>
    <row r="31" spans="1:10">
      <c r="A31" s="104"/>
      <c r="B31" s="104"/>
      <c r="C31" s="104"/>
      <c r="D31" s="104"/>
      <c r="E31" s="104"/>
      <c r="F31" s="104"/>
      <c r="G31" s="104"/>
      <c r="H31" s="104"/>
      <c r="I31" s="104"/>
      <c r="J31" s="104"/>
    </row>
    <row r="34" spans="1:12">
      <c r="A34" t="s">
        <v>560</v>
      </c>
      <c r="B34" t="s">
        <v>561</v>
      </c>
      <c r="C34" t="str">
        <f>A3</f>
        <v>Distribution Accum. Depr. &amp; Amort.</v>
      </c>
    </row>
    <row r="35" spans="1:12">
      <c r="A35">
        <f t="array" ref="A35:A43">TRANSPOSE(B4:J4)</f>
        <v>0</v>
      </c>
      <c r="B35">
        <f>A35^2</f>
        <v>0</v>
      </c>
      <c r="C35">
        <f t="array" ref="C35:C43">TRANSPOSE(B5:J5)</f>
        <v>77997</v>
      </c>
    </row>
    <row r="36" spans="1:12">
      <c r="A36">
        <v>1</v>
      </c>
      <c r="B36">
        <f t="shared" ref="B36:B43" si="1">A36^2</f>
        <v>1</v>
      </c>
      <c r="C36">
        <v>81405</v>
      </c>
    </row>
    <row r="37" spans="1:12">
      <c r="A37">
        <v>2</v>
      </c>
      <c r="B37">
        <f t="shared" si="1"/>
        <v>4</v>
      </c>
      <c r="C37">
        <v>84021</v>
      </c>
    </row>
    <row r="38" spans="1:12">
      <c r="A38">
        <v>3</v>
      </c>
      <c r="B38">
        <f t="shared" si="1"/>
        <v>9</v>
      </c>
      <c r="C38">
        <v>89620</v>
      </c>
    </row>
    <row r="39" spans="1:12">
      <c r="A39">
        <v>4</v>
      </c>
      <c r="B39">
        <f t="shared" si="1"/>
        <v>16</v>
      </c>
      <c r="C39">
        <v>97489</v>
      </c>
    </row>
    <row r="40" spans="1:12">
      <c r="A40">
        <v>5</v>
      </c>
      <c r="B40">
        <f t="shared" si="1"/>
        <v>25</v>
      </c>
      <c r="C40">
        <v>102678</v>
      </c>
      <c r="E40" t="s">
        <v>281</v>
      </c>
    </row>
    <row r="41" spans="1:12">
      <c r="A41">
        <v>6</v>
      </c>
      <c r="B41">
        <f t="shared" si="1"/>
        <v>36</v>
      </c>
      <c r="C41">
        <v>108662</v>
      </c>
    </row>
    <row r="42" spans="1:12">
      <c r="A42">
        <v>7</v>
      </c>
      <c r="B42">
        <f t="shared" si="1"/>
        <v>49</v>
      </c>
      <c r="C42">
        <v>114795</v>
      </c>
    </row>
    <row r="43" spans="1:12">
      <c r="A43">
        <v>8</v>
      </c>
      <c r="B43">
        <f t="shared" si="1"/>
        <v>64</v>
      </c>
      <c r="C43">
        <v>121623</v>
      </c>
    </row>
    <row r="44" spans="1:12">
      <c r="A44" s="461" t="s">
        <v>562</v>
      </c>
      <c r="K44" s="461" t="s">
        <v>586</v>
      </c>
    </row>
    <row r="45" spans="1:12">
      <c r="A45" t="s">
        <v>563</v>
      </c>
      <c r="K45" t="s">
        <v>563</v>
      </c>
    </row>
    <row r="46" spans="1:12" ht="13.5" thickBot="1"/>
    <row r="47" spans="1:12">
      <c r="A47" s="547" t="s">
        <v>564</v>
      </c>
      <c r="B47" s="547"/>
      <c r="K47" s="547" t="s">
        <v>564</v>
      </c>
      <c r="L47" s="547"/>
    </row>
    <row r="48" spans="1:12">
      <c r="A48" s="544" t="s">
        <v>565</v>
      </c>
      <c r="B48" s="544">
        <v>0.99796116191899609</v>
      </c>
      <c r="K48" s="544" t="s">
        <v>565</v>
      </c>
      <c r="L48" s="544">
        <v>0.99408638899930535</v>
      </c>
    </row>
    <row r="49" spans="1:19">
      <c r="A49" s="544" t="s">
        <v>566</v>
      </c>
      <c r="B49" s="544">
        <v>0.9959264806987127</v>
      </c>
      <c r="K49" s="544" t="s">
        <v>566</v>
      </c>
      <c r="L49" s="544">
        <v>0.98820774879367823</v>
      </c>
    </row>
    <row r="50" spans="1:19">
      <c r="A50" s="544" t="s">
        <v>567</v>
      </c>
      <c r="B50" s="544">
        <v>0.9945686409316169</v>
      </c>
      <c r="K50" s="544" t="s">
        <v>567</v>
      </c>
      <c r="L50" s="544">
        <v>0.98652314147848941</v>
      </c>
    </row>
    <row r="51" spans="1:19">
      <c r="A51" s="544" t="s">
        <v>568</v>
      </c>
      <c r="B51" s="544">
        <v>1140.4006436310992</v>
      </c>
      <c r="K51" s="544" t="s">
        <v>568</v>
      </c>
      <c r="L51" s="544">
        <v>1796.3771857966774</v>
      </c>
    </row>
    <row r="52" spans="1:19" ht="13.5" thickBot="1">
      <c r="A52" s="545" t="s">
        <v>569</v>
      </c>
      <c r="B52" s="545">
        <v>9</v>
      </c>
      <c r="K52" s="545" t="s">
        <v>569</v>
      </c>
      <c r="L52" s="545">
        <v>9</v>
      </c>
    </row>
    <row r="54" spans="1:19" ht="13.5" thickBot="1">
      <c r="A54" t="s">
        <v>570</v>
      </c>
      <c r="K54" t="s">
        <v>570</v>
      </c>
    </row>
    <row r="55" spans="1:19">
      <c r="A55" s="546"/>
      <c r="B55" s="546" t="s">
        <v>574</v>
      </c>
      <c r="C55" s="546" t="s">
        <v>575</v>
      </c>
      <c r="D55" s="546" t="s">
        <v>576</v>
      </c>
      <c r="E55" s="546" t="s">
        <v>577</v>
      </c>
      <c r="F55" s="546" t="s">
        <v>578</v>
      </c>
      <c r="K55" s="546"/>
      <c r="L55" s="546" t="s">
        <v>574</v>
      </c>
      <c r="M55" s="546" t="s">
        <v>575</v>
      </c>
      <c r="N55" s="546" t="s">
        <v>576</v>
      </c>
      <c r="O55" s="546" t="s">
        <v>577</v>
      </c>
      <c r="P55" s="546" t="s">
        <v>578</v>
      </c>
    </row>
    <row r="56" spans="1:19">
      <c r="A56" s="544" t="s">
        <v>571</v>
      </c>
      <c r="B56" s="544">
        <v>2</v>
      </c>
      <c r="C56" s="544">
        <v>1907759651.7875903</v>
      </c>
      <c r="D56" s="544">
        <v>953879825.89379513</v>
      </c>
      <c r="E56" s="544">
        <v>733.46392176217228</v>
      </c>
      <c r="F56" s="544">
        <v>6.7594184892003417E-8</v>
      </c>
      <c r="K56" s="544" t="s">
        <v>571</v>
      </c>
      <c r="L56" s="544">
        <v>1</v>
      </c>
      <c r="M56" s="544">
        <v>1892973936.6000001</v>
      </c>
      <c r="N56" s="544">
        <v>1892973936.6000001</v>
      </c>
      <c r="O56" s="544">
        <v>586.61014937057405</v>
      </c>
      <c r="P56" s="544">
        <v>5.2062152838137866E-8</v>
      </c>
    </row>
    <row r="57" spans="1:19">
      <c r="A57" s="544" t="s">
        <v>572</v>
      </c>
      <c r="B57" s="544">
        <v>6</v>
      </c>
      <c r="C57" s="544">
        <v>7803081.7679653512</v>
      </c>
      <c r="D57" s="544">
        <v>1300513.6279942251</v>
      </c>
      <c r="E57" s="544"/>
      <c r="F57" s="544"/>
      <c r="K57" s="544" t="s">
        <v>572</v>
      </c>
      <c r="L57" s="544">
        <v>7</v>
      </c>
      <c r="M57" s="544">
        <v>22588796.955555536</v>
      </c>
      <c r="N57" s="544">
        <v>3226970.9936507908</v>
      </c>
      <c r="O57" s="544"/>
      <c r="P57" s="544"/>
    </row>
    <row r="58" spans="1:19" ht="13.5" thickBot="1">
      <c r="A58" s="545" t="s">
        <v>5</v>
      </c>
      <c r="B58" s="545">
        <v>8</v>
      </c>
      <c r="C58" s="545">
        <v>1915562733.5555556</v>
      </c>
      <c r="D58" s="545"/>
      <c r="E58" s="545"/>
      <c r="F58" s="545"/>
      <c r="K58" s="545" t="s">
        <v>5</v>
      </c>
      <c r="L58" s="545">
        <v>8</v>
      </c>
      <c r="M58" s="545">
        <v>1915562733.5555556</v>
      </c>
      <c r="N58" s="545"/>
      <c r="O58" s="545"/>
      <c r="P58" s="545"/>
    </row>
    <row r="59" spans="1:19" ht="13.5" thickBot="1"/>
    <row r="60" spans="1:19">
      <c r="A60" s="546"/>
      <c r="B60" s="546" t="s">
        <v>579</v>
      </c>
      <c r="C60" s="546" t="s">
        <v>568</v>
      </c>
      <c r="D60" s="546" t="s">
        <v>580</v>
      </c>
      <c r="E60" s="546" t="s">
        <v>581</v>
      </c>
      <c r="F60" s="546" t="s">
        <v>582</v>
      </c>
      <c r="G60" s="546" t="s">
        <v>583</v>
      </c>
      <c r="H60" s="546" t="s">
        <v>584</v>
      </c>
      <c r="I60" s="546" t="s">
        <v>585</v>
      </c>
      <c r="K60" s="546"/>
      <c r="L60" s="546" t="s">
        <v>579</v>
      </c>
      <c r="M60" s="546" t="s">
        <v>568</v>
      </c>
      <c r="N60" s="546" t="s">
        <v>580</v>
      </c>
      <c r="O60" s="546" t="s">
        <v>581</v>
      </c>
      <c r="P60" s="546" t="s">
        <v>582</v>
      </c>
      <c r="Q60" s="546" t="s">
        <v>583</v>
      </c>
      <c r="R60" s="546" t="s">
        <v>584</v>
      </c>
      <c r="S60" s="546" t="s">
        <v>585</v>
      </c>
    </row>
    <row r="61" spans="1:19">
      <c r="A61" s="544" t="s">
        <v>573</v>
      </c>
      <c r="B61" s="544">
        <v>77165.127272727274</v>
      </c>
      <c r="C61" s="544">
        <v>926.89113953784329</v>
      </c>
      <c r="D61" s="544">
        <v>83.251553479303453</v>
      </c>
      <c r="E61" s="544">
        <v>2.0228477457128394E-10</v>
      </c>
      <c r="F61" s="544">
        <v>74897.106358670862</v>
      </c>
      <c r="G61" s="544">
        <v>79433.148186783685</v>
      </c>
      <c r="H61" s="544">
        <v>74897.106358670862</v>
      </c>
      <c r="I61" s="544">
        <v>79433.148186783685</v>
      </c>
      <c r="K61" s="544" t="s">
        <v>573</v>
      </c>
      <c r="L61" s="544">
        <v>75120.17777777779</v>
      </c>
      <c r="M61" s="544">
        <v>1104.1186217679435</v>
      </c>
      <c r="N61" s="544">
        <v>68.036328974773923</v>
      </c>
      <c r="O61" s="544">
        <v>3.8953580408341907E-11</v>
      </c>
      <c r="P61" s="544">
        <v>72509.352108110106</v>
      </c>
      <c r="Q61" s="544">
        <v>77731.003447445473</v>
      </c>
      <c r="R61" s="544">
        <v>72509.352108110106</v>
      </c>
      <c r="S61" s="544">
        <v>77731.003447445473</v>
      </c>
    </row>
    <row r="62" spans="1:19" ht="13.5" thickBot="1">
      <c r="A62" s="544" t="s">
        <v>560</v>
      </c>
      <c r="B62" s="544">
        <v>3864.086147186149</v>
      </c>
      <c r="C62" s="544">
        <v>540.28864985118003</v>
      </c>
      <c r="D62" s="544">
        <v>7.1518921381200462</v>
      </c>
      <c r="E62" s="544">
        <v>3.7683591104727062E-4</v>
      </c>
      <c r="F62" s="544">
        <v>2542.0474468261818</v>
      </c>
      <c r="G62" s="544">
        <v>5186.1248475461161</v>
      </c>
      <c r="H62" s="544">
        <v>2542.0474468261818</v>
      </c>
      <c r="I62" s="544">
        <v>5186.1248475461161</v>
      </c>
      <c r="K62" s="545" t="s">
        <v>560</v>
      </c>
      <c r="L62" s="545">
        <v>5616.8999999999987</v>
      </c>
      <c r="M62" s="545">
        <v>231.91129746991595</v>
      </c>
      <c r="N62" s="545">
        <v>24.220036114146769</v>
      </c>
      <c r="O62" s="545">
        <v>5.2062152838138051E-8</v>
      </c>
      <c r="P62" s="545">
        <v>5068.5169217842868</v>
      </c>
      <c r="Q62" s="545">
        <v>6165.2830782157107</v>
      </c>
      <c r="R62" s="545">
        <v>5068.5169217842868</v>
      </c>
      <c r="S62" s="545">
        <v>6165.2830782157107</v>
      </c>
    </row>
    <row r="63" spans="1:19" ht="13.5" thickBot="1">
      <c r="A63" s="545" t="s">
        <v>561</v>
      </c>
      <c r="B63" s="545">
        <v>219.10173160173147</v>
      </c>
      <c r="C63" s="545">
        <v>64.980357371571088</v>
      </c>
      <c r="D63" s="545">
        <v>3.3718148139577409</v>
      </c>
      <c r="E63" s="545">
        <v>1.5008752706570851E-2</v>
      </c>
      <c r="F63" s="545">
        <v>60.100525057598787</v>
      </c>
      <c r="G63" s="545">
        <v>378.10293814586419</v>
      </c>
      <c r="H63" s="545">
        <v>60.100525057598787</v>
      </c>
      <c r="I63" s="545">
        <v>378.10293814586419</v>
      </c>
    </row>
  </sheetData>
  <mergeCells count="1">
    <mergeCell ref="A1:E1"/>
  </mergeCells>
  <pageMargins left="0.7" right="0.7" top="0.75" bottom="0.75" header="0.3" footer="0.3"/>
  <pageSetup scale="98" orientation="landscape" r:id="rId1"/>
  <headerFooter scaleWithDoc="0">
    <oddHeader>&amp;RExhibit No. CSH-7
Dockets UE-160228/UG-160229
Page &amp;P of &amp;N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115" zoomScaleNormal="100" zoomScaleSheetLayoutView="115" workbookViewId="0">
      <selection activeCell="K72" sqref="K72"/>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93" t="s">
        <v>607</v>
      </c>
      <c r="B1" s="593"/>
      <c r="C1" s="593"/>
      <c r="D1" s="593"/>
      <c r="E1" s="593"/>
      <c r="J1" s="541" t="s">
        <v>532</v>
      </c>
    </row>
    <row r="2" spans="1:10">
      <c r="B2" s="433">
        <v>2007</v>
      </c>
      <c r="C2" s="433">
        <v>2008</v>
      </c>
      <c r="D2" s="351">
        <v>2009</v>
      </c>
      <c r="E2" s="351">
        <v>2010</v>
      </c>
      <c r="F2" s="351">
        <v>2011</v>
      </c>
      <c r="G2" s="351">
        <v>2012</v>
      </c>
      <c r="H2" s="351">
        <v>2013</v>
      </c>
      <c r="I2" s="351">
        <v>2014</v>
      </c>
      <c r="J2" s="542">
        <v>2015</v>
      </c>
    </row>
    <row r="3" spans="1:10">
      <c r="A3" t="s">
        <v>593</v>
      </c>
      <c r="B3" s="392">
        <f>'Cost Trends'!M80</f>
        <v>7136</v>
      </c>
      <c r="C3" s="392">
        <f>'Cost Trends'!N80</f>
        <v>8309</v>
      </c>
      <c r="D3" s="392">
        <f>'Cost Trends'!O80</f>
        <v>8882</v>
      </c>
      <c r="E3" s="392">
        <f>'Cost Trends'!P80</f>
        <v>10722</v>
      </c>
      <c r="F3" s="392">
        <f>'Cost Trends'!Q80</f>
        <v>10926</v>
      </c>
      <c r="G3" s="392">
        <f>'Cost Trends'!R80</f>
        <v>12186</v>
      </c>
      <c r="H3" s="392">
        <f>'Cost Trends'!S80</f>
        <v>14724</v>
      </c>
      <c r="I3" s="392">
        <f>'Cost Trends'!T80</f>
        <v>17429</v>
      </c>
      <c r="J3" s="392">
        <f>'Cost Trends'!U80</f>
        <v>20741</v>
      </c>
    </row>
    <row r="4" spans="1:10">
      <c r="B4" s="98">
        <v>0</v>
      </c>
      <c r="C4" s="98">
        <v>1</v>
      </c>
      <c r="D4" s="98">
        <v>2</v>
      </c>
      <c r="E4" s="98">
        <v>3</v>
      </c>
      <c r="F4" s="98">
        <v>4</v>
      </c>
      <c r="G4" s="98">
        <v>5</v>
      </c>
      <c r="H4" s="98">
        <v>6</v>
      </c>
      <c r="I4" s="98">
        <v>7</v>
      </c>
      <c r="J4" s="368">
        <v>8</v>
      </c>
    </row>
    <row r="5" spans="1:10">
      <c r="A5" t="str">
        <f>A3</f>
        <v>General Accum. Depr. &amp; Amort.</v>
      </c>
      <c r="B5" s="92">
        <f>B3</f>
        <v>7136</v>
      </c>
      <c r="C5" s="92">
        <f t="shared" ref="C5:J5" si="0">C3</f>
        <v>8309</v>
      </c>
      <c r="D5" s="92">
        <f t="shared" si="0"/>
        <v>8882</v>
      </c>
      <c r="E5" s="92">
        <f t="shared" si="0"/>
        <v>10722</v>
      </c>
      <c r="F5" s="92">
        <f t="shared" si="0"/>
        <v>10926</v>
      </c>
      <c r="G5" s="92">
        <f t="shared" si="0"/>
        <v>12186</v>
      </c>
      <c r="H5" s="92">
        <f t="shared" si="0"/>
        <v>14724</v>
      </c>
      <c r="I5" s="92">
        <f t="shared" si="0"/>
        <v>17429</v>
      </c>
      <c r="J5" s="343">
        <f t="shared" si="0"/>
        <v>20741</v>
      </c>
    </row>
    <row r="6" spans="1:10">
      <c r="B6" s="44"/>
      <c r="C6" s="44"/>
      <c r="D6" s="44"/>
      <c r="E6" s="44"/>
      <c r="F6" s="44"/>
      <c r="G6" s="44"/>
      <c r="J6" s="120"/>
    </row>
    <row r="25" spans="1:10">
      <c r="A25" s="137"/>
      <c r="B25" s="137"/>
      <c r="C25" s="137"/>
      <c r="D25" s="137"/>
      <c r="E25" s="137"/>
    </row>
    <row r="26" spans="1:10">
      <c r="A26" s="137"/>
      <c r="B26" s="137"/>
      <c r="C26" s="551"/>
      <c r="D26" s="137"/>
      <c r="E26" s="137"/>
    </row>
    <row r="27" spans="1:10">
      <c r="A27" t="s">
        <v>606</v>
      </c>
      <c r="B27" s="44">
        <f>L62</f>
        <v>1582.1333333333332</v>
      </c>
      <c r="D27" s="137"/>
      <c r="E27" s="137"/>
    </row>
    <row r="28" spans="1:10" ht="13.5" thickBot="1">
      <c r="A28" t="s">
        <v>588</v>
      </c>
      <c r="B28" s="71">
        <f>B27/J5</f>
        <v>7.6280475065490252E-2</v>
      </c>
      <c r="D28" s="137"/>
      <c r="E28" s="137"/>
    </row>
    <row r="29" spans="1:10" ht="13.5" thickBot="1">
      <c r="A29" s="70" t="s">
        <v>589</v>
      </c>
      <c r="B29" s="554">
        <f>IF(P33&lt;0.05,B28*2.5,0)</f>
        <v>0.19070118766372562</v>
      </c>
      <c r="C29" t="s">
        <v>590</v>
      </c>
      <c r="D29" s="137"/>
      <c r="E29" s="137"/>
    </row>
    <row r="30" spans="1:10">
      <c r="A30" s="137"/>
      <c r="B30" s="137"/>
      <c r="C30" s="553"/>
      <c r="D30" s="552"/>
      <c r="E30" s="137"/>
    </row>
    <row r="31" spans="1:10">
      <c r="A31" s="104"/>
      <c r="B31" s="104"/>
      <c r="C31" s="104"/>
      <c r="D31" s="104"/>
      <c r="E31" s="104"/>
      <c r="F31" s="104"/>
      <c r="G31" s="104"/>
      <c r="H31" s="104"/>
      <c r="I31" s="104"/>
      <c r="J31" s="104"/>
    </row>
    <row r="34" spans="1:12">
      <c r="A34" t="s">
        <v>560</v>
      </c>
      <c r="B34" t="s">
        <v>561</v>
      </c>
      <c r="C34" t="str">
        <f>A3</f>
        <v>General Accum. Depr. &amp; Amort.</v>
      </c>
    </row>
    <row r="35" spans="1:12">
      <c r="A35">
        <f t="array" ref="A35:A43">TRANSPOSE(B4:J4)</f>
        <v>0</v>
      </c>
      <c r="B35">
        <f>A35^2</f>
        <v>0</v>
      </c>
      <c r="C35">
        <f t="array" ref="C35:C43">TRANSPOSE(B5:J5)</f>
        <v>7136</v>
      </c>
    </row>
    <row r="36" spans="1:12">
      <c r="A36">
        <v>1</v>
      </c>
      <c r="B36">
        <f t="shared" ref="B36:B43" si="1">A36^2</f>
        <v>1</v>
      </c>
      <c r="C36">
        <v>8309</v>
      </c>
    </row>
    <row r="37" spans="1:12">
      <c r="A37">
        <v>2</v>
      </c>
      <c r="B37">
        <f t="shared" si="1"/>
        <v>4</v>
      </c>
      <c r="C37">
        <v>8882</v>
      </c>
    </row>
    <row r="38" spans="1:12">
      <c r="A38">
        <v>3</v>
      </c>
      <c r="B38">
        <f t="shared" si="1"/>
        <v>9</v>
      </c>
      <c r="C38">
        <v>10722</v>
      </c>
    </row>
    <row r="39" spans="1:12">
      <c r="A39">
        <v>4</v>
      </c>
      <c r="B39">
        <f t="shared" si="1"/>
        <v>16</v>
      </c>
      <c r="C39">
        <v>10926</v>
      </c>
    </row>
    <row r="40" spans="1:12">
      <c r="A40">
        <v>5</v>
      </c>
      <c r="B40">
        <f t="shared" si="1"/>
        <v>25</v>
      </c>
      <c r="C40">
        <v>12186</v>
      </c>
      <c r="E40" t="s">
        <v>281</v>
      </c>
    </row>
    <row r="41" spans="1:12">
      <c r="A41">
        <v>6</v>
      </c>
      <c r="B41">
        <f t="shared" si="1"/>
        <v>36</v>
      </c>
      <c r="C41">
        <v>14724</v>
      </c>
    </row>
    <row r="42" spans="1:12">
      <c r="A42">
        <v>7</v>
      </c>
      <c r="B42">
        <f t="shared" si="1"/>
        <v>49</v>
      </c>
      <c r="C42">
        <v>17429</v>
      </c>
    </row>
    <row r="43" spans="1:12">
      <c r="A43">
        <v>8</v>
      </c>
      <c r="B43">
        <f t="shared" si="1"/>
        <v>64</v>
      </c>
      <c r="C43">
        <v>20741</v>
      </c>
    </row>
    <row r="44" spans="1:12">
      <c r="A44" s="461" t="s">
        <v>562</v>
      </c>
      <c r="K44" s="461" t="s">
        <v>586</v>
      </c>
    </row>
    <row r="45" spans="1:12">
      <c r="A45" t="s">
        <v>563</v>
      </c>
      <c r="K45" t="s">
        <v>563</v>
      </c>
    </row>
    <row r="46" spans="1:12" ht="13.5" thickBot="1"/>
    <row r="47" spans="1:12">
      <c r="A47" s="547" t="s">
        <v>564</v>
      </c>
      <c r="B47" s="547"/>
      <c r="K47" s="547" t="s">
        <v>564</v>
      </c>
      <c r="L47" s="547"/>
    </row>
    <row r="48" spans="1:12">
      <c r="A48" s="544" t="s">
        <v>565</v>
      </c>
      <c r="B48" s="544">
        <v>0.9931724754164164</v>
      </c>
      <c r="K48" s="544" t="s">
        <v>565</v>
      </c>
      <c r="L48" s="544">
        <v>0.9625956038044815</v>
      </c>
    </row>
    <row r="49" spans="1:19">
      <c r="A49" s="544" t="s">
        <v>566</v>
      </c>
      <c r="B49" s="544">
        <v>0.98639156592477217</v>
      </c>
      <c r="K49" s="544" t="s">
        <v>566</v>
      </c>
      <c r="L49" s="544">
        <v>0.92659029646371438</v>
      </c>
    </row>
    <row r="50" spans="1:19">
      <c r="A50" s="544" t="s">
        <v>567</v>
      </c>
      <c r="B50" s="544">
        <v>0.9818554212330296</v>
      </c>
      <c r="K50" s="544" t="s">
        <v>567</v>
      </c>
      <c r="L50" s="544">
        <v>0.91610319595853074</v>
      </c>
    </row>
    <row r="51" spans="1:19">
      <c r="A51" s="544" t="s">
        <v>568</v>
      </c>
      <c r="B51" s="544">
        <v>606.32193990090377</v>
      </c>
      <c r="K51" s="544" t="s">
        <v>568</v>
      </c>
      <c r="L51" s="544">
        <v>1303.7746932632381</v>
      </c>
    </row>
    <row r="52" spans="1:19" ht="13.5" thickBot="1">
      <c r="A52" s="545" t="s">
        <v>569</v>
      </c>
      <c r="B52" s="545">
        <v>9</v>
      </c>
      <c r="K52" s="545" t="s">
        <v>569</v>
      </c>
      <c r="L52" s="545">
        <v>9</v>
      </c>
    </row>
    <row r="54" spans="1:19" ht="13.5" thickBot="1">
      <c r="A54" t="s">
        <v>570</v>
      </c>
      <c r="K54" t="s">
        <v>570</v>
      </c>
    </row>
    <row r="55" spans="1:19">
      <c r="A55" s="546"/>
      <c r="B55" s="546" t="s">
        <v>574</v>
      </c>
      <c r="C55" s="546" t="s">
        <v>575</v>
      </c>
      <c r="D55" s="546" t="s">
        <v>576</v>
      </c>
      <c r="E55" s="546" t="s">
        <v>577</v>
      </c>
      <c r="F55" s="546" t="s">
        <v>578</v>
      </c>
      <c r="K55" s="546"/>
      <c r="L55" s="546" t="s">
        <v>574</v>
      </c>
      <c r="M55" s="546" t="s">
        <v>575</v>
      </c>
      <c r="N55" s="546" t="s">
        <v>576</v>
      </c>
      <c r="O55" s="546" t="s">
        <v>577</v>
      </c>
      <c r="P55" s="546" t="s">
        <v>578</v>
      </c>
    </row>
    <row r="56" spans="1:19">
      <c r="A56" s="544" t="s">
        <v>571</v>
      </c>
      <c r="B56" s="544">
        <v>2</v>
      </c>
      <c r="C56" s="544">
        <v>159881794.45339105</v>
      </c>
      <c r="D56" s="544">
        <v>79940897.226695523</v>
      </c>
      <c r="E56" s="544">
        <v>217.45152171189534</v>
      </c>
      <c r="F56" s="544">
        <v>2.5201388025142978E-6</v>
      </c>
      <c r="K56" s="544" t="s">
        <v>571</v>
      </c>
      <c r="L56" s="544">
        <v>1</v>
      </c>
      <c r="M56" s="544">
        <v>150188753.06666666</v>
      </c>
      <c r="N56" s="544">
        <v>150188753.06666666</v>
      </c>
      <c r="O56" s="544">
        <v>88.355241375412604</v>
      </c>
      <c r="P56" s="544">
        <v>3.2126710467739216E-5</v>
      </c>
    </row>
    <row r="57" spans="1:19">
      <c r="A57" s="544" t="s">
        <v>572</v>
      </c>
      <c r="B57" s="544">
        <v>6</v>
      </c>
      <c r="C57" s="544">
        <v>2205757.7688311706</v>
      </c>
      <c r="D57" s="544">
        <v>367626.29480519512</v>
      </c>
      <c r="E57" s="544"/>
      <c r="F57" s="544"/>
      <c r="K57" s="544" t="s">
        <v>572</v>
      </c>
      <c r="L57" s="544">
        <v>7</v>
      </c>
      <c r="M57" s="544">
        <v>11898799.155555556</v>
      </c>
      <c r="N57" s="544">
        <v>1699828.4507936507</v>
      </c>
      <c r="O57" s="544"/>
      <c r="P57" s="544"/>
    </row>
    <row r="58" spans="1:19" ht="13.5" thickBot="1">
      <c r="A58" s="545" t="s">
        <v>5</v>
      </c>
      <c r="B58" s="545">
        <v>8</v>
      </c>
      <c r="C58" s="545">
        <v>162087552.22222221</v>
      </c>
      <c r="D58" s="545"/>
      <c r="E58" s="545"/>
      <c r="F58" s="545"/>
      <c r="K58" s="545" t="s">
        <v>5</v>
      </c>
      <c r="L58" s="545">
        <v>8</v>
      </c>
      <c r="M58" s="545">
        <v>162087552.22222221</v>
      </c>
      <c r="N58" s="545"/>
      <c r="O58" s="545"/>
      <c r="P58" s="545"/>
    </row>
    <row r="59" spans="1:19" ht="13.5" thickBot="1"/>
    <row r="60" spans="1:19">
      <c r="A60" s="546"/>
      <c r="B60" s="546" t="s">
        <v>579</v>
      </c>
      <c r="C60" s="546" t="s">
        <v>568</v>
      </c>
      <c r="D60" s="546" t="s">
        <v>580</v>
      </c>
      <c r="E60" s="546" t="s">
        <v>581</v>
      </c>
      <c r="F60" s="546" t="s">
        <v>582</v>
      </c>
      <c r="G60" s="546" t="s">
        <v>583</v>
      </c>
      <c r="H60" s="546" t="s">
        <v>584</v>
      </c>
      <c r="I60" s="546" t="s">
        <v>585</v>
      </c>
      <c r="K60" s="546"/>
      <c r="L60" s="546" t="s">
        <v>579</v>
      </c>
      <c r="M60" s="546" t="s">
        <v>568</v>
      </c>
      <c r="N60" s="546" t="s">
        <v>580</v>
      </c>
      <c r="O60" s="546" t="s">
        <v>581</v>
      </c>
      <c r="P60" s="546" t="s">
        <v>582</v>
      </c>
      <c r="Q60" s="546" t="s">
        <v>583</v>
      </c>
      <c r="R60" s="546" t="s">
        <v>584</v>
      </c>
      <c r="S60" s="546" t="s">
        <v>585</v>
      </c>
    </row>
    <row r="61" spans="1:19">
      <c r="A61" s="544" t="s">
        <v>573</v>
      </c>
      <c r="B61" s="544">
        <v>7666.6484848484824</v>
      </c>
      <c r="C61" s="544">
        <v>492.80438146029309</v>
      </c>
      <c r="D61" s="544">
        <v>15.557184094285919</v>
      </c>
      <c r="E61" s="544">
        <v>4.4646960504900133E-6</v>
      </c>
      <c r="F61" s="544">
        <v>6460.799603557125</v>
      </c>
      <c r="G61" s="544">
        <v>8872.4973661398399</v>
      </c>
      <c r="H61" s="544">
        <v>6460.799603557125</v>
      </c>
      <c r="I61" s="544">
        <v>8872.4973661398399</v>
      </c>
      <c r="K61" s="544" t="s">
        <v>573</v>
      </c>
      <c r="L61" s="544">
        <v>6010.9111111111124</v>
      </c>
      <c r="M61" s="544">
        <v>801.34724978892132</v>
      </c>
      <c r="N61" s="544">
        <v>7.5010067267272893</v>
      </c>
      <c r="O61" s="544">
        <v>1.3718759613029935E-4</v>
      </c>
      <c r="P61" s="544">
        <v>4116.0259703130478</v>
      </c>
      <c r="Q61" s="544">
        <v>7905.796251909177</v>
      </c>
      <c r="R61" s="544">
        <v>4116.0259703130478</v>
      </c>
      <c r="S61" s="544">
        <v>7905.796251909177</v>
      </c>
    </row>
    <row r="62" spans="1:19" ht="13.5" thickBot="1">
      <c r="A62" s="544" t="s">
        <v>560</v>
      </c>
      <c r="B62" s="544">
        <v>162.92987012987101</v>
      </c>
      <c r="C62" s="544">
        <v>287.25769676974789</v>
      </c>
      <c r="D62" s="544">
        <v>0.56719061651624891</v>
      </c>
      <c r="E62" s="544">
        <v>0.59115719322536853</v>
      </c>
      <c r="F62" s="544">
        <v>-539.96439242863323</v>
      </c>
      <c r="G62" s="544">
        <v>865.82413268837524</v>
      </c>
      <c r="H62" s="544">
        <v>-539.96439242863323</v>
      </c>
      <c r="I62" s="544">
        <v>865.82413268837524</v>
      </c>
      <c r="K62" s="545" t="s">
        <v>560</v>
      </c>
      <c r="L62" s="545">
        <v>1582.1333333333332</v>
      </c>
      <c r="M62" s="545">
        <v>168.31658914050681</v>
      </c>
      <c r="N62" s="545">
        <v>9.3997468782628708</v>
      </c>
      <c r="O62" s="545">
        <v>3.212671046773927E-5</v>
      </c>
      <c r="P62" s="545">
        <v>1184.1278447063121</v>
      </c>
      <c r="Q62" s="545">
        <v>1980.1388219603543</v>
      </c>
      <c r="R62" s="545">
        <v>1184.1278447063121</v>
      </c>
      <c r="S62" s="545">
        <v>1980.1388219603543</v>
      </c>
    </row>
    <row r="63" spans="1:19" ht="13.5" thickBot="1">
      <c r="A63" s="545" t="s">
        <v>561</v>
      </c>
      <c r="B63" s="545">
        <v>177.40043290043283</v>
      </c>
      <c r="C63" s="545">
        <v>34.548398895616458</v>
      </c>
      <c r="D63" s="545">
        <v>5.1348380408720358</v>
      </c>
      <c r="E63" s="545">
        <v>2.146823161519637E-3</v>
      </c>
      <c r="F63" s="545">
        <v>92.863546204665141</v>
      </c>
      <c r="G63" s="545">
        <v>261.9373195962005</v>
      </c>
      <c r="H63" s="545">
        <v>92.863546204665141</v>
      </c>
      <c r="I63" s="545">
        <v>261.9373195962005</v>
      </c>
    </row>
  </sheetData>
  <mergeCells count="1">
    <mergeCell ref="A1:E1"/>
  </mergeCells>
  <pageMargins left="0.7" right="0.7" top="0.75" bottom="0.75" header="0.3" footer="0.3"/>
  <pageSetup scale="98" orientation="landscape" r:id="rId1"/>
  <headerFooter scaleWithDoc="0">
    <oddHeader>&amp;RExhibit No. CSH-7
Dockets UE-160228/UG-160229
Page &amp;P of &amp;N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115" zoomScaleNormal="100" zoomScaleSheetLayoutView="115" workbookViewId="0">
      <selection activeCell="K72" sqref="K72"/>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93" t="s">
        <v>607</v>
      </c>
      <c r="B1" s="593"/>
      <c r="C1" s="593"/>
      <c r="D1" s="593"/>
      <c r="E1" s="593"/>
      <c r="J1" s="541" t="s">
        <v>532</v>
      </c>
    </row>
    <row r="2" spans="1:10">
      <c r="B2" s="433">
        <v>2007</v>
      </c>
      <c r="C2" s="433">
        <v>2008</v>
      </c>
      <c r="D2" s="351">
        <v>2009</v>
      </c>
      <c r="E2" s="351">
        <v>2010</v>
      </c>
      <c r="F2" s="351">
        <v>2011</v>
      </c>
      <c r="G2" s="351">
        <v>2012</v>
      </c>
      <c r="H2" s="351">
        <v>2013</v>
      </c>
      <c r="I2" s="351">
        <v>2014</v>
      </c>
      <c r="J2" s="542">
        <v>2015</v>
      </c>
    </row>
    <row r="3" spans="1:10">
      <c r="A3" t="s">
        <v>596</v>
      </c>
      <c r="B3" s="392">
        <f>'Cost Trends'!M26</f>
        <v>310</v>
      </c>
      <c r="C3" s="392">
        <f>'Cost Trends'!N26</f>
        <v>276</v>
      </c>
      <c r="D3" s="392">
        <f>'Cost Trends'!O26</f>
        <v>393</v>
      </c>
      <c r="E3" s="392">
        <f>'Cost Trends'!P26</f>
        <v>348</v>
      </c>
      <c r="F3" s="392">
        <f>'Cost Trends'!Q26</f>
        <v>395</v>
      </c>
      <c r="G3" s="392">
        <f>'Cost Trends'!R26</f>
        <v>438</v>
      </c>
      <c r="H3" s="392">
        <f>'Cost Trends'!S26</f>
        <v>380</v>
      </c>
      <c r="I3" s="392">
        <f>'Cost Trends'!T26</f>
        <v>402</v>
      </c>
      <c r="J3" s="392">
        <f>'Cost Trends'!U26</f>
        <v>439</v>
      </c>
    </row>
    <row r="4" spans="1:10">
      <c r="B4" s="98">
        <v>0</v>
      </c>
      <c r="C4" s="98">
        <v>1</v>
      </c>
      <c r="D4" s="98">
        <v>2</v>
      </c>
      <c r="E4" s="98">
        <v>3</v>
      </c>
      <c r="F4" s="98">
        <v>4</v>
      </c>
      <c r="G4" s="98">
        <v>5</v>
      </c>
      <c r="H4" s="98">
        <v>6</v>
      </c>
      <c r="I4" s="98">
        <v>7</v>
      </c>
      <c r="J4" s="368">
        <v>8</v>
      </c>
    </row>
    <row r="5" spans="1:10">
      <c r="A5" t="str">
        <f>A3</f>
        <v>UG Stor Depr/Amort Expense</v>
      </c>
      <c r="B5" s="92">
        <f>B3</f>
        <v>310</v>
      </c>
      <c r="C5" s="92">
        <f t="shared" ref="C5:J5" si="0">C3</f>
        <v>276</v>
      </c>
      <c r="D5" s="92">
        <f t="shared" si="0"/>
        <v>393</v>
      </c>
      <c r="E5" s="92">
        <f t="shared" si="0"/>
        <v>348</v>
      </c>
      <c r="F5" s="92">
        <f t="shared" si="0"/>
        <v>395</v>
      </c>
      <c r="G5" s="92">
        <f t="shared" si="0"/>
        <v>438</v>
      </c>
      <c r="H5" s="92">
        <f t="shared" si="0"/>
        <v>380</v>
      </c>
      <c r="I5" s="92">
        <f t="shared" si="0"/>
        <v>402</v>
      </c>
      <c r="J5" s="343">
        <f t="shared" si="0"/>
        <v>439</v>
      </c>
    </row>
    <row r="6" spans="1:10">
      <c r="B6" s="44"/>
      <c r="C6" s="44"/>
      <c r="D6" s="44"/>
      <c r="E6" s="44"/>
      <c r="F6" s="44"/>
      <c r="G6" s="44"/>
      <c r="J6" s="120"/>
    </row>
    <row r="25" spans="1:10">
      <c r="A25" s="104"/>
      <c r="B25" s="104"/>
      <c r="C25" s="104"/>
      <c r="D25" s="104"/>
    </row>
    <row r="26" spans="1:10">
      <c r="A26" s="137"/>
      <c r="B26" s="137"/>
      <c r="C26" s="551"/>
      <c r="D26" s="104"/>
    </row>
    <row r="27" spans="1:10">
      <c r="A27" t="s">
        <v>606</v>
      </c>
      <c r="B27" s="44">
        <f>L62</f>
        <v>15.966666666666661</v>
      </c>
      <c r="D27" s="104"/>
    </row>
    <row r="28" spans="1:10" ht="13.5" thickBot="1">
      <c r="A28" t="s">
        <v>588</v>
      </c>
      <c r="B28" s="71">
        <f>B27/J5</f>
        <v>3.6370539104024283E-2</v>
      </c>
      <c r="D28" s="104"/>
    </row>
    <row r="29" spans="1:10" ht="13.5" thickBot="1">
      <c r="A29" s="70" t="s">
        <v>597</v>
      </c>
      <c r="B29" s="554">
        <f>IF(P33&lt;0.05,B28*2,0)</f>
        <v>7.2741078208048565E-2</v>
      </c>
      <c r="C29" t="s">
        <v>590</v>
      </c>
      <c r="D29" s="104"/>
    </row>
    <row r="30" spans="1:10">
      <c r="A30" s="104"/>
      <c r="B30" s="104"/>
      <c r="C30" s="553"/>
      <c r="D30" s="437"/>
    </row>
    <row r="31" spans="1:10">
      <c r="A31" s="104"/>
      <c r="B31" s="104"/>
      <c r="C31" s="104"/>
      <c r="D31" s="104"/>
      <c r="E31" s="104"/>
      <c r="F31" s="104"/>
      <c r="G31" s="104"/>
      <c r="H31" s="104"/>
      <c r="I31" s="104"/>
      <c r="J31" s="104"/>
    </row>
    <row r="34" spans="1:12">
      <c r="A34" t="s">
        <v>560</v>
      </c>
      <c r="B34" t="s">
        <v>561</v>
      </c>
      <c r="C34" t="str">
        <f>A3</f>
        <v>UG Stor Depr/Amort Expense</v>
      </c>
    </row>
    <row r="35" spans="1:12">
      <c r="A35">
        <f t="array" ref="A35:A43">TRANSPOSE(B4:J4)</f>
        <v>0</v>
      </c>
      <c r="B35">
        <f>A35^2</f>
        <v>0</v>
      </c>
      <c r="C35">
        <f t="array" ref="C35:C43">TRANSPOSE(B5:J5)</f>
        <v>310</v>
      </c>
    </row>
    <row r="36" spans="1:12">
      <c r="A36">
        <v>1</v>
      </c>
      <c r="B36">
        <f t="shared" ref="B36:B43" si="1">A36^2</f>
        <v>1</v>
      </c>
      <c r="C36">
        <v>276</v>
      </c>
    </row>
    <row r="37" spans="1:12">
      <c r="A37">
        <v>2</v>
      </c>
      <c r="B37">
        <f t="shared" si="1"/>
        <v>4</v>
      </c>
      <c r="C37">
        <v>393</v>
      </c>
    </row>
    <row r="38" spans="1:12">
      <c r="A38">
        <v>3</v>
      </c>
      <c r="B38">
        <f t="shared" si="1"/>
        <v>9</v>
      </c>
      <c r="C38">
        <v>348</v>
      </c>
    </row>
    <row r="39" spans="1:12">
      <c r="A39">
        <v>4</v>
      </c>
      <c r="B39">
        <f t="shared" si="1"/>
        <v>16</v>
      </c>
      <c r="C39">
        <v>395</v>
      </c>
    </row>
    <row r="40" spans="1:12">
      <c r="A40">
        <v>5</v>
      </c>
      <c r="B40">
        <f t="shared" si="1"/>
        <v>25</v>
      </c>
      <c r="C40">
        <v>438</v>
      </c>
      <c r="E40" t="s">
        <v>281</v>
      </c>
    </row>
    <row r="41" spans="1:12">
      <c r="A41">
        <v>6</v>
      </c>
      <c r="B41">
        <f t="shared" si="1"/>
        <v>36</v>
      </c>
      <c r="C41">
        <v>380</v>
      </c>
    </row>
    <row r="42" spans="1:12">
      <c r="A42">
        <v>7</v>
      </c>
      <c r="B42">
        <f t="shared" si="1"/>
        <v>49</v>
      </c>
      <c r="C42">
        <v>402</v>
      </c>
    </row>
    <row r="43" spans="1:12">
      <c r="A43">
        <v>8</v>
      </c>
      <c r="B43">
        <f t="shared" si="1"/>
        <v>64</v>
      </c>
      <c r="C43">
        <v>439</v>
      </c>
    </row>
    <row r="44" spans="1:12">
      <c r="A44" s="461" t="s">
        <v>562</v>
      </c>
      <c r="K44" s="461" t="s">
        <v>586</v>
      </c>
    </row>
    <row r="45" spans="1:12">
      <c r="A45" t="s">
        <v>563</v>
      </c>
      <c r="K45" t="s">
        <v>563</v>
      </c>
    </row>
    <row r="46" spans="1:12" ht="13.5" thickBot="1"/>
    <row r="47" spans="1:12">
      <c r="A47" s="547" t="s">
        <v>564</v>
      </c>
      <c r="B47" s="547"/>
      <c r="K47" s="547" t="s">
        <v>564</v>
      </c>
      <c r="L47" s="547"/>
    </row>
    <row r="48" spans="1:12">
      <c r="A48" s="544" t="s">
        <v>565</v>
      </c>
      <c r="B48" s="544">
        <v>0.82095260463126307</v>
      </c>
      <c r="K48" s="544" t="s">
        <v>565</v>
      </c>
      <c r="L48" s="544">
        <v>0.79348801288074899</v>
      </c>
    </row>
    <row r="49" spans="1:19">
      <c r="A49" s="544" t="s">
        <v>566</v>
      </c>
      <c r="B49" s="544">
        <v>0.67396317905085501</v>
      </c>
      <c r="K49" s="544" t="s">
        <v>566</v>
      </c>
      <c r="L49" s="544">
        <v>0.62962322658543968</v>
      </c>
    </row>
    <row r="50" spans="1:19">
      <c r="A50" s="544" t="s">
        <v>567</v>
      </c>
      <c r="B50" s="544">
        <v>0.56528423873447331</v>
      </c>
      <c r="K50" s="544" t="s">
        <v>567</v>
      </c>
      <c r="L50" s="544">
        <v>0.57671225895478817</v>
      </c>
    </row>
    <row r="51" spans="1:19">
      <c r="A51" s="544" t="s">
        <v>568</v>
      </c>
      <c r="B51" s="544">
        <v>36.333498152849089</v>
      </c>
      <c r="K51" s="544" t="s">
        <v>568</v>
      </c>
      <c r="L51" s="544">
        <v>35.852741145120923</v>
      </c>
    </row>
    <row r="52" spans="1:19" ht="13.5" thickBot="1">
      <c r="A52" s="545" t="s">
        <v>569</v>
      </c>
      <c r="B52" s="545">
        <v>9</v>
      </c>
      <c r="K52" s="545" t="s">
        <v>569</v>
      </c>
      <c r="L52" s="545">
        <v>9</v>
      </c>
    </row>
    <row r="54" spans="1:19" ht="13.5" thickBot="1">
      <c r="A54" t="s">
        <v>570</v>
      </c>
      <c r="K54" t="s">
        <v>570</v>
      </c>
    </row>
    <row r="55" spans="1:19">
      <c r="A55" s="546"/>
      <c r="B55" s="546" t="s">
        <v>574</v>
      </c>
      <c r="C55" s="546" t="s">
        <v>575</v>
      </c>
      <c r="D55" s="546" t="s">
        <v>576</v>
      </c>
      <c r="E55" s="546" t="s">
        <v>577</v>
      </c>
      <c r="F55" s="546" t="s">
        <v>578</v>
      </c>
      <c r="K55" s="546"/>
      <c r="L55" s="546" t="s">
        <v>574</v>
      </c>
      <c r="M55" s="546" t="s">
        <v>575</v>
      </c>
      <c r="N55" s="546" t="s">
        <v>576</v>
      </c>
      <c r="O55" s="546" t="s">
        <v>577</v>
      </c>
      <c r="P55" s="546" t="s">
        <v>578</v>
      </c>
    </row>
    <row r="56" spans="1:19">
      <c r="A56" s="544" t="s">
        <v>571</v>
      </c>
      <c r="B56" s="544">
        <v>2</v>
      </c>
      <c r="C56" s="544">
        <v>16373.261471861471</v>
      </c>
      <c r="D56" s="544">
        <v>8186.6307359307357</v>
      </c>
      <c r="E56" s="544">
        <v>6.2014147091316971</v>
      </c>
      <c r="F56" s="544">
        <v>3.4657716875579003E-2</v>
      </c>
      <c r="K56" s="544" t="s">
        <v>571</v>
      </c>
      <c r="L56" s="544">
        <v>1</v>
      </c>
      <c r="M56" s="544">
        <v>15296.066666666671</v>
      </c>
      <c r="N56" s="544">
        <v>15296.066666666671</v>
      </c>
      <c r="O56" s="544">
        <v>11.899673258303768</v>
      </c>
      <c r="P56" s="544">
        <v>1.0697254908413696E-2</v>
      </c>
    </row>
    <row r="57" spans="1:19">
      <c r="A57" s="544" t="s">
        <v>572</v>
      </c>
      <c r="B57" s="544">
        <v>6</v>
      </c>
      <c r="C57" s="544">
        <v>7920.7385281385286</v>
      </c>
      <c r="D57" s="544">
        <v>1320.123088023088</v>
      </c>
      <c r="E57" s="544"/>
      <c r="F57" s="544"/>
      <c r="K57" s="544" t="s">
        <v>572</v>
      </c>
      <c r="L57" s="544">
        <v>7</v>
      </c>
      <c r="M57" s="544">
        <v>8997.9333333333288</v>
      </c>
      <c r="N57" s="544">
        <v>1285.419047619047</v>
      </c>
      <c r="O57" s="544"/>
      <c r="P57" s="544"/>
    </row>
    <row r="58" spans="1:19" ht="13.5" thickBot="1">
      <c r="A58" s="545" t="s">
        <v>5</v>
      </c>
      <c r="B58" s="545">
        <v>8</v>
      </c>
      <c r="C58" s="545">
        <v>24294</v>
      </c>
      <c r="D58" s="545"/>
      <c r="E58" s="545"/>
      <c r="F58" s="545"/>
      <c r="K58" s="545" t="s">
        <v>5</v>
      </c>
      <c r="L58" s="545">
        <v>8</v>
      </c>
      <c r="M58" s="545">
        <v>24294</v>
      </c>
      <c r="N58" s="545"/>
      <c r="O58" s="545"/>
      <c r="P58" s="545"/>
    </row>
    <row r="59" spans="1:19" ht="13.5" thickBot="1"/>
    <row r="60" spans="1:19">
      <c r="A60" s="546"/>
      <c r="B60" s="546" t="s">
        <v>579</v>
      </c>
      <c r="C60" s="546" t="s">
        <v>568</v>
      </c>
      <c r="D60" s="546" t="s">
        <v>580</v>
      </c>
      <c r="E60" s="546" t="s">
        <v>581</v>
      </c>
      <c r="F60" s="546" t="s">
        <v>582</v>
      </c>
      <c r="G60" s="546" t="s">
        <v>583</v>
      </c>
      <c r="H60" s="546" t="s">
        <v>584</v>
      </c>
      <c r="I60" s="546" t="s">
        <v>585</v>
      </c>
      <c r="K60" s="546"/>
      <c r="L60" s="546" t="s">
        <v>579</v>
      </c>
      <c r="M60" s="546" t="s">
        <v>568</v>
      </c>
      <c r="N60" s="546" t="s">
        <v>580</v>
      </c>
      <c r="O60" s="546" t="s">
        <v>581</v>
      </c>
      <c r="P60" s="546" t="s">
        <v>582</v>
      </c>
      <c r="Q60" s="546" t="s">
        <v>583</v>
      </c>
      <c r="R60" s="546" t="s">
        <v>584</v>
      </c>
      <c r="S60" s="546" t="s">
        <v>585</v>
      </c>
    </row>
    <row r="61" spans="1:19">
      <c r="A61" s="544" t="s">
        <v>573</v>
      </c>
      <c r="B61" s="544">
        <v>294.34545454545457</v>
      </c>
      <c r="C61" s="544">
        <v>29.531022886009904</v>
      </c>
      <c r="D61" s="544">
        <v>9.9673301423263094</v>
      </c>
      <c r="E61" s="544">
        <v>5.9010588404324904E-5</v>
      </c>
      <c r="F61" s="544">
        <v>222.08564466924361</v>
      </c>
      <c r="G61" s="544">
        <v>366.60526442166554</v>
      </c>
      <c r="H61" s="544">
        <v>222.08564466924361</v>
      </c>
      <c r="I61" s="544">
        <v>366.60526442166554</v>
      </c>
      <c r="K61" s="544" t="s">
        <v>573</v>
      </c>
      <c r="L61" s="544">
        <v>311.80000000000007</v>
      </c>
      <c r="M61" s="544">
        <v>22.036396060217083</v>
      </c>
      <c r="N61" s="544">
        <v>14.149319114975487</v>
      </c>
      <c r="O61" s="544">
        <v>2.0901407411201237E-6</v>
      </c>
      <c r="P61" s="544">
        <v>259.69220345830706</v>
      </c>
      <c r="Q61" s="544">
        <v>363.90779654169307</v>
      </c>
      <c r="R61" s="544">
        <v>259.69220345830706</v>
      </c>
      <c r="S61" s="544">
        <v>363.90779654169307</v>
      </c>
    </row>
    <row r="62" spans="1:19" ht="13.5" thickBot="1">
      <c r="A62" s="544" t="s">
        <v>560</v>
      </c>
      <c r="B62" s="544">
        <v>30.927705627705627</v>
      </c>
      <c r="C62" s="544">
        <v>17.213754456388525</v>
      </c>
      <c r="D62" s="544">
        <v>1.7966856507719882</v>
      </c>
      <c r="E62" s="544">
        <v>0.12251344738853794</v>
      </c>
      <c r="F62" s="544">
        <v>-11.192834154330988</v>
      </c>
      <c r="G62" s="544">
        <v>73.048245409742236</v>
      </c>
      <c r="H62" s="544">
        <v>-11.192834154330988</v>
      </c>
      <c r="I62" s="544">
        <v>73.048245409742236</v>
      </c>
      <c r="K62" s="545" t="s">
        <v>560</v>
      </c>
      <c r="L62" s="545">
        <v>15.966666666666661</v>
      </c>
      <c r="M62" s="545">
        <v>4.6285689790312921</v>
      </c>
      <c r="N62" s="545">
        <v>3.4495903029640722</v>
      </c>
      <c r="O62" s="545">
        <v>1.0697254908413724E-2</v>
      </c>
      <c r="P62" s="545">
        <v>5.0218402086792118</v>
      </c>
      <c r="Q62" s="545">
        <v>26.911493124654111</v>
      </c>
      <c r="R62" s="545">
        <v>5.0218402086792118</v>
      </c>
      <c r="S62" s="545">
        <v>26.911493124654111</v>
      </c>
    </row>
    <row r="63" spans="1:19" ht="13.5" thickBot="1">
      <c r="A63" s="545" t="s">
        <v>561</v>
      </c>
      <c r="B63" s="545">
        <v>-1.8701298701298699</v>
      </c>
      <c r="C63" s="545">
        <v>2.070293197146936</v>
      </c>
      <c r="D63" s="545">
        <v>-0.90331643494123892</v>
      </c>
      <c r="E63" s="545">
        <v>0.40116801905446997</v>
      </c>
      <c r="F63" s="545">
        <v>-6.9359548295735172</v>
      </c>
      <c r="G63" s="545">
        <v>3.1956950893137774</v>
      </c>
      <c r="H63" s="545">
        <v>-6.9359548295735172</v>
      </c>
      <c r="I63" s="545">
        <v>3.1956950893137774</v>
      </c>
    </row>
  </sheetData>
  <mergeCells count="1">
    <mergeCell ref="A1:E1"/>
  </mergeCells>
  <pageMargins left="0.7" right="0.7" top="0.75" bottom="0.75" header="0.3" footer="0.3"/>
  <pageSetup scale="98" orientation="landscape" r:id="rId1"/>
  <headerFooter scaleWithDoc="0">
    <oddHeader>&amp;RExhibit No. CSH-7
Dockets UE-160228/UG-160229
Page &amp;P of &amp;N</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115" zoomScaleNormal="100" zoomScaleSheetLayoutView="115" workbookViewId="0">
      <selection activeCell="K72" sqref="K72"/>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93" t="s">
        <v>607</v>
      </c>
      <c r="B1" s="593"/>
      <c r="C1" s="593"/>
      <c r="D1" s="593"/>
      <c r="E1" s="593"/>
      <c r="J1" s="541" t="s">
        <v>532</v>
      </c>
    </row>
    <row r="2" spans="1:10">
      <c r="B2" s="433">
        <v>2007</v>
      </c>
      <c r="C2" s="433">
        <v>2008</v>
      </c>
      <c r="D2" s="351">
        <v>2009</v>
      </c>
      <c r="E2" s="351">
        <v>2010</v>
      </c>
      <c r="F2" s="351">
        <v>2011</v>
      </c>
      <c r="G2" s="351">
        <v>2012</v>
      </c>
      <c r="H2" s="351">
        <v>2013</v>
      </c>
      <c r="I2" s="351">
        <v>2014</v>
      </c>
      <c r="J2" s="542">
        <v>2015</v>
      </c>
    </row>
    <row r="3" spans="1:10">
      <c r="A3" t="s">
        <v>598</v>
      </c>
      <c r="B3" s="392">
        <f>'Cost Trends'!M32</f>
        <v>5605</v>
      </c>
      <c r="C3" s="392">
        <f>'Cost Trends'!N32</f>
        <v>5673</v>
      </c>
      <c r="D3" s="392">
        <f>'Cost Trends'!O32</f>
        <v>6064</v>
      </c>
      <c r="E3" s="392">
        <f>'Cost Trends'!P32</f>
        <v>6367</v>
      </c>
      <c r="F3" s="392">
        <f>'Cost Trends'!Q32</f>
        <v>6649</v>
      </c>
      <c r="G3" s="392">
        <f>'Cost Trends'!R32</f>
        <v>6978</v>
      </c>
      <c r="H3" s="392">
        <f>'Cost Trends'!S32</f>
        <v>7925</v>
      </c>
      <c r="I3" s="392">
        <f>'Cost Trends'!T32</f>
        <v>8513</v>
      </c>
      <c r="J3" s="392">
        <f>'Cost Trends'!U32</f>
        <v>9088</v>
      </c>
    </row>
    <row r="4" spans="1:10">
      <c r="B4" s="98">
        <v>0</v>
      </c>
      <c r="C4" s="98">
        <v>1</v>
      </c>
      <c r="D4" s="98">
        <v>2</v>
      </c>
      <c r="E4" s="98">
        <v>3</v>
      </c>
      <c r="F4" s="98">
        <v>4</v>
      </c>
      <c r="G4" s="98">
        <v>5</v>
      </c>
      <c r="H4" s="98">
        <v>6</v>
      </c>
      <c r="I4" s="98">
        <v>7</v>
      </c>
      <c r="J4" s="368">
        <v>8</v>
      </c>
    </row>
    <row r="5" spans="1:10">
      <c r="A5" t="str">
        <f>A3</f>
        <v>Distribution Depr/Amort Expense</v>
      </c>
      <c r="B5" s="92">
        <f>B3</f>
        <v>5605</v>
      </c>
      <c r="C5" s="92">
        <f t="shared" ref="C5:J5" si="0">C3</f>
        <v>5673</v>
      </c>
      <c r="D5" s="92">
        <f t="shared" si="0"/>
        <v>6064</v>
      </c>
      <c r="E5" s="92">
        <f t="shared" si="0"/>
        <v>6367</v>
      </c>
      <c r="F5" s="92">
        <f t="shared" si="0"/>
        <v>6649</v>
      </c>
      <c r="G5" s="92">
        <f t="shared" si="0"/>
        <v>6978</v>
      </c>
      <c r="H5" s="92">
        <f t="shared" si="0"/>
        <v>7925</v>
      </c>
      <c r="I5" s="92">
        <f t="shared" si="0"/>
        <v>8513</v>
      </c>
      <c r="J5" s="343">
        <f t="shared" si="0"/>
        <v>9088</v>
      </c>
    </row>
    <row r="6" spans="1:10">
      <c r="B6" s="44"/>
      <c r="C6" s="44"/>
      <c r="D6" s="44"/>
      <c r="E6" s="44"/>
      <c r="F6" s="44"/>
      <c r="G6" s="44"/>
      <c r="J6" s="120"/>
    </row>
    <row r="25" spans="1:10">
      <c r="A25" s="137"/>
      <c r="B25" s="137"/>
      <c r="C25" s="137"/>
      <c r="D25" s="137"/>
    </row>
    <row r="26" spans="1:10">
      <c r="A26" s="137"/>
      <c r="B26" s="137"/>
      <c r="C26" s="551"/>
      <c r="D26" s="137"/>
    </row>
    <row r="27" spans="1:10">
      <c r="A27" t="s">
        <v>606</v>
      </c>
      <c r="B27" s="44">
        <f>L62</f>
        <v>446.41666666666652</v>
      </c>
      <c r="D27" s="137"/>
    </row>
    <row r="28" spans="1:10" ht="13.5" thickBot="1">
      <c r="A28" t="s">
        <v>588</v>
      </c>
      <c r="B28" s="71">
        <f>B27/J5</f>
        <v>4.9121552230046932E-2</v>
      </c>
      <c r="D28" s="137"/>
    </row>
    <row r="29" spans="1:10" ht="13.5" thickBot="1">
      <c r="A29" s="70" t="s">
        <v>597</v>
      </c>
      <c r="B29" s="554">
        <f>IF(P33&lt;0.05,B28*2,0)</f>
        <v>9.8243104460093864E-2</v>
      </c>
      <c r="C29" t="s">
        <v>590</v>
      </c>
      <c r="D29" s="137"/>
    </row>
    <row r="30" spans="1:10">
      <c r="D30" s="552"/>
    </row>
    <row r="31" spans="1:10">
      <c r="A31" s="137"/>
      <c r="B31" s="137"/>
      <c r="C31" s="137"/>
      <c r="D31" s="137"/>
      <c r="E31" s="104"/>
      <c r="F31" s="104"/>
      <c r="G31" s="104"/>
      <c r="H31" s="104"/>
      <c r="I31" s="104"/>
      <c r="J31" s="104"/>
    </row>
    <row r="34" spans="1:12">
      <c r="A34" t="s">
        <v>560</v>
      </c>
      <c r="B34" t="s">
        <v>561</v>
      </c>
      <c r="C34" t="str">
        <f>A3</f>
        <v>Distribution Depr/Amort Expense</v>
      </c>
    </row>
    <row r="35" spans="1:12">
      <c r="A35">
        <f t="array" ref="A35:A43">TRANSPOSE(B4:J4)</f>
        <v>0</v>
      </c>
      <c r="B35">
        <f>A35^2</f>
        <v>0</v>
      </c>
      <c r="C35">
        <f t="array" ref="C35:C43">TRANSPOSE(B5:J5)</f>
        <v>5605</v>
      </c>
    </row>
    <row r="36" spans="1:12">
      <c r="A36">
        <v>1</v>
      </c>
      <c r="B36">
        <f t="shared" ref="B36:B43" si="1">A36^2</f>
        <v>1</v>
      </c>
      <c r="C36">
        <v>5673</v>
      </c>
    </row>
    <row r="37" spans="1:12">
      <c r="A37">
        <v>2</v>
      </c>
      <c r="B37">
        <f t="shared" si="1"/>
        <v>4</v>
      </c>
      <c r="C37">
        <v>6064</v>
      </c>
    </row>
    <row r="38" spans="1:12">
      <c r="A38">
        <v>3</v>
      </c>
      <c r="B38">
        <f t="shared" si="1"/>
        <v>9</v>
      </c>
      <c r="C38">
        <v>6367</v>
      </c>
    </row>
    <row r="39" spans="1:12">
      <c r="A39">
        <v>4</v>
      </c>
      <c r="B39">
        <f t="shared" si="1"/>
        <v>16</v>
      </c>
      <c r="C39">
        <v>6649</v>
      </c>
    </row>
    <row r="40" spans="1:12">
      <c r="A40">
        <v>5</v>
      </c>
      <c r="B40">
        <f t="shared" si="1"/>
        <v>25</v>
      </c>
      <c r="C40">
        <v>6978</v>
      </c>
      <c r="E40" t="s">
        <v>281</v>
      </c>
    </row>
    <row r="41" spans="1:12">
      <c r="A41">
        <v>6</v>
      </c>
      <c r="B41">
        <f t="shared" si="1"/>
        <v>36</v>
      </c>
      <c r="C41">
        <v>7925</v>
      </c>
    </row>
    <row r="42" spans="1:12">
      <c r="A42">
        <v>7</v>
      </c>
      <c r="B42">
        <f t="shared" si="1"/>
        <v>49</v>
      </c>
      <c r="C42">
        <v>8513</v>
      </c>
    </row>
    <row r="43" spans="1:12">
      <c r="A43">
        <v>8</v>
      </c>
      <c r="B43">
        <f t="shared" si="1"/>
        <v>64</v>
      </c>
      <c r="C43">
        <v>9088</v>
      </c>
    </row>
    <row r="44" spans="1:12">
      <c r="A44" s="461" t="s">
        <v>562</v>
      </c>
      <c r="K44" s="461" t="s">
        <v>586</v>
      </c>
    </row>
    <row r="45" spans="1:12">
      <c r="A45" t="s">
        <v>563</v>
      </c>
      <c r="K45" t="s">
        <v>563</v>
      </c>
    </row>
    <row r="46" spans="1:12" ht="13.5" thickBot="1"/>
    <row r="47" spans="1:12">
      <c r="A47" s="547" t="s">
        <v>564</v>
      </c>
      <c r="B47" s="547"/>
      <c r="K47" s="547" t="s">
        <v>564</v>
      </c>
      <c r="L47" s="547"/>
    </row>
    <row r="48" spans="1:12">
      <c r="A48" s="544" t="s">
        <v>565</v>
      </c>
      <c r="B48" s="544">
        <v>0.99581560316918538</v>
      </c>
      <c r="K48" s="544" t="s">
        <v>565</v>
      </c>
      <c r="L48" s="544">
        <v>0.97378063595472986</v>
      </c>
    </row>
    <row r="49" spans="1:19">
      <c r="A49" s="544" t="s">
        <v>566</v>
      </c>
      <c r="B49" s="544">
        <v>0.99164871551520839</v>
      </c>
      <c r="K49" s="544" t="s">
        <v>566</v>
      </c>
      <c r="L49" s="544">
        <v>0.94824872696039808</v>
      </c>
    </row>
    <row r="50" spans="1:19">
      <c r="A50" s="544" t="s">
        <v>567</v>
      </c>
      <c r="B50" s="544">
        <v>0.98886495402027785</v>
      </c>
      <c r="K50" s="544" t="s">
        <v>567</v>
      </c>
      <c r="L50" s="544">
        <v>0.94085568795474062</v>
      </c>
    </row>
    <row r="51" spans="1:19">
      <c r="A51" s="544" t="s">
        <v>568</v>
      </c>
      <c r="B51" s="544">
        <v>132.48170392888929</v>
      </c>
      <c r="K51" s="544" t="s">
        <v>568</v>
      </c>
      <c r="L51" s="544">
        <v>305.32782928081298</v>
      </c>
    </row>
    <row r="52" spans="1:19" ht="13.5" thickBot="1">
      <c r="A52" s="545" t="s">
        <v>569</v>
      </c>
      <c r="B52" s="545">
        <v>9</v>
      </c>
      <c r="K52" s="545" t="s">
        <v>569</v>
      </c>
      <c r="L52" s="545">
        <v>9</v>
      </c>
    </row>
    <row r="54" spans="1:19" ht="13.5" thickBot="1">
      <c r="A54" t="s">
        <v>570</v>
      </c>
      <c r="K54" t="s">
        <v>570</v>
      </c>
    </row>
    <row r="55" spans="1:19">
      <c r="A55" s="546"/>
      <c r="B55" s="546" t="s">
        <v>574</v>
      </c>
      <c r="C55" s="546" t="s">
        <v>575</v>
      </c>
      <c r="D55" s="546" t="s">
        <v>576</v>
      </c>
      <c r="E55" s="546" t="s">
        <v>577</v>
      </c>
      <c r="F55" s="546" t="s">
        <v>578</v>
      </c>
      <c r="K55" s="546"/>
      <c r="L55" s="546" t="s">
        <v>574</v>
      </c>
      <c r="M55" s="546" t="s">
        <v>575</v>
      </c>
      <c r="N55" s="546" t="s">
        <v>576</v>
      </c>
      <c r="O55" s="546" t="s">
        <v>577</v>
      </c>
      <c r="P55" s="546" t="s">
        <v>578</v>
      </c>
    </row>
    <row r="56" spans="1:19">
      <c r="A56" s="544" t="s">
        <v>571</v>
      </c>
      <c r="B56" s="544">
        <v>2</v>
      </c>
      <c r="C56" s="544">
        <v>12504537.588744588</v>
      </c>
      <c r="D56" s="544">
        <v>6252268.7943722941</v>
      </c>
      <c r="E56" s="544">
        <v>356.22617717828433</v>
      </c>
      <c r="F56" s="544">
        <v>5.824515888047881E-7</v>
      </c>
      <c r="K56" s="544" t="s">
        <v>571</v>
      </c>
      <c r="L56" s="544">
        <v>1</v>
      </c>
      <c r="M56" s="544">
        <v>11957270.416666668</v>
      </c>
      <c r="N56" s="544">
        <v>11957270.416666668</v>
      </c>
      <c r="O56" s="544">
        <v>128.2623730558926</v>
      </c>
      <c r="P56" s="544">
        <v>9.3668081637890246E-6</v>
      </c>
    </row>
    <row r="57" spans="1:19">
      <c r="A57" s="544" t="s">
        <v>572</v>
      </c>
      <c r="B57" s="544">
        <v>6</v>
      </c>
      <c r="C57" s="544">
        <v>105308.41125541127</v>
      </c>
      <c r="D57" s="544">
        <v>17551.401875901876</v>
      </c>
      <c r="E57" s="544"/>
      <c r="F57" s="544"/>
      <c r="K57" s="544" t="s">
        <v>572</v>
      </c>
      <c r="L57" s="544">
        <v>7</v>
      </c>
      <c r="M57" s="544">
        <v>652575.58333333291</v>
      </c>
      <c r="N57" s="544">
        <v>93225.08333333327</v>
      </c>
      <c r="O57" s="544"/>
      <c r="P57" s="544"/>
    </row>
    <row r="58" spans="1:19" ht="13.5" thickBot="1">
      <c r="A58" s="545" t="s">
        <v>5</v>
      </c>
      <c r="B58" s="545">
        <v>8</v>
      </c>
      <c r="C58" s="545">
        <v>12609846</v>
      </c>
      <c r="D58" s="545"/>
      <c r="E58" s="545"/>
      <c r="F58" s="545"/>
      <c r="K58" s="545" t="s">
        <v>5</v>
      </c>
      <c r="L58" s="545">
        <v>8</v>
      </c>
      <c r="M58" s="545">
        <v>12609846</v>
      </c>
      <c r="N58" s="545"/>
      <c r="O58" s="545"/>
      <c r="P58" s="545"/>
    </row>
    <row r="59" spans="1:19" ht="13.5" thickBot="1"/>
    <row r="60" spans="1:19">
      <c r="A60" s="546"/>
      <c r="B60" s="546" t="s">
        <v>579</v>
      </c>
      <c r="C60" s="546" t="s">
        <v>568</v>
      </c>
      <c r="D60" s="546" t="s">
        <v>580</v>
      </c>
      <c r="E60" s="546" t="s">
        <v>581</v>
      </c>
      <c r="F60" s="546" t="s">
        <v>582</v>
      </c>
      <c r="G60" s="546" t="s">
        <v>583</v>
      </c>
      <c r="H60" s="546" t="s">
        <v>584</v>
      </c>
      <c r="I60" s="546" t="s">
        <v>585</v>
      </c>
      <c r="K60" s="546"/>
      <c r="L60" s="546" t="s">
        <v>579</v>
      </c>
      <c r="M60" s="546" t="s">
        <v>568</v>
      </c>
      <c r="N60" s="546" t="s">
        <v>580</v>
      </c>
      <c r="O60" s="546" t="s">
        <v>581</v>
      </c>
      <c r="P60" s="546" t="s">
        <v>582</v>
      </c>
      <c r="Q60" s="546" t="s">
        <v>583</v>
      </c>
      <c r="R60" s="546" t="s">
        <v>584</v>
      </c>
      <c r="S60" s="546" t="s">
        <v>585</v>
      </c>
    </row>
    <row r="61" spans="1:19">
      <c r="A61" s="544" t="s">
        <v>573</v>
      </c>
      <c r="B61" s="544">
        <v>5592.424242424242</v>
      </c>
      <c r="C61" s="544">
        <v>107.67804999791446</v>
      </c>
      <c r="D61" s="544">
        <v>51.936529706217357</v>
      </c>
      <c r="E61" s="544">
        <v>3.4192679037566421E-9</v>
      </c>
      <c r="F61" s="544">
        <v>5328.9455457761642</v>
      </c>
      <c r="G61" s="544">
        <v>5855.9029390723199</v>
      </c>
      <c r="H61" s="544">
        <v>5328.9455457761642</v>
      </c>
      <c r="I61" s="544">
        <v>5855.9029390723199</v>
      </c>
      <c r="K61" s="544" t="s">
        <v>573</v>
      </c>
      <c r="L61" s="544">
        <v>5199.0000000000009</v>
      </c>
      <c r="M61" s="544">
        <v>187.66556640687918</v>
      </c>
      <c r="N61" s="544">
        <v>27.703537199402945</v>
      </c>
      <c r="O61" s="544">
        <v>2.0500292532649683E-8</v>
      </c>
      <c r="P61" s="544">
        <v>4755.2414504853978</v>
      </c>
      <c r="Q61" s="544">
        <v>5642.7585495146041</v>
      </c>
      <c r="R61" s="544">
        <v>4755.2414504853978</v>
      </c>
      <c r="S61" s="544">
        <v>5642.7585495146041</v>
      </c>
    </row>
    <row r="62" spans="1:19" ht="13.5" thickBot="1">
      <c r="A62" s="544" t="s">
        <v>560</v>
      </c>
      <c r="B62" s="544">
        <v>109.19588744588764</v>
      </c>
      <c r="C62" s="544">
        <v>62.76597733040019</v>
      </c>
      <c r="D62" s="544">
        <v>1.7397305369926821</v>
      </c>
      <c r="E62" s="544">
        <v>0.13255975909853124</v>
      </c>
      <c r="F62" s="544">
        <v>-44.386926332565096</v>
      </c>
      <c r="G62" s="544">
        <v>262.77870122434035</v>
      </c>
      <c r="H62" s="544">
        <v>-44.386926332565096</v>
      </c>
      <c r="I62" s="544">
        <v>262.77870122434035</v>
      </c>
      <c r="K62" s="545" t="s">
        <v>560</v>
      </c>
      <c r="L62" s="545">
        <v>446.41666666666652</v>
      </c>
      <c r="M62" s="545">
        <v>39.417653264608326</v>
      </c>
      <c r="N62" s="545">
        <v>11.32529792349378</v>
      </c>
      <c r="O62" s="545">
        <v>9.3668081637890416E-6</v>
      </c>
      <c r="P62" s="545">
        <v>353.20872781629816</v>
      </c>
      <c r="Q62" s="545">
        <v>539.62460551703487</v>
      </c>
      <c r="R62" s="545">
        <v>353.20872781629816</v>
      </c>
      <c r="S62" s="545">
        <v>539.62460551703487</v>
      </c>
    </row>
    <row r="63" spans="1:19" ht="13.5" thickBot="1">
      <c r="A63" s="545" t="s">
        <v>561</v>
      </c>
      <c r="B63" s="545">
        <v>42.152597402597394</v>
      </c>
      <c r="C63" s="545">
        <v>7.5488456750456496</v>
      </c>
      <c r="D63" s="545">
        <v>5.5839792224050848</v>
      </c>
      <c r="E63" s="545">
        <v>1.4013959651400926E-3</v>
      </c>
      <c r="F63" s="545">
        <v>23.681237457863745</v>
      </c>
      <c r="G63" s="545">
        <v>60.623957347331043</v>
      </c>
      <c r="H63" s="545">
        <v>23.681237457863745</v>
      </c>
      <c r="I63" s="545">
        <v>60.623957347331043</v>
      </c>
    </row>
  </sheetData>
  <mergeCells count="1">
    <mergeCell ref="A1:E1"/>
  </mergeCells>
  <pageMargins left="0.7" right="0.7" top="0.75" bottom="0.75" header="0.3" footer="0.3"/>
  <pageSetup scale="98" orientation="landscape" r:id="rId1"/>
  <headerFooter scaleWithDoc="0">
    <oddHeader>&amp;RExhibit No. CSH-7
Dockets UE-160228/UG-160229
Page &amp;P of &amp;N</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115" zoomScaleNormal="100" zoomScaleSheetLayoutView="115" workbookViewId="0">
      <selection activeCell="K72" sqref="K72"/>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93" t="s">
        <v>607</v>
      </c>
      <c r="B1" s="593"/>
      <c r="C1" s="593"/>
      <c r="D1" s="593"/>
      <c r="E1" s="593"/>
      <c r="J1" s="541" t="s">
        <v>532</v>
      </c>
    </row>
    <row r="2" spans="1:10">
      <c r="B2" s="433">
        <v>2007</v>
      </c>
      <c r="C2" s="433">
        <v>2008</v>
      </c>
      <c r="D2" s="351">
        <v>2009</v>
      </c>
      <c r="E2" s="351">
        <v>2010</v>
      </c>
      <c r="F2" s="351">
        <v>2011</v>
      </c>
      <c r="G2" s="351">
        <v>2012</v>
      </c>
      <c r="H2" s="351">
        <v>2013</v>
      </c>
      <c r="I2" s="351">
        <v>2014</v>
      </c>
      <c r="J2" s="542">
        <v>2015</v>
      </c>
    </row>
    <row r="3" spans="1:10">
      <c r="A3" t="s">
        <v>599</v>
      </c>
      <c r="B3" s="392">
        <f>'Cost Trends'!M42</f>
        <v>1498</v>
      </c>
      <c r="C3" s="392">
        <f>'Cost Trends'!N42</f>
        <v>1803</v>
      </c>
      <c r="D3" s="392">
        <f>'Cost Trends'!O42</f>
        <v>1999</v>
      </c>
      <c r="E3" s="392">
        <f>'Cost Trends'!P42</f>
        <v>2412</v>
      </c>
      <c r="F3" s="392">
        <f>'Cost Trends'!Q42</f>
        <v>2734</v>
      </c>
      <c r="G3" s="392">
        <f>'Cost Trends'!R42</f>
        <v>3276</v>
      </c>
      <c r="H3" s="392">
        <f>'Cost Trends'!S42</f>
        <v>3868</v>
      </c>
      <c r="I3" s="392">
        <f>'Cost Trends'!T42</f>
        <v>4389</v>
      </c>
      <c r="J3" s="392">
        <f>'Cost Trends'!U42</f>
        <v>5649</v>
      </c>
    </row>
    <row r="4" spans="1:10">
      <c r="B4" s="98">
        <v>0</v>
      </c>
      <c r="C4" s="98">
        <v>1</v>
      </c>
      <c r="D4" s="98">
        <v>2</v>
      </c>
      <c r="E4" s="98">
        <v>3</v>
      </c>
      <c r="F4" s="98">
        <v>4</v>
      </c>
      <c r="G4" s="98">
        <v>5</v>
      </c>
      <c r="H4" s="98">
        <v>6</v>
      </c>
      <c r="I4" s="98">
        <v>7</v>
      </c>
      <c r="J4" s="368">
        <v>8</v>
      </c>
    </row>
    <row r="5" spans="1:10">
      <c r="A5" t="str">
        <f>A3</f>
        <v>General Depr/Amort Expense</v>
      </c>
      <c r="B5" s="92">
        <f>B3</f>
        <v>1498</v>
      </c>
      <c r="C5" s="92">
        <f t="shared" ref="C5:J5" si="0">C3</f>
        <v>1803</v>
      </c>
      <c r="D5" s="92">
        <f t="shared" si="0"/>
        <v>1999</v>
      </c>
      <c r="E5" s="92">
        <f t="shared" si="0"/>
        <v>2412</v>
      </c>
      <c r="F5" s="92">
        <f t="shared" si="0"/>
        <v>2734</v>
      </c>
      <c r="G5" s="92">
        <f t="shared" si="0"/>
        <v>3276</v>
      </c>
      <c r="H5" s="92">
        <f t="shared" si="0"/>
        <v>3868</v>
      </c>
      <c r="I5" s="92">
        <f t="shared" si="0"/>
        <v>4389</v>
      </c>
      <c r="J5" s="343">
        <f t="shared" si="0"/>
        <v>5649</v>
      </c>
    </row>
    <row r="6" spans="1:10">
      <c r="B6" s="44"/>
      <c r="C6" s="44"/>
      <c r="D6" s="44"/>
      <c r="E6" s="44"/>
      <c r="F6" s="44"/>
      <c r="G6" s="44"/>
      <c r="J6" s="120"/>
    </row>
    <row r="25" spans="1:10">
      <c r="A25" s="137"/>
      <c r="B25" s="137"/>
      <c r="C25" s="137"/>
      <c r="D25" s="137"/>
    </row>
    <row r="26" spans="1:10">
      <c r="A26" s="137"/>
      <c r="B26" s="137"/>
      <c r="C26" s="551"/>
      <c r="D26" s="137"/>
    </row>
    <row r="27" spans="1:10">
      <c r="A27" t="s">
        <v>606</v>
      </c>
      <c r="B27" s="44">
        <f>L62</f>
        <v>482.73333333333318</v>
      </c>
      <c r="D27" s="137"/>
    </row>
    <row r="28" spans="1:10" ht="13.5" thickBot="1">
      <c r="A28" t="s">
        <v>588</v>
      </c>
      <c r="B28" s="71">
        <f>B27/J5</f>
        <v>8.5454652740898071E-2</v>
      </c>
      <c r="D28" s="137"/>
    </row>
    <row r="29" spans="1:10" ht="13.5" thickBot="1">
      <c r="A29" s="70" t="s">
        <v>597</v>
      </c>
      <c r="B29" s="554">
        <f>IF(P33&lt;0.05,B28*2,0)</f>
        <v>0.17090930548179614</v>
      </c>
      <c r="C29" t="s">
        <v>590</v>
      </c>
      <c r="D29" s="137"/>
    </row>
    <row r="30" spans="1:10">
      <c r="A30" s="137"/>
      <c r="B30" s="137"/>
      <c r="C30" s="553"/>
      <c r="D30" s="552"/>
    </row>
    <row r="31" spans="1:10">
      <c r="A31" s="137"/>
      <c r="B31" s="137"/>
      <c r="C31" s="137"/>
      <c r="D31" s="137"/>
      <c r="E31" s="104"/>
      <c r="F31" s="104"/>
      <c r="G31" s="104"/>
      <c r="H31" s="104"/>
      <c r="I31" s="104"/>
      <c r="J31" s="104"/>
    </row>
    <row r="34" spans="1:12">
      <c r="A34" t="s">
        <v>560</v>
      </c>
      <c r="B34" t="s">
        <v>561</v>
      </c>
      <c r="C34" t="str">
        <f>A3</f>
        <v>General Depr/Amort Expense</v>
      </c>
    </row>
    <row r="35" spans="1:12">
      <c r="A35">
        <f t="array" ref="A35:A43">TRANSPOSE(B4:J4)</f>
        <v>0</v>
      </c>
      <c r="B35">
        <f>A35^2</f>
        <v>0</v>
      </c>
      <c r="C35">
        <f t="array" ref="C35:C43">TRANSPOSE(B5:J5)</f>
        <v>1498</v>
      </c>
    </row>
    <row r="36" spans="1:12">
      <c r="A36">
        <v>1</v>
      </c>
      <c r="B36">
        <f t="shared" ref="B36:B43" si="1">A36^2</f>
        <v>1</v>
      </c>
      <c r="C36">
        <v>1803</v>
      </c>
    </row>
    <row r="37" spans="1:12">
      <c r="A37">
        <v>2</v>
      </c>
      <c r="B37">
        <f t="shared" si="1"/>
        <v>4</v>
      </c>
      <c r="C37">
        <v>1999</v>
      </c>
    </row>
    <row r="38" spans="1:12">
      <c r="A38">
        <v>3</v>
      </c>
      <c r="B38">
        <f t="shared" si="1"/>
        <v>9</v>
      </c>
      <c r="C38">
        <v>2412</v>
      </c>
    </row>
    <row r="39" spans="1:12">
      <c r="A39">
        <v>4</v>
      </c>
      <c r="B39">
        <f t="shared" si="1"/>
        <v>16</v>
      </c>
      <c r="C39">
        <v>2734</v>
      </c>
    </row>
    <row r="40" spans="1:12">
      <c r="A40">
        <v>5</v>
      </c>
      <c r="B40">
        <f t="shared" si="1"/>
        <v>25</v>
      </c>
      <c r="C40">
        <v>3276</v>
      </c>
      <c r="E40" t="s">
        <v>281</v>
      </c>
    </row>
    <row r="41" spans="1:12">
      <c r="A41">
        <v>6</v>
      </c>
      <c r="B41">
        <f t="shared" si="1"/>
        <v>36</v>
      </c>
      <c r="C41">
        <v>3868</v>
      </c>
    </row>
    <row r="42" spans="1:12">
      <c r="A42">
        <v>7</v>
      </c>
      <c r="B42">
        <f t="shared" si="1"/>
        <v>49</v>
      </c>
      <c r="C42">
        <v>4389</v>
      </c>
    </row>
    <row r="43" spans="1:12">
      <c r="A43">
        <v>8</v>
      </c>
      <c r="B43">
        <f t="shared" si="1"/>
        <v>64</v>
      </c>
      <c r="C43">
        <v>5649</v>
      </c>
    </row>
    <row r="44" spans="1:12">
      <c r="A44" s="461" t="s">
        <v>562</v>
      </c>
      <c r="K44" s="461" t="s">
        <v>586</v>
      </c>
    </row>
    <row r="45" spans="1:12">
      <c r="A45" t="s">
        <v>563</v>
      </c>
      <c r="K45" t="s">
        <v>563</v>
      </c>
    </row>
    <row r="46" spans="1:12" ht="13.5" thickBot="1"/>
    <row r="47" spans="1:12">
      <c r="A47" s="547" t="s">
        <v>564</v>
      </c>
      <c r="B47" s="547"/>
      <c r="K47" s="547" t="s">
        <v>564</v>
      </c>
      <c r="L47" s="547"/>
    </row>
    <row r="48" spans="1:12">
      <c r="A48" s="544" t="s">
        <v>565</v>
      </c>
      <c r="B48" s="544">
        <v>0.99586754352698703</v>
      </c>
      <c r="K48" s="544" t="s">
        <v>565</v>
      </c>
      <c r="L48" s="544">
        <v>0.97066995822940716</v>
      </c>
    </row>
    <row r="49" spans="1:19">
      <c r="A49" s="544" t="s">
        <v>566</v>
      </c>
      <c r="B49" s="544">
        <v>0.99175216425047541</v>
      </c>
      <c r="K49" s="544" t="s">
        <v>566</v>
      </c>
      <c r="L49" s="544">
        <v>0.94220016780907911</v>
      </c>
    </row>
    <row r="50" spans="1:19">
      <c r="A50" s="544" t="s">
        <v>567</v>
      </c>
      <c r="B50" s="544">
        <v>0.98900288566730055</v>
      </c>
      <c r="K50" s="544" t="s">
        <v>567</v>
      </c>
      <c r="L50" s="544">
        <v>0.93394304892466184</v>
      </c>
    </row>
    <row r="51" spans="1:19">
      <c r="A51" s="544" t="s">
        <v>568</v>
      </c>
      <c r="B51" s="544">
        <v>142.82548307188966</v>
      </c>
      <c r="K51" s="544" t="s">
        <v>568</v>
      </c>
      <c r="L51" s="544">
        <v>350.04638241420236</v>
      </c>
    </row>
    <row r="52" spans="1:19" ht="13.5" thickBot="1">
      <c r="A52" s="545" t="s">
        <v>569</v>
      </c>
      <c r="B52" s="545">
        <v>9</v>
      </c>
      <c r="K52" s="545" t="s">
        <v>569</v>
      </c>
      <c r="L52" s="545">
        <v>9</v>
      </c>
    </row>
    <row r="54" spans="1:19" ht="13.5" thickBot="1">
      <c r="A54" t="s">
        <v>570</v>
      </c>
      <c r="K54" t="s">
        <v>570</v>
      </c>
    </row>
    <row r="55" spans="1:19">
      <c r="A55" s="546"/>
      <c r="B55" s="546" t="s">
        <v>574</v>
      </c>
      <c r="C55" s="546" t="s">
        <v>575</v>
      </c>
      <c r="D55" s="546" t="s">
        <v>576</v>
      </c>
      <c r="E55" s="546" t="s">
        <v>577</v>
      </c>
      <c r="F55" s="546" t="s">
        <v>578</v>
      </c>
      <c r="K55" s="546"/>
      <c r="L55" s="546" t="s">
        <v>574</v>
      </c>
      <c r="M55" s="546" t="s">
        <v>575</v>
      </c>
      <c r="N55" s="546" t="s">
        <v>576</v>
      </c>
      <c r="O55" s="546" t="s">
        <v>577</v>
      </c>
      <c r="P55" s="546" t="s">
        <v>578</v>
      </c>
    </row>
    <row r="56" spans="1:19">
      <c r="A56" s="544" t="s">
        <v>571</v>
      </c>
      <c r="B56" s="544">
        <v>2</v>
      </c>
      <c r="C56" s="544">
        <v>14717220.843867244</v>
      </c>
      <c r="D56" s="544">
        <v>7358610.4219336221</v>
      </c>
      <c r="E56" s="544">
        <v>360.73178262830146</v>
      </c>
      <c r="F56" s="544">
        <v>5.6107382802441588E-7</v>
      </c>
      <c r="K56" s="544" t="s">
        <v>571</v>
      </c>
      <c r="L56" s="544">
        <v>1</v>
      </c>
      <c r="M56" s="544">
        <v>13981888.266666666</v>
      </c>
      <c r="N56" s="544">
        <v>13981888.266666666</v>
      </c>
      <c r="O56" s="544">
        <v>114.10761804425363</v>
      </c>
      <c r="P56" s="544">
        <v>1.3825531965068157E-5</v>
      </c>
    </row>
    <row r="57" spans="1:19">
      <c r="A57" s="544" t="s">
        <v>572</v>
      </c>
      <c r="B57" s="544">
        <v>6</v>
      </c>
      <c r="C57" s="544">
        <v>122394.71168831183</v>
      </c>
      <c r="D57" s="544">
        <v>20399.118614718638</v>
      </c>
      <c r="E57" s="544"/>
      <c r="F57" s="544"/>
      <c r="K57" s="544" t="s">
        <v>572</v>
      </c>
      <c r="L57" s="544">
        <v>7</v>
      </c>
      <c r="M57" s="544">
        <v>857727.28888889006</v>
      </c>
      <c r="N57" s="544">
        <v>122532.46984127001</v>
      </c>
      <c r="O57" s="544"/>
      <c r="P57" s="544"/>
    </row>
    <row r="58" spans="1:19" ht="13.5" thickBot="1">
      <c r="A58" s="545" t="s">
        <v>5</v>
      </c>
      <c r="B58" s="545">
        <v>8</v>
      </c>
      <c r="C58" s="545">
        <v>14839615.555555556</v>
      </c>
      <c r="D58" s="545"/>
      <c r="E58" s="545"/>
      <c r="F58" s="545"/>
      <c r="K58" s="545" t="s">
        <v>5</v>
      </c>
      <c r="L58" s="545">
        <v>8</v>
      </c>
      <c r="M58" s="545">
        <v>14839615.555555556</v>
      </c>
      <c r="N58" s="545"/>
      <c r="O58" s="545"/>
      <c r="P58" s="545"/>
    </row>
    <row r="59" spans="1:19" ht="13.5" thickBot="1"/>
    <row r="60" spans="1:19">
      <c r="A60" s="546"/>
      <c r="B60" s="546" t="s">
        <v>579</v>
      </c>
      <c r="C60" s="546" t="s">
        <v>568</v>
      </c>
      <c r="D60" s="546" t="s">
        <v>580</v>
      </c>
      <c r="E60" s="546" t="s">
        <v>581</v>
      </c>
      <c r="F60" s="546" t="s">
        <v>582</v>
      </c>
      <c r="G60" s="546" t="s">
        <v>583</v>
      </c>
      <c r="H60" s="546" t="s">
        <v>584</v>
      </c>
      <c r="I60" s="546" t="s">
        <v>585</v>
      </c>
      <c r="K60" s="546"/>
      <c r="L60" s="546" t="s">
        <v>579</v>
      </c>
      <c r="M60" s="546" t="s">
        <v>568</v>
      </c>
      <c r="N60" s="546" t="s">
        <v>580</v>
      </c>
      <c r="O60" s="546" t="s">
        <v>581</v>
      </c>
      <c r="P60" s="546" t="s">
        <v>582</v>
      </c>
      <c r="Q60" s="546" t="s">
        <v>583</v>
      </c>
      <c r="R60" s="546" t="s">
        <v>584</v>
      </c>
      <c r="S60" s="546" t="s">
        <v>585</v>
      </c>
    </row>
    <row r="61" spans="1:19">
      <c r="A61" s="544" t="s">
        <v>573</v>
      </c>
      <c r="B61" s="544">
        <v>1594.884848484849</v>
      </c>
      <c r="C61" s="544">
        <v>116.08523328961806</v>
      </c>
      <c r="D61" s="544">
        <v>13.738912377475367</v>
      </c>
      <c r="E61" s="544">
        <v>9.2448957297661365E-6</v>
      </c>
      <c r="F61" s="544">
        <v>1310.8345154055542</v>
      </c>
      <c r="G61" s="544">
        <v>1878.9351815641439</v>
      </c>
      <c r="H61" s="544">
        <v>1310.8345154055542</v>
      </c>
      <c r="I61" s="544">
        <v>1878.9351815641439</v>
      </c>
      <c r="K61" s="544" t="s">
        <v>573</v>
      </c>
      <c r="L61" s="544">
        <v>1138.8444444444451</v>
      </c>
      <c r="M61" s="544">
        <v>215.15121231881903</v>
      </c>
      <c r="N61" s="544">
        <v>5.2932281076662644</v>
      </c>
      <c r="O61" s="544">
        <v>1.1316595688651652E-3</v>
      </c>
      <c r="P61" s="544">
        <v>630.09267003577725</v>
      </c>
      <c r="Q61" s="544">
        <v>1647.596218853113</v>
      </c>
      <c r="R61" s="544">
        <v>630.09267003577725</v>
      </c>
      <c r="S61" s="544">
        <v>1647.596218853113</v>
      </c>
    </row>
    <row r="62" spans="1:19" ht="13.5" thickBot="1">
      <c r="A62" s="544" t="s">
        <v>560</v>
      </c>
      <c r="B62" s="544">
        <v>91.841558441558291</v>
      </c>
      <c r="C62" s="544">
        <v>67.66655898014038</v>
      </c>
      <c r="D62" s="544">
        <v>1.3572665704563622</v>
      </c>
      <c r="E62" s="544">
        <v>0.22352791244307069</v>
      </c>
      <c r="F62" s="544">
        <v>-73.732546653147281</v>
      </c>
      <c r="G62" s="544">
        <v>257.41566353626388</v>
      </c>
      <c r="H62" s="544">
        <v>-73.732546653147281</v>
      </c>
      <c r="I62" s="544">
        <v>257.41566353626388</v>
      </c>
      <c r="K62" s="545" t="s">
        <v>560</v>
      </c>
      <c r="L62" s="545">
        <v>482.73333333333318</v>
      </c>
      <c r="M62" s="545">
        <v>45.190793649678618</v>
      </c>
      <c r="N62" s="545">
        <v>10.682116739871999</v>
      </c>
      <c r="O62" s="545">
        <v>1.3825531965068181E-5</v>
      </c>
      <c r="P62" s="545">
        <v>375.87408672057791</v>
      </c>
      <c r="Q62" s="545">
        <v>589.59257994608845</v>
      </c>
      <c r="R62" s="545">
        <v>375.87408672057791</v>
      </c>
      <c r="S62" s="545">
        <v>589.59257994608845</v>
      </c>
    </row>
    <row r="63" spans="1:19" ht="13.5" thickBot="1">
      <c r="A63" s="545" t="s">
        <v>561</v>
      </c>
      <c r="B63" s="545">
        <v>48.861471861471863</v>
      </c>
      <c r="C63" s="545">
        <v>8.1382371919994014</v>
      </c>
      <c r="D63" s="545">
        <v>6.003938040722991</v>
      </c>
      <c r="E63" s="545">
        <v>9.6122000773289369E-4</v>
      </c>
      <c r="F63" s="545">
        <v>28.947922828939767</v>
      </c>
      <c r="G63" s="545">
        <v>68.775020894003958</v>
      </c>
      <c r="H63" s="545">
        <v>28.947922828939767</v>
      </c>
      <c r="I63" s="545">
        <v>68.775020894003958</v>
      </c>
    </row>
  </sheetData>
  <mergeCells count="1">
    <mergeCell ref="A1:E1"/>
  </mergeCells>
  <pageMargins left="0.7" right="0.7" top="0.75" bottom="0.75" header="0.3" footer="0.3"/>
  <pageSetup scale="98" orientation="landscape" r:id="rId1"/>
  <headerFooter scaleWithDoc="0">
    <oddHeader>&amp;RExhibit No. CSH-7
Dockets UE-160228/UG-160229
Page &amp;P of &amp;N</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view="pageBreakPreview" zoomScale="130" zoomScaleNormal="100" zoomScaleSheetLayoutView="130" workbookViewId="0">
      <selection activeCell="K72" sqref="K72"/>
    </sheetView>
  </sheetViews>
  <sheetFormatPr defaultRowHeight="12.75"/>
  <cols>
    <col min="1" max="1" width="30.42578125" customWidth="1"/>
    <col min="2" max="2" width="9.42578125" bestFit="1" customWidth="1"/>
    <col min="3" max="3" width="9.7109375" bestFit="1" customWidth="1"/>
    <col min="4" max="6" width="9.42578125" bestFit="1" customWidth="1"/>
    <col min="7" max="7" width="9.140625" customWidth="1"/>
    <col min="8" max="8" width="8.5703125" customWidth="1"/>
    <col min="9" max="10" width="9" customWidth="1"/>
    <col min="11" max="11" width="9.28515625" bestFit="1" customWidth="1"/>
  </cols>
  <sheetData>
    <row r="1" spans="1:10">
      <c r="A1" s="593" t="s">
        <v>607</v>
      </c>
      <c r="B1" s="593"/>
      <c r="C1" s="593"/>
      <c r="D1" s="593"/>
      <c r="E1" s="593"/>
      <c r="J1" s="541">
        <v>12.201499999999999</v>
      </c>
    </row>
    <row r="2" spans="1:10">
      <c r="B2" s="433">
        <v>2007</v>
      </c>
      <c r="C2" s="433">
        <v>2008</v>
      </c>
      <c r="D2" s="351">
        <v>2009</v>
      </c>
      <c r="E2" s="351">
        <v>2010</v>
      </c>
      <c r="F2" s="351">
        <v>2011</v>
      </c>
      <c r="G2" s="351">
        <v>2012</v>
      </c>
      <c r="H2" s="351">
        <v>2013</v>
      </c>
      <c r="I2" s="351">
        <v>2014</v>
      </c>
      <c r="J2" s="542">
        <v>2015</v>
      </c>
    </row>
    <row r="3" spans="1:10">
      <c r="A3" t="s">
        <v>47</v>
      </c>
      <c r="B3" s="237">
        <f>'Cost Trends'!M120</f>
        <v>7413</v>
      </c>
      <c r="C3" s="237">
        <f>'Cost Trends'!N120</f>
        <v>7752</v>
      </c>
      <c r="D3" s="237">
        <f>'Cost Trends'!O120</f>
        <v>8456</v>
      </c>
      <c r="E3" s="237">
        <f>'Cost Trends'!P120</f>
        <v>9127</v>
      </c>
      <c r="F3" s="237">
        <f>'Cost Trends'!Q120</f>
        <v>9778</v>
      </c>
      <c r="G3" s="237">
        <f>'Cost Trends'!R120</f>
        <v>10692</v>
      </c>
      <c r="H3" s="237">
        <f>'Cost Trends'!S120</f>
        <v>12173</v>
      </c>
      <c r="I3" s="237">
        <f>'Cost Trends'!T120</f>
        <v>13304</v>
      </c>
      <c r="J3" s="237">
        <f>'Cost Trends'!U120</f>
        <v>15176</v>
      </c>
    </row>
    <row r="4" spans="1:10">
      <c r="B4" s="353">
        <v>0</v>
      </c>
      <c r="C4" s="353">
        <v>1</v>
      </c>
      <c r="D4" s="353">
        <v>2</v>
      </c>
      <c r="E4" s="353">
        <v>3</v>
      </c>
      <c r="F4" s="353">
        <v>4</v>
      </c>
      <c r="G4" s="353">
        <v>5</v>
      </c>
      <c r="H4" s="353">
        <v>6</v>
      </c>
      <c r="I4" s="353">
        <v>7</v>
      </c>
      <c r="J4" s="358">
        <v>8</v>
      </c>
    </row>
    <row r="5" spans="1:10">
      <c r="A5" t="s">
        <v>47</v>
      </c>
      <c r="B5" s="44">
        <f>B3</f>
        <v>7413</v>
      </c>
      <c r="C5" s="44">
        <f t="shared" ref="C5:I5" si="0">C3</f>
        <v>7752</v>
      </c>
      <c r="D5" s="44">
        <f t="shared" si="0"/>
        <v>8456</v>
      </c>
      <c r="E5" s="44">
        <f t="shared" si="0"/>
        <v>9127</v>
      </c>
      <c r="F5" s="44">
        <f t="shared" si="0"/>
        <v>9778</v>
      </c>
      <c r="G5" s="44">
        <f t="shared" si="0"/>
        <v>10692</v>
      </c>
      <c r="H5" s="44">
        <f t="shared" si="0"/>
        <v>12173</v>
      </c>
      <c r="I5" s="44">
        <f t="shared" si="0"/>
        <v>13304</v>
      </c>
      <c r="J5" s="116">
        <f t="shared" ref="J5" si="1">J3</f>
        <v>15176</v>
      </c>
    </row>
    <row r="24" spans="1:4">
      <c r="B24" s="80" t="s">
        <v>441</v>
      </c>
      <c r="C24" s="80" t="s">
        <v>111</v>
      </c>
    </row>
    <row r="25" spans="1:4">
      <c r="A25" s="469" t="s">
        <v>444</v>
      </c>
      <c r="B25" s="469">
        <f>2*89.144</f>
        <v>178.28800000000001</v>
      </c>
      <c r="C25" s="469">
        <v>231.97</v>
      </c>
    </row>
    <row r="26" spans="1:4">
      <c r="A26" s="471" t="s">
        <v>450</v>
      </c>
      <c r="B26" s="120">
        <f>(8*B25)</f>
        <v>1426.3040000000001</v>
      </c>
      <c r="C26" s="120"/>
    </row>
    <row r="27" spans="1:4">
      <c r="A27" s="120" t="s">
        <v>443</v>
      </c>
      <c r="B27" s="469"/>
      <c r="C27" s="469">
        <f>B26+C25</f>
        <v>1658.2740000000001</v>
      </c>
    </row>
    <row r="28" spans="1:4" ht="13.5" thickBot="1">
      <c r="A28" s="120" t="s">
        <v>440</v>
      </c>
      <c r="B28" s="89"/>
      <c r="C28" s="487">
        <f>C27/J5</f>
        <v>0.1092695044807591</v>
      </c>
    </row>
    <row r="29" spans="1:4" ht="13.5" thickBot="1">
      <c r="A29" s="80" t="s">
        <v>442</v>
      </c>
      <c r="B29" s="352"/>
      <c r="C29" s="378">
        <f>2.5*C28</f>
        <v>0.27317376120189774</v>
      </c>
      <c r="D29" s="70" t="s">
        <v>555</v>
      </c>
    </row>
  </sheetData>
  <mergeCells count="1">
    <mergeCell ref="A1:E1"/>
  </mergeCells>
  <pageMargins left="0.7" right="0.7" top="0.75" bottom="0.75" header="0.3" footer="0.3"/>
  <pageSetup orientation="landscape" r:id="rId1"/>
  <headerFooter scaleWithDoc="0">
    <oddHeader>&amp;RExhibit No. CSH-7
Dockets UE-160228/UG-160229
Page &amp;P of &amp;N</oddHeader>
  </headerFooter>
  <colBreaks count="1" manualBreakCount="1">
    <brk id="1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115" zoomScaleNormal="80" zoomScaleSheetLayoutView="115" workbookViewId="0">
      <selection activeCell="K72" sqref="K72"/>
    </sheetView>
  </sheetViews>
  <sheetFormatPr defaultRowHeight="12.75"/>
  <cols>
    <col min="1" max="1" width="30.28515625" customWidth="1"/>
    <col min="2" max="2" width="9.5703125" customWidth="1"/>
    <col min="3" max="8" width="9.28515625" bestFit="1" customWidth="1"/>
    <col min="9" max="9" width="7.7109375" customWidth="1"/>
    <col min="10" max="10" width="9.28515625" bestFit="1" customWidth="1"/>
  </cols>
  <sheetData>
    <row r="1" spans="1:10">
      <c r="A1" s="593" t="s">
        <v>607</v>
      </c>
      <c r="B1" s="593"/>
      <c r="C1" s="593"/>
      <c r="D1" s="593"/>
      <c r="E1" s="593"/>
      <c r="F1" s="593"/>
    </row>
    <row r="2" spans="1:10">
      <c r="J2" s="541" t="s">
        <v>532</v>
      </c>
    </row>
    <row r="3" spans="1:10">
      <c r="B3" s="433">
        <v>2007</v>
      </c>
      <c r="C3" s="433">
        <v>2008</v>
      </c>
      <c r="D3" s="351">
        <v>2009</v>
      </c>
      <c r="E3" s="351">
        <v>2010</v>
      </c>
      <c r="F3" s="351">
        <v>2011</v>
      </c>
      <c r="G3" s="351">
        <v>2012</v>
      </c>
      <c r="H3" s="351">
        <v>2013</v>
      </c>
      <c r="I3" s="351">
        <v>2014</v>
      </c>
      <c r="J3" s="542">
        <v>2015</v>
      </c>
    </row>
    <row r="4" spans="1:10">
      <c r="A4" t="s">
        <v>426</v>
      </c>
      <c r="B4" s="237">
        <f>'Cost Trends'!M136</f>
        <v>3541</v>
      </c>
      <c r="C4" s="237">
        <f>'Cost Trends'!N136</f>
        <v>2961</v>
      </c>
      <c r="D4" s="237">
        <f>'Cost Trends'!O136</f>
        <v>3728</v>
      </c>
      <c r="E4" s="237">
        <f>'Cost Trends'!P136</f>
        <v>3834</v>
      </c>
      <c r="F4" s="237">
        <f>'Cost Trends'!Q136</f>
        <v>4316.6743270000006</v>
      </c>
      <c r="G4" s="237">
        <f>'Cost Trends'!R136</f>
        <v>4592</v>
      </c>
      <c r="H4" s="237">
        <f>'Cost Trends'!S136</f>
        <v>5191</v>
      </c>
      <c r="I4" s="237">
        <f>'Cost Trends'!T136</f>
        <v>5523</v>
      </c>
      <c r="J4" s="237">
        <f>'Cost Trends'!U136</f>
        <v>5553</v>
      </c>
    </row>
    <row r="5" spans="1:10">
      <c r="B5" s="365">
        <v>0</v>
      </c>
      <c r="C5" s="365">
        <v>1</v>
      </c>
      <c r="D5" s="365">
        <v>2</v>
      </c>
      <c r="E5" s="365">
        <v>3</v>
      </c>
      <c r="F5" s="365">
        <v>4</v>
      </c>
      <c r="G5" s="365">
        <v>5</v>
      </c>
      <c r="H5" s="365">
        <v>6</v>
      </c>
      <c r="I5" s="365">
        <v>7</v>
      </c>
      <c r="J5" s="490">
        <v>8</v>
      </c>
    </row>
    <row r="6" spans="1:10">
      <c r="A6" t="s">
        <v>426</v>
      </c>
      <c r="B6" s="92">
        <f>B4</f>
        <v>3541</v>
      </c>
      <c r="C6" s="92">
        <f t="shared" ref="C6:I6" si="0">C4</f>
        <v>2961</v>
      </c>
      <c r="D6" s="92">
        <f t="shared" si="0"/>
        <v>3728</v>
      </c>
      <c r="E6" s="92">
        <f t="shared" si="0"/>
        <v>3834</v>
      </c>
      <c r="F6" s="92">
        <f t="shared" si="0"/>
        <v>4316.6743270000006</v>
      </c>
      <c r="G6" s="92">
        <f t="shared" si="0"/>
        <v>4592</v>
      </c>
      <c r="H6" s="92">
        <f t="shared" si="0"/>
        <v>5191</v>
      </c>
      <c r="I6" s="92">
        <f t="shared" si="0"/>
        <v>5523</v>
      </c>
      <c r="J6" s="343">
        <f t="shared" ref="J6" si="1">J4</f>
        <v>5553</v>
      </c>
    </row>
    <row r="7" spans="1:10">
      <c r="B7" s="44"/>
      <c r="C7" s="44"/>
      <c r="D7" s="44"/>
      <c r="E7" s="44"/>
      <c r="F7" s="44"/>
      <c r="G7" s="44"/>
    </row>
    <row r="25" spans="1:10">
      <c r="A25" s="137"/>
      <c r="B25" s="137"/>
      <c r="C25" s="137"/>
      <c r="D25" s="137"/>
      <c r="E25" s="137"/>
    </row>
    <row r="26" spans="1:10">
      <c r="A26" s="137"/>
      <c r="B26" s="137"/>
      <c r="C26" s="137"/>
      <c r="D26" s="137"/>
      <c r="E26" s="137"/>
    </row>
    <row r="27" spans="1:10">
      <c r="A27" s="552"/>
      <c r="B27" s="137"/>
      <c r="C27" s="137"/>
      <c r="D27" s="137"/>
      <c r="E27" s="137"/>
    </row>
    <row r="28" spans="1:10">
      <c r="A28" t="s">
        <v>606</v>
      </c>
      <c r="B28" s="44">
        <f>L62</f>
        <v>323.63333333333321</v>
      </c>
      <c r="D28" s="137"/>
      <c r="E28" s="137"/>
    </row>
    <row r="29" spans="1:10" ht="13.5" thickBot="1">
      <c r="A29" t="s">
        <v>588</v>
      </c>
      <c r="B29" s="71">
        <f>B28/J6</f>
        <v>5.82808091722192E-2</v>
      </c>
      <c r="D29" s="137"/>
      <c r="E29" s="137"/>
    </row>
    <row r="30" spans="1:10" ht="13.5" thickBot="1">
      <c r="A30" s="70" t="s">
        <v>597</v>
      </c>
      <c r="B30" s="554">
        <f>IF(P33&lt;0.05,B29*2,0)</f>
        <v>0.1165616183444384</v>
      </c>
      <c r="C30" t="s">
        <v>590</v>
      </c>
      <c r="D30" s="552"/>
      <c r="E30" s="137"/>
    </row>
    <row r="31" spans="1:10">
      <c r="A31" s="137"/>
      <c r="B31" s="137"/>
      <c r="C31" s="137"/>
      <c r="D31" s="137"/>
      <c r="E31" s="137"/>
    </row>
    <row r="32" spans="1:10" ht="13.5" thickBot="1">
      <c r="A32" s="369"/>
      <c r="B32" s="369"/>
      <c r="C32" s="369"/>
      <c r="D32" s="369"/>
      <c r="E32" s="369"/>
      <c r="F32" s="369"/>
      <c r="G32" s="369"/>
      <c r="H32" s="369"/>
      <c r="I32" s="369"/>
      <c r="J32" s="369"/>
    </row>
    <row r="33" spans="1:12">
      <c r="A33" s="137" t="s">
        <v>560</v>
      </c>
      <c r="B33" t="s">
        <v>561</v>
      </c>
      <c r="C33" t="str">
        <f>A4</f>
        <v>Taxes (other than income)</v>
      </c>
    </row>
    <row r="34" spans="1:12">
      <c r="A34">
        <f t="array" ref="A34:A42">TRANSPOSE(B5:J5)</f>
        <v>0</v>
      </c>
      <c r="B34">
        <f>A34^2</f>
        <v>0</v>
      </c>
      <c r="C34">
        <f t="array" ref="C34:C42">TRANSPOSE(B6:J6)</f>
        <v>3541</v>
      </c>
    </row>
    <row r="35" spans="1:12">
      <c r="A35">
        <v>1</v>
      </c>
      <c r="B35">
        <f t="shared" ref="B35:B42" si="2">A35^2</f>
        <v>1</v>
      </c>
      <c r="C35">
        <v>2961</v>
      </c>
    </row>
    <row r="36" spans="1:12">
      <c r="A36">
        <v>2</v>
      </c>
      <c r="B36">
        <f t="shared" si="2"/>
        <v>4</v>
      </c>
      <c r="C36">
        <v>3728</v>
      </c>
    </row>
    <row r="37" spans="1:12">
      <c r="A37">
        <v>3</v>
      </c>
      <c r="B37">
        <f t="shared" si="2"/>
        <v>9</v>
      </c>
      <c r="C37">
        <v>3834</v>
      </c>
    </row>
    <row r="38" spans="1:12">
      <c r="A38">
        <v>4</v>
      </c>
      <c r="B38">
        <f t="shared" si="2"/>
        <v>16</v>
      </c>
      <c r="C38">
        <v>4316.6743270000006</v>
      </c>
    </row>
    <row r="39" spans="1:12">
      <c r="A39">
        <v>5</v>
      </c>
      <c r="B39">
        <f t="shared" si="2"/>
        <v>25</v>
      </c>
      <c r="C39">
        <v>4592</v>
      </c>
    </row>
    <row r="40" spans="1:12">
      <c r="A40">
        <v>6</v>
      </c>
      <c r="B40">
        <f t="shared" si="2"/>
        <v>36</v>
      </c>
      <c r="C40">
        <v>5191</v>
      </c>
    </row>
    <row r="41" spans="1:12">
      <c r="A41">
        <v>7</v>
      </c>
      <c r="B41">
        <f t="shared" si="2"/>
        <v>49</v>
      </c>
      <c r="C41">
        <v>5523</v>
      </c>
    </row>
    <row r="42" spans="1:12">
      <c r="A42">
        <v>8</v>
      </c>
      <c r="B42">
        <f t="shared" si="2"/>
        <v>64</v>
      </c>
      <c r="C42">
        <v>5553</v>
      </c>
    </row>
    <row r="45" spans="1:12">
      <c r="A45" t="s">
        <v>563</v>
      </c>
      <c r="K45" t="s">
        <v>563</v>
      </c>
    </row>
    <row r="46" spans="1:12" ht="13.5" thickBot="1"/>
    <row r="47" spans="1:12">
      <c r="A47" s="547" t="s">
        <v>564</v>
      </c>
      <c r="B47" s="547"/>
      <c r="K47" s="547" t="s">
        <v>564</v>
      </c>
      <c r="L47" s="547"/>
    </row>
    <row r="48" spans="1:12">
      <c r="A48" s="544" t="s">
        <v>565</v>
      </c>
      <c r="B48" s="544">
        <v>0.9642008137373379</v>
      </c>
      <c r="K48" s="544" t="s">
        <v>565</v>
      </c>
      <c r="L48" s="544">
        <v>0.95949167095066645</v>
      </c>
    </row>
    <row r="49" spans="1:19">
      <c r="A49" s="544" t="s">
        <v>566</v>
      </c>
      <c r="B49" s="544">
        <v>0.92968320921174463</v>
      </c>
      <c r="K49" s="544" t="s">
        <v>566</v>
      </c>
      <c r="L49" s="544">
        <v>0.92062426662370189</v>
      </c>
    </row>
    <row r="50" spans="1:19">
      <c r="A50" s="544" t="s">
        <v>567</v>
      </c>
      <c r="B50" s="544">
        <v>0.90624427894899284</v>
      </c>
      <c r="K50" s="544" t="s">
        <v>567</v>
      </c>
      <c r="L50" s="544">
        <v>0.90928487614137354</v>
      </c>
    </row>
    <row r="51" spans="1:19">
      <c r="A51" s="544" t="s">
        <v>568</v>
      </c>
      <c r="B51" s="544">
        <v>282.84047508805321</v>
      </c>
      <c r="K51" s="544" t="s">
        <v>568</v>
      </c>
      <c r="L51" s="544">
        <v>278.21626621067605</v>
      </c>
    </row>
    <row r="52" spans="1:19" ht="13.5" thickBot="1">
      <c r="A52" s="545" t="s">
        <v>569</v>
      </c>
      <c r="B52" s="545">
        <v>9</v>
      </c>
      <c r="K52" s="545" t="s">
        <v>569</v>
      </c>
      <c r="L52" s="545">
        <v>9</v>
      </c>
    </row>
    <row r="54" spans="1:19" ht="13.5" thickBot="1">
      <c r="A54" t="s">
        <v>570</v>
      </c>
      <c r="K54" t="s">
        <v>570</v>
      </c>
    </row>
    <row r="55" spans="1:19">
      <c r="A55" s="546"/>
      <c r="B55" s="546" t="s">
        <v>574</v>
      </c>
      <c r="C55" s="546" t="s">
        <v>575</v>
      </c>
      <c r="D55" s="546" t="s">
        <v>576</v>
      </c>
      <c r="E55" s="546" t="s">
        <v>577</v>
      </c>
      <c r="F55" s="546" t="s">
        <v>578</v>
      </c>
      <c r="K55" s="546"/>
      <c r="L55" s="546" t="s">
        <v>574</v>
      </c>
      <c r="M55" s="546" t="s">
        <v>575</v>
      </c>
      <c r="N55" s="546" t="s">
        <v>576</v>
      </c>
      <c r="O55" s="546" t="s">
        <v>577</v>
      </c>
      <c r="P55" s="546" t="s">
        <v>578</v>
      </c>
    </row>
    <row r="56" spans="1:19">
      <c r="A56" s="544" t="s">
        <v>571</v>
      </c>
      <c r="B56" s="544">
        <v>2</v>
      </c>
      <c r="C56" s="544">
        <v>6346149.6960679209</v>
      </c>
      <c r="D56" s="544">
        <v>3173074.8480339604</v>
      </c>
      <c r="E56" s="544">
        <v>39.664063111666891</v>
      </c>
      <c r="F56" s="544">
        <v>3.4767793122407632E-4</v>
      </c>
      <c r="K56" s="544" t="s">
        <v>571</v>
      </c>
      <c r="L56" s="544">
        <v>1</v>
      </c>
      <c r="M56" s="544">
        <v>6284312.0666666664</v>
      </c>
      <c r="N56" s="544">
        <v>6284312.0666666664</v>
      </c>
      <c r="O56" s="544">
        <v>81.188161573449193</v>
      </c>
      <c r="P56" s="544">
        <v>4.2336312302461346E-5</v>
      </c>
    </row>
    <row r="57" spans="1:19">
      <c r="A57" s="544" t="s">
        <v>572</v>
      </c>
      <c r="B57" s="544">
        <v>6</v>
      </c>
      <c r="C57" s="544">
        <v>479992.40608821402</v>
      </c>
      <c r="D57" s="544">
        <v>79998.734348035665</v>
      </c>
      <c r="E57" s="544"/>
      <c r="F57" s="544"/>
      <c r="K57" s="544" t="s">
        <v>572</v>
      </c>
      <c r="L57" s="544">
        <v>7</v>
      </c>
      <c r="M57" s="544">
        <v>541830.03548946837</v>
      </c>
      <c r="N57" s="544">
        <v>77404.290784209763</v>
      </c>
      <c r="O57" s="544"/>
      <c r="P57" s="544"/>
    </row>
    <row r="58" spans="1:19" ht="13.5" thickBot="1">
      <c r="A58" s="545" t="s">
        <v>5</v>
      </c>
      <c r="B58" s="545">
        <v>8</v>
      </c>
      <c r="C58" s="545">
        <v>6826142.1021561353</v>
      </c>
      <c r="D58" s="545"/>
      <c r="E58" s="545"/>
      <c r="F58" s="545"/>
      <c r="K58" s="545" t="s">
        <v>5</v>
      </c>
      <c r="L58" s="545">
        <v>8</v>
      </c>
      <c r="M58" s="545">
        <v>6826142.1021561343</v>
      </c>
      <c r="N58" s="545"/>
      <c r="O58" s="545"/>
      <c r="P58" s="545"/>
    </row>
    <row r="59" spans="1:19" ht="13.5" thickBot="1"/>
    <row r="60" spans="1:19">
      <c r="A60" s="546"/>
      <c r="B60" s="546" t="s">
        <v>579</v>
      </c>
      <c r="C60" s="546" t="s">
        <v>568</v>
      </c>
      <c r="D60" s="546" t="s">
        <v>580</v>
      </c>
      <c r="E60" s="546" t="s">
        <v>581</v>
      </c>
      <c r="F60" s="546" t="s">
        <v>582</v>
      </c>
      <c r="G60" s="546" t="s">
        <v>583</v>
      </c>
      <c r="H60" s="546" t="s">
        <v>584</v>
      </c>
      <c r="I60" s="546" t="s">
        <v>585</v>
      </c>
      <c r="K60" s="546"/>
      <c r="L60" s="546" t="s">
        <v>579</v>
      </c>
      <c r="M60" s="546" t="s">
        <v>568</v>
      </c>
      <c r="N60" s="546" t="s">
        <v>580</v>
      </c>
      <c r="O60" s="546" t="s">
        <v>581</v>
      </c>
      <c r="P60" s="546" t="s">
        <v>582</v>
      </c>
      <c r="Q60" s="546" t="s">
        <v>583</v>
      </c>
      <c r="R60" s="546" t="s">
        <v>584</v>
      </c>
      <c r="S60" s="546" t="s">
        <v>585</v>
      </c>
    </row>
    <row r="61" spans="1:19">
      <c r="A61" s="544" t="s">
        <v>573</v>
      </c>
      <c r="B61" s="544">
        <v>3197.6780914848478</v>
      </c>
      <c r="C61" s="544">
        <v>229.88616476666573</v>
      </c>
      <c r="D61" s="544">
        <v>13.909832697981145</v>
      </c>
      <c r="E61" s="544">
        <v>8.6008922732310913E-6</v>
      </c>
      <c r="F61" s="544">
        <v>2635.1669105030282</v>
      </c>
      <c r="G61" s="544">
        <v>3760.1892724666673</v>
      </c>
      <c r="H61" s="544">
        <v>2635.1669105030282</v>
      </c>
      <c r="I61" s="544">
        <v>3760.1892724666673</v>
      </c>
      <c r="K61" s="544" t="s">
        <v>573</v>
      </c>
      <c r="L61" s="544">
        <v>3065.430480777778</v>
      </c>
      <c r="M61" s="544">
        <v>171.00181567142403</v>
      </c>
      <c r="N61" s="544">
        <v>17.926303698832829</v>
      </c>
      <c r="O61" s="544">
        <v>4.1516220250456801E-7</v>
      </c>
      <c r="P61" s="544">
        <v>2661.0754403747296</v>
      </c>
      <c r="Q61" s="544">
        <v>3469.7855211808264</v>
      </c>
      <c r="R61" s="544">
        <v>2661.0754403747296</v>
      </c>
      <c r="S61" s="544">
        <v>3469.7855211808264</v>
      </c>
    </row>
    <row r="62" spans="1:19" ht="13.5" thickBot="1">
      <c r="A62" s="544" t="s">
        <v>560</v>
      </c>
      <c r="B62" s="544">
        <v>210.2782384415585</v>
      </c>
      <c r="C62" s="544">
        <v>134.00158905734878</v>
      </c>
      <c r="D62" s="544">
        <v>1.5692219765510806</v>
      </c>
      <c r="E62" s="544">
        <v>0.16764689994702617</v>
      </c>
      <c r="F62" s="544">
        <v>-117.61183789512634</v>
      </c>
      <c r="G62" s="544">
        <v>538.16831477824337</v>
      </c>
      <c r="H62" s="544">
        <v>-117.61183789512634</v>
      </c>
      <c r="I62" s="544">
        <v>538.16831477824337</v>
      </c>
      <c r="K62" s="545" t="s">
        <v>560</v>
      </c>
      <c r="L62" s="545">
        <v>323.63333333333321</v>
      </c>
      <c r="M62" s="545">
        <v>35.917565522598586</v>
      </c>
      <c r="N62" s="545">
        <v>9.010447357010035</v>
      </c>
      <c r="O62" s="545">
        <v>4.2336312302461496E-5</v>
      </c>
      <c r="P62" s="545">
        <v>238.70178684042372</v>
      </c>
      <c r="Q62" s="545">
        <v>408.5648798262427</v>
      </c>
      <c r="R62" s="545">
        <v>238.70178684042372</v>
      </c>
      <c r="S62" s="545">
        <v>408.5648798262427</v>
      </c>
    </row>
    <row r="63" spans="1:19" ht="13.5" thickBot="1">
      <c r="A63" s="545" t="s">
        <v>561</v>
      </c>
      <c r="B63" s="545">
        <v>14.169386861471871</v>
      </c>
      <c r="C63" s="545">
        <v>16.116331793576201</v>
      </c>
      <c r="D63" s="545">
        <v>0.87919428831315316</v>
      </c>
      <c r="E63" s="545">
        <v>0.41311771746965387</v>
      </c>
      <c r="F63" s="545">
        <v>-25.265856401214201</v>
      </c>
      <c r="G63" s="545">
        <v>53.604630124157943</v>
      </c>
      <c r="H63" s="545">
        <v>-25.265856401214201</v>
      </c>
      <c r="I63" s="545">
        <v>53.604630124157943</v>
      </c>
    </row>
  </sheetData>
  <mergeCells count="1">
    <mergeCell ref="A1:F1"/>
  </mergeCells>
  <pageMargins left="0.7" right="0.7" top="0.75" bottom="0.75" header="0.3" footer="0.3"/>
  <pageSetup orientation="landscape" r:id="rId1"/>
  <headerFooter scaleWithDoc="0">
    <oddHeader>&amp;RExhibit No. CSH-7
Dockets UE-160228/UG-160229
Page &amp;P of &amp;N</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tabSelected="1" view="pageBreakPreview" zoomScale="115" zoomScaleNormal="100" zoomScaleSheetLayoutView="115" workbookViewId="0">
      <selection activeCell="K72" sqref="K72"/>
    </sheetView>
  </sheetViews>
  <sheetFormatPr defaultRowHeight="12.75"/>
  <cols>
    <col min="1" max="1" width="27.7109375" customWidth="1"/>
    <col min="2" max="2" width="8.85546875" customWidth="1"/>
    <col min="3" max="3" width="10.5703125" customWidth="1"/>
    <col min="4" max="5" width="10.42578125" customWidth="1"/>
    <col min="6" max="6" width="12.28515625" customWidth="1"/>
    <col min="7" max="10" width="10.42578125" customWidth="1"/>
    <col min="11" max="11" width="5.85546875" customWidth="1"/>
    <col min="12" max="12" width="32.5703125" customWidth="1"/>
    <col min="13" max="13" width="8.85546875" customWidth="1"/>
    <col min="14" max="14" width="10.5703125" customWidth="1"/>
    <col min="15" max="16" width="10.42578125" customWidth="1"/>
    <col min="17" max="17" width="12.28515625" customWidth="1"/>
    <col min="18" max="21" width="10.42578125" customWidth="1"/>
  </cols>
  <sheetData>
    <row r="1" spans="1:20">
      <c r="A1" s="593" t="s">
        <v>607</v>
      </c>
      <c r="B1" s="593"/>
      <c r="C1" s="593"/>
      <c r="D1" s="593"/>
      <c r="E1" s="593"/>
      <c r="J1" s="541" t="s">
        <v>532</v>
      </c>
    </row>
    <row r="2" spans="1:20">
      <c r="B2" s="433">
        <v>2007</v>
      </c>
      <c r="C2" s="433">
        <v>2008</v>
      </c>
      <c r="D2" s="351">
        <v>2009</v>
      </c>
      <c r="E2" s="351">
        <v>2010</v>
      </c>
      <c r="F2" s="351">
        <v>2011</v>
      </c>
      <c r="G2" s="351">
        <v>2012</v>
      </c>
      <c r="H2" s="351">
        <v>2013</v>
      </c>
      <c r="I2" s="351">
        <v>2014</v>
      </c>
      <c r="J2" s="542">
        <v>2015</v>
      </c>
    </row>
    <row r="3" spans="1:20">
      <c r="A3" t="s">
        <v>253</v>
      </c>
      <c r="B3" s="392">
        <f>'Cost Trends'!M113</f>
        <v>20971</v>
      </c>
      <c r="C3" s="392">
        <f>'Cost Trends'!N113</f>
        <v>21575</v>
      </c>
      <c r="D3" s="392">
        <f>'Cost Trends'!O113</f>
        <v>24412</v>
      </c>
      <c r="E3" s="392">
        <f>'Cost Trends'!P113</f>
        <v>25880</v>
      </c>
      <c r="F3" s="392">
        <f>'Cost Trends'!Q113</f>
        <v>27715.852941999998</v>
      </c>
      <c r="G3" s="392">
        <f>'Cost Trends'!R113</f>
        <v>30641</v>
      </c>
      <c r="H3" s="392">
        <f>'Cost Trends'!S113</f>
        <v>30945</v>
      </c>
      <c r="I3" s="392">
        <f>'Cost Trends'!T113</f>
        <v>31354</v>
      </c>
      <c r="J3" s="392">
        <f>'Cost Trends'!U113</f>
        <v>34758</v>
      </c>
    </row>
    <row r="4" spans="1:20">
      <c r="B4" s="98">
        <v>0</v>
      </c>
      <c r="C4" s="98">
        <v>1</v>
      </c>
      <c r="D4" s="98">
        <v>2</v>
      </c>
      <c r="E4" s="98">
        <v>3</v>
      </c>
      <c r="F4" s="98">
        <v>4</v>
      </c>
      <c r="G4" s="98">
        <v>5</v>
      </c>
      <c r="H4" s="98">
        <v>6</v>
      </c>
      <c r="I4" s="98">
        <v>7</v>
      </c>
      <c r="J4" s="368">
        <v>8</v>
      </c>
    </row>
    <row r="5" spans="1:20">
      <c r="A5" t="s">
        <v>253</v>
      </c>
      <c r="B5" s="92">
        <f>B3</f>
        <v>20971</v>
      </c>
      <c r="C5" s="92">
        <f t="shared" ref="C5:J5" si="0">C3</f>
        <v>21575</v>
      </c>
      <c r="D5" s="92">
        <f t="shared" si="0"/>
        <v>24412</v>
      </c>
      <c r="E5" s="92">
        <f t="shared" si="0"/>
        <v>25880</v>
      </c>
      <c r="F5" s="92">
        <f t="shared" si="0"/>
        <v>27715.852941999998</v>
      </c>
      <c r="G5" s="92">
        <f t="shared" si="0"/>
        <v>30641</v>
      </c>
      <c r="H5" s="92">
        <f t="shared" si="0"/>
        <v>30945</v>
      </c>
      <c r="I5" s="92">
        <f t="shared" si="0"/>
        <v>31354</v>
      </c>
      <c r="J5" s="343">
        <f t="shared" si="0"/>
        <v>34758</v>
      </c>
      <c r="L5" s="493"/>
      <c r="M5" s="493"/>
      <c r="N5" s="493"/>
      <c r="O5" s="493"/>
      <c r="P5" s="493"/>
      <c r="Q5" s="493"/>
      <c r="R5" s="493"/>
      <c r="S5" s="493"/>
      <c r="T5" s="493"/>
    </row>
    <row r="6" spans="1:20">
      <c r="B6" s="434"/>
      <c r="C6" s="434"/>
      <c r="D6" s="434"/>
      <c r="E6" s="434"/>
      <c r="F6" s="434"/>
      <c r="G6" s="434"/>
      <c r="H6" s="434"/>
      <c r="I6" s="434"/>
      <c r="J6" s="434"/>
    </row>
    <row r="7" spans="1:20">
      <c r="I7" s="492"/>
      <c r="J7" s="434"/>
      <c r="L7" s="434"/>
      <c r="M7" s="92"/>
    </row>
    <row r="24" spans="1:21">
      <c r="A24" s="137"/>
      <c r="B24" s="137"/>
      <c r="C24" s="137"/>
      <c r="D24" s="137"/>
      <c r="H24" s="468"/>
    </row>
    <row r="25" spans="1:21">
      <c r="A25" s="137"/>
      <c r="B25" s="137"/>
      <c r="C25" s="137"/>
      <c r="D25" s="137"/>
    </row>
    <row r="26" spans="1:21">
      <c r="A26" s="137"/>
      <c r="B26" s="137"/>
      <c r="C26" s="551"/>
      <c r="D26" s="137"/>
    </row>
    <row r="27" spans="1:21">
      <c r="A27" t="s">
        <v>606</v>
      </c>
      <c r="B27" s="44">
        <f>L62</f>
        <v>1705.1999999999998</v>
      </c>
      <c r="D27" s="137"/>
    </row>
    <row r="28" spans="1:21">
      <c r="A28" t="s">
        <v>588</v>
      </c>
      <c r="B28" s="71">
        <f>B27/J5</f>
        <v>4.9059209390643878E-2</v>
      </c>
      <c r="D28" s="137"/>
    </row>
    <row r="29" spans="1:21" ht="13.5" thickBot="1">
      <c r="A29" s="70" t="s">
        <v>597</v>
      </c>
      <c r="B29" s="71">
        <f>IF(P33&lt;0.05,B28*2,0)</f>
        <v>9.8118418781287756E-2</v>
      </c>
      <c r="D29" s="137"/>
    </row>
    <row r="30" spans="1:21" ht="13.5" thickBot="1">
      <c r="A30" s="70" t="s">
        <v>604</v>
      </c>
      <c r="B30" s="555">
        <f>2.5*I40</f>
        <v>8.6484291420071635E-2</v>
      </c>
      <c r="C30" t="s">
        <v>590</v>
      </c>
      <c r="D30" s="552"/>
    </row>
    <row r="31" spans="1:21">
      <c r="A31" s="104"/>
      <c r="B31" s="104"/>
      <c r="C31" s="104"/>
      <c r="D31" s="104"/>
      <c r="E31" s="104"/>
      <c r="F31" s="104"/>
      <c r="G31" s="104"/>
      <c r="H31" s="104"/>
      <c r="I31" s="104"/>
      <c r="J31" s="104"/>
      <c r="L31" s="137"/>
      <c r="M31" s="137"/>
      <c r="N31" s="137"/>
      <c r="O31" s="137"/>
      <c r="P31" s="104"/>
      <c r="Q31" s="104"/>
      <c r="R31" s="104"/>
      <c r="S31" s="104"/>
      <c r="T31" s="104"/>
      <c r="U31" s="104"/>
    </row>
    <row r="32" spans="1:21" ht="5.25" customHeight="1"/>
    <row r="33" spans="1:12">
      <c r="A33" t="s">
        <v>560</v>
      </c>
      <c r="B33" t="s">
        <v>561</v>
      </c>
      <c r="C33" t="str">
        <f>A3</f>
        <v>Adjusted Operating Expenses</v>
      </c>
    </row>
    <row r="34" spans="1:12">
      <c r="A34">
        <f t="array" ref="A34:A42">TRANSPOSE(B4:J4)</f>
        <v>0</v>
      </c>
      <c r="B34">
        <f>A34^2</f>
        <v>0</v>
      </c>
      <c r="C34">
        <f t="array" ref="C34:C42">TRANSPOSE(B5:J5)</f>
        <v>20971</v>
      </c>
    </row>
    <row r="35" spans="1:12">
      <c r="A35">
        <v>1</v>
      </c>
      <c r="B35">
        <f t="shared" ref="B35:B42" si="1">A35^2</f>
        <v>1</v>
      </c>
      <c r="C35">
        <v>21575</v>
      </c>
    </row>
    <row r="36" spans="1:12">
      <c r="A36">
        <v>2</v>
      </c>
      <c r="B36">
        <f t="shared" si="1"/>
        <v>4</v>
      </c>
      <c r="C36">
        <v>24412</v>
      </c>
    </row>
    <row r="37" spans="1:12">
      <c r="A37">
        <v>3</v>
      </c>
      <c r="B37">
        <f t="shared" si="1"/>
        <v>9</v>
      </c>
      <c r="C37">
        <v>25880</v>
      </c>
      <c r="H37" t="s">
        <v>600</v>
      </c>
      <c r="I37">
        <v>3.0675637986333836E-2</v>
      </c>
    </row>
    <row r="38" spans="1:12">
      <c r="A38">
        <v>4</v>
      </c>
      <c r="B38">
        <f t="shared" si="1"/>
        <v>16</v>
      </c>
      <c r="C38">
        <v>27715.852941999998</v>
      </c>
      <c r="H38" t="s">
        <v>601</v>
      </c>
      <c r="I38">
        <v>9.5808095044930385E-3</v>
      </c>
    </row>
    <row r="39" spans="1:12">
      <c r="A39">
        <v>5</v>
      </c>
      <c r="B39">
        <f t="shared" si="1"/>
        <v>25</v>
      </c>
      <c r="C39">
        <v>30641</v>
      </c>
      <c r="H39" t="s">
        <v>602</v>
      </c>
      <c r="I39" s="71">
        <f>B28</f>
        <v>4.9059209390643878E-2</v>
      </c>
    </row>
    <row r="40" spans="1:12">
      <c r="A40">
        <v>6</v>
      </c>
      <c r="B40">
        <f t="shared" si="1"/>
        <v>36</v>
      </c>
      <c r="C40">
        <v>30945</v>
      </c>
      <c r="H40" t="s">
        <v>603</v>
      </c>
      <c r="I40" s="71">
        <f>AVERAGE(AVERAGE(I37:I38),I39)</f>
        <v>3.4593716568028655E-2</v>
      </c>
    </row>
    <row r="41" spans="1:12">
      <c r="A41">
        <v>7</v>
      </c>
      <c r="B41">
        <f t="shared" si="1"/>
        <v>49</v>
      </c>
      <c r="C41">
        <v>31354</v>
      </c>
    </row>
    <row r="42" spans="1:12">
      <c r="A42">
        <v>8</v>
      </c>
      <c r="B42">
        <f t="shared" si="1"/>
        <v>64</v>
      </c>
      <c r="C42">
        <v>34758</v>
      </c>
    </row>
    <row r="45" spans="1:12">
      <c r="A45" t="s">
        <v>563</v>
      </c>
      <c r="K45" t="s">
        <v>563</v>
      </c>
    </row>
    <row r="46" spans="1:12" ht="13.5" thickBot="1"/>
    <row r="47" spans="1:12">
      <c r="A47" s="547" t="s">
        <v>564</v>
      </c>
      <c r="B47" s="547"/>
      <c r="K47" s="547" t="s">
        <v>564</v>
      </c>
      <c r="L47" s="547"/>
    </row>
    <row r="48" spans="1:12">
      <c r="A48" s="544" t="s">
        <v>565</v>
      </c>
      <c r="B48" s="544">
        <v>0.98759910157565589</v>
      </c>
      <c r="K48" s="544" t="s">
        <v>565</v>
      </c>
      <c r="L48" s="544">
        <v>0.98684923875058539</v>
      </c>
    </row>
    <row r="49" spans="1:19">
      <c r="A49" s="544" t="s">
        <v>566</v>
      </c>
      <c r="B49" s="544">
        <v>0.97535198543304269</v>
      </c>
      <c r="K49" s="544" t="s">
        <v>566</v>
      </c>
      <c r="L49" s="544">
        <v>0.97387142002260985</v>
      </c>
    </row>
    <row r="50" spans="1:19">
      <c r="A50" s="544" t="s">
        <v>567</v>
      </c>
      <c r="B50" s="544">
        <v>0.96713598057739025</v>
      </c>
      <c r="K50" s="544" t="s">
        <v>567</v>
      </c>
      <c r="L50" s="544">
        <v>0.97013876574012559</v>
      </c>
    </row>
    <row r="51" spans="1:19">
      <c r="A51" s="544" t="s">
        <v>568</v>
      </c>
      <c r="B51" s="544">
        <v>857.85815578171662</v>
      </c>
      <c r="K51" s="544" t="s">
        <v>568</v>
      </c>
      <c r="L51" s="544">
        <v>817.72828943667002</v>
      </c>
    </row>
    <row r="52" spans="1:19" ht="13.5" thickBot="1">
      <c r="A52" s="545" t="s">
        <v>569</v>
      </c>
      <c r="B52" s="545">
        <v>9</v>
      </c>
      <c r="K52" s="545" t="s">
        <v>569</v>
      </c>
      <c r="L52" s="545">
        <v>9</v>
      </c>
    </row>
    <row r="54" spans="1:19" ht="13.5" thickBot="1">
      <c r="A54" t="s">
        <v>570</v>
      </c>
      <c r="K54" t="s">
        <v>570</v>
      </c>
    </row>
    <row r="55" spans="1:19">
      <c r="A55" s="546"/>
      <c r="B55" s="546" t="s">
        <v>574</v>
      </c>
      <c r="C55" s="546" t="s">
        <v>575</v>
      </c>
      <c r="D55" s="546" t="s">
        <v>576</v>
      </c>
      <c r="E55" s="546" t="s">
        <v>577</v>
      </c>
      <c r="F55" s="546" t="s">
        <v>578</v>
      </c>
      <c r="K55" s="546"/>
      <c r="L55" s="546" t="s">
        <v>574</v>
      </c>
      <c r="M55" s="546" t="s">
        <v>575</v>
      </c>
      <c r="N55" s="546" t="s">
        <v>576</v>
      </c>
      <c r="O55" s="546" t="s">
        <v>577</v>
      </c>
      <c r="P55" s="546" t="s">
        <v>578</v>
      </c>
    </row>
    <row r="56" spans="1:19">
      <c r="A56" s="544" t="s">
        <v>571</v>
      </c>
      <c r="B56" s="544">
        <v>2</v>
      </c>
      <c r="C56" s="544">
        <v>174727655.5947679</v>
      </c>
      <c r="D56" s="544">
        <v>87363827.797383949</v>
      </c>
      <c r="E56" s="544">
        <v>118.71365737594746</v>
      </c>
      <c r="F56" s="544">
        <v>1.4974275735131934E-5</v>
      </c>
      <c r="K56" s="544" t="s">
        <v>571</v>
      </c>
      <c r="L56" s="544">
        <v>1</v>
      </c>
      <c r="M56" s="544">
        <v>174462422.39999998</v>
      </c>
      <c r="N56" s="544">
        <v>174462422.39999998</v>
      </c>
      <c r="O56" s="544">
        <v>260.90587188654456</v>
      </c>
      <c r="P56" s="544">
        <v>8.4781166470970405E-7</v>
      </c>
    </row>
    <row r="57" spans="1:19">
      <c r="A57" s="544" t="s">
        <v>572</v>
      </c>
      <c r="B57" s="544">
        <v>6</v>
      </c>
      <c r="C57" s="544">
        <v>4415523.6926472476</v>
      </c>
      <c r="D57" s="544">
        <v>735920.61544120789</v>
      </c>
      <c r="E57" s="544"/>
      <c r="F57" s="544"/>
      <c r="K57" s="544" t="s">
        <v>572</v>
      </c>
      <c r="L57" s="544">
        <v>7</v>
      </c>
      <c r="M57" s="544">
        <v>4680756.8874151567</v>
      </c>
      <c r="N57" s="544">
        <v>668679.55534502235</v>
      </c>
      <c r="O57" s="544"/>
      <c r="P57" s="544"/>
    </row>
    <row r="58" spans="1:19" ht="13.5" thickBot="1">
      <c r="A58" s="545" t="s">
        <v>5</v>
      </c>
      <c r="B58" s="545">
        <v>8</v>
      </c>
      <c r="C58" s="545">
        <v>179143179.28741515</v>
      </c>
      <c r="D58" s="545"/>
      <c r="E58" s="545"/>
      <c r="F58" s="545"/>
      <c r="K58" s="545" t="s">
        <v>5</v>
      </c>
      <c r="L58" s="545">
        <v>8</v>
      </c>
      <c r="M58" s="545">
        <v>179143179.28741515</v>
      </c>
      <c r="N58" s="545"/>
      <c r="O58" s="545"/>
      <c r="P58" s="545"/>
    </row>
    <row r="59" spans="1:19" ht="13.5" thickBot="1"/>
    <row r="60" spans="1:19">
      <c r="A60" s="546"/>
      <c r="B60" s="546" t="s">
        <v>579</v>
      </c>
      <c r="C60" s="546" t="s">
        <v>568</v>
      </c>
      <c r="D60" s="546" t="s">
        <v>580</v>
      </c>
      <c r="E60" s="546" t="s">
        <v>581</v>
      </c>
      <c r="F60" s="546" t="s">
        <v>582</v>
      </c>
      <c r="G60" s="546" t="s">
        <v>583</v>
      </c>
      <c r="H60" s="546" t="s">
        <v>584</v>
      </c>
      <c r="I60" s="546" t="s">
        <v>585</v>
      </c>
      <c r="K60" s="546"/>
      <c r="L60" s="546" t="s">
        <v>579</v>
      </c>
      <c r="M60" s="546" t="s">
        <v>568</v>
      </c>
      <c r="N60" s="546" t="s">
        <v>580</v>
      </c>
      <c r="O60" s="546" t="s">
        <v>581</v>
      </c>
      <c r="P60" s="546" t="s">
        <v>582</v>
      </c>
      <c r="Q60" s="546" t="s">
        <v>583</v>
      </c>
      <c r="R60" s="546" t="s">
        <v>584</v>
      </c>
      <c r="S60" s="546" t="s">
        <v>585</v>
      </c>
    </row>
    <row r="61" spans="1:19">
      <c r="A61" s="544" t="s">
        <v>573</v>
      </c>
      <c r="B61" s="544">
        <v>20488.849732545455</v>
      </c>
      <c r="C61" s="544">
        <v>697.24717187336421</v>
      </c>
      <c r="D61" s="544">
        <v>29.385346486950962</v>
      </c>
      <c r="E61" s="544">
        <v>1.029494816275418E-7</v>
      </c>
      <c r="F61" s="544">
        <v>18782.747364511208</v>
      </c>
      <c r="G61" s="544">
        <v>22194.952100579703</v>
      </c>
      <c r="H61" s="544">
        <v>18782.747364511208</v>
      </c>
      <c r="I61" s="544">
        <v>22194.952100579703</v>
      </c>
      <c r="K61" s="544" t="s">
        <v>573</v>
      </c>
      <c r="L61" s="544">
        <v>20762.739215777779</v>
      </c>
      <c r="M61" s="544">
        <v>502.6054878964963</v>
      </c>
      <c r="N61" s="544">
        <v>41.310211917251365</v>
      </c>
      <c r="O61" s="544">
        <v>1.2701123460407738E-9</v>
      </c>
      <c r="P61" s="544">
        <v>19574.266090114099</v>
      </c>
      <c r="Q61" s="544">
        <v>21951.21234144146</v>
      </c>
      <c r="R61" s="544">
        <v>19574.266090114099</v>
      </c>
      <c r="S61" s="544">
        <v>21951.21234144146</v>
      </c>
    </row>
    <row r="62" spans="1:19" ht="13.5" thickBot="1">
      <c r="A62" s="544" t="s">
        <v>560</v>
      </c>
      <c r="B62" s="544">
        <v>1939.9624141991335</v>
      </c>
      <c r="C62" s="544">
        <v>406.42823847884341</v>
      </c>
      <c r="D62" s="544">
        <v>4.7731978994863029</v>
      </c>
      <c r="E62" s="544">
        <v>3.0842858773608055E-3</v>
      </c>
      <c r="F62" s="544">
        <v>945.46834082527755</v>
      </c>
      <c r="G62" s="544">
        <v>2934.4564875729893</v>
      </c>
      <c r="H62" s="544">
        <v>945.46834082527755</v>
      </c>
      <c r="I62" s="544">
        <v>2934.4564875729893</v>
      </c>
      <c r="K62" s="545" t="s">
        <v>560</v>
      </c>
      <c r="L62" s="545">
        <v>1705.1999999999998</v>
      </c>
      <c r="M62" s="545">
        <v>105.56826822369671</v>
      </c>
      <c r="N62" s="545">
        <v>16.152580966723075</v>
      </c>
      <c r="O62" s="545">
        <v>8.4781166470970405E-7</v>
      </c>
      <c r="P62" s="545">
        <v>1455.5707127595947</v>
      </c>
      <c r="Q62" s="545">
        <v>1954.8292872404049</v>
      </c>
      <c r="R62" s="545">
        <v>1455.5707127595947</v>
      </c>
      <c r="S62" s="545">
        <v>1954.8292872404049</v>
      </c>
    </row>
    <row r="63" spans="1:19" ht="13.5" thickBot="1">
      <c r="A63" s="545" t="s">
        <v>561</v>
      </c>
      <c r="B63" s="545">
        <v>-29.345301774891627</v>
      </c>
      <c r="C63" s="545">
        <v>48.881004976743142</v>
      </c>
      <c r="D63" s="545">
        <v>-0.60034162122594836</v>
      </c>
      <c r="E63" s="545">
        <v>0.57024303957513278</v>
      </c>
      <c r="F63" s="545">
        <v>-148.95281214836066</v>
      </c>
      <c r="G63" s="545">
        <v>90.262208598577416</v>
      </c>
      <c r="H63" s="545">
        <v>-148.95281214836066</v>
      </c>
      <c r="I63" s="545">
        <v>90.262208598577416</v>
      </c>
    </row>
  </sheetData>
  <mergeCells count="1">
    <mergeCell ref="A1:E1"/>
  </mergeCells>
  <pageMargins left="0.7" right="0.7" top="0.75" bottom="0.75" header="0.3" footer="0.3"/>
  <pageSetup orientation="landscape" r:id="rId1"/>
  <headerFooter scaleWithDoc="0">
    <oddHeader>&amp;RExhibit No. CSH-7
Dockets UE-160228/UG-160229
Page &amp;P of &amp;N</oddHeader>
  </headerFooter>
  <colBreaks count="1" manualBreakCount="1">
    <brk id="10" max="62"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7"/>
  <sheetViews>
    <sheetView tabSelected="1" view="pageBreakPreview" zoomScaleNormal="100" zoomScaleSheetLayoutView="100" workbookViewId="0">
      <selection activeCell="K72" sqref="K72"/>
    </sheetView>
  </sheetViews>
  <sheetFormatPr defaultRowHeight="12.75"/>
  <cols>
    <col min="1" max="1" width="7.140625" customWidth="1"/>
    <col min="2" max="2" width="16.42578125" bestFit="1" customWidth="1"/>
    <col min="3" max="3" width="9.28515625" bestFit="1" customWidth="1"/>
    <col min="4" max="4" width="12.5703125" customWidth="1"/>
    <col min="5" max="5" width="12.140625" style="120" customWidth="1"/>
    <col min="6" max="6" width="13.28515625" style="120" customWidth="1"/>
    <col min="7" max="7" width="11.28515625" bestFit="1" customWidth="1"/>
    <col min="8" max="8" width="13.28515625" style="120" customWidth="1"/>
    <col min="9" max="9" width="11.85546875" bestFit="1" customWidth="1"/>
    <col min="10" max="10" width="9.5703125" customWidth="1"/>
    <col min="11" max="11" width="1.42578125" customWidth="1"/>
    <col min="12" max="12" width="12.7109375" bestFit="1" customWidth="1"/>
    <col min="13" max="13" width="10.5703125" customWidth="1"/>
    <col min="14" max="14" width="8.85546875" customWidth="1"/>
  </cols>
  <sheetData>
    <row r="1" spans="1:12">
      <c r="A1" s="144" t="s">
        <v>43</v>
      </c>
      <c r="H1"/>
    </row>
    <row r="2" spans="1:12">
      <c r="A2" s="144" t="s">
        <v>84</v>
      </c>
      <c r="H2"/>
    </row>
    <row r="3" spans="1:12">
      <c r="A3" s="595" t="s">
        <v>85</v>
      </c>
      <c r="B3" s="595"/>
      <c r="C3" s="595"/>
      <c r="D3" s="595"/>
      <c r="E3" s="595"/>
      <c r="F3" s="595"/>
      <c r="G3" s="595"/>
      <c r="H3" s="595"/>
      <c r="I3" s="595"/>
      <c r="J3" s="595"/>
    </row>
    <row r="4" spans="1:12">
      <c r="A4" s="594" t="s">
        <v>556</v>
      </c>
      <c r="B4" s="594"/>
      <c r="C4" s="594"/>
      <c r="D4" s="594"/>
      <c r="E4" s="594"/>
      <c r="F4" s="594"/>
      <c r="G4" s="594"/>
      <c r="H4" s="594"/>
      <c r="I4" s="594"/>
      <c r="J4" s="594"/>
    </row>
    <row r="6" spans="1:12">
      <c r="E6" s="294" t="s">
        <v>100</v>
      </c>
      <c r="F6" s="121"/>
      <c r="G6" s="41" t="s">
        <v>97</v>
      </c>
    </row>
    <row r="7" spans="1:12">
      <c r="A7" s="40" t="s">
        <v>0</v>
      </c>
      <c r="D7" s="41" t="s">
        <v>97</v>
      </c>
      <c r="E7" s="294" t="s">
        <v>101</v>
      </c>
      <c r="F7" s="294" t="s">
        <v>102</v>
      </c>
      <c r="G7" s="41" t="s">
        <v>98</v>
      </c>
      <c r="H7" s="294" t="s">
        <v>100</v>
      </c>
      <c r="J7" s="41" t="s">
        <v>108</v>
      </c>
      <c r="K7" s="41"/>
    </row>
    <row r="8" spans="1:12">
      <c r="A8" s="43" t="s">
        <v>2</v>
      </c>
      <c r="B8" s="69" t="s">
        <v>88</v>
      </c>
      <c r="C8" s="69" t="s">
        <v>89</v>
      </c>
      <c r="D8" s="43" t="s">
        <v>98</v>
      </c>
      <c r="E8" s="295" t="s">
        <v>455</v>
      </c>
      <c r="F8" s="122" t="s">
        <v>464</v>
      </c>
      <c r="G8" s="43" t="s">
        <v>103</v>
      </c>
      <c r="H8" s="299" t="s">
        <v>455</v>
      </c>
      <c r="I8" s="43" t="s">
        <v>107</v>
      </c>
      <c r="J8" s="43" t="s">
        <v>103</v>
      </c>
      <c r="K8" s="43"/>
    </row>
    <row r="9" spans="1:12">
      <c r="A9" s="43"/>
      <c r="B9" s="41" t="s">
        <v>109</v>
      </c>
      <c r="C9" s="41" t="s">
        <v>110</v>
      </c>
      <c r="D9" s="41" t="s">
        <v>111</v>
      </c>
      <c r="E9" s="294" t="s">
        <v>112</v>
      </c>
      <c r="F9" s="294" t="s">
        <v>113</v>
      </c>
      <c r="G9" s="41" t="s">
        <v>114</v>
      </c>
      <c r="H9" s="294" t="s">
        <v>115</v>
      </c>
      <c r="I9" s="41" t="s">
        <v>116</v>
      </c>
      <c r="J9" s="41" t="s">
        <v>117</v>
      </c>
      <c r="K9" s="41"/>
    </row>
    <row r="10" spans="1:12">
      <c r="A10" s="43"/>
      <c r="B10" s="69"/>
      <c r="C10" s="69"/>
      <c r="D10" s="43"/>
      <c r="E10" s="122"/>
      <c r="F10" s="122"/>
      <c r="G10" s="43"/>
    </row>
    <row r="11" spans="1:12">
      <c r="A11" s="40">
        <v>1</v>
      </c>
      <c r="B11" t="s">
        <v>86</v>
      </c>
      <c r="C11" s="40">
        <v>101</v>
      </c>
      <c r="D11" s="70" t="s">
        <v>104</v>
      </c>
      <c r="E11" s="116">
        <f>'09.2015 Revenue Model'!D25</f>
        <v>1807677</v>
      </c>
      <c r="F11" s="116">
        <f>'Forecast Bill Determinants'!E35</f>
        <v>1863376.4342</v>
      </c>
      <c r="G11" s="89">
        <f>(F11-E11)/E11</f>
        <v>3.0812713886385686E-2</v>
      </c>
      <c r="H11" s="117">
        <f>'09.2015 Revenue Model'!D106</f>
        <v>16269093</v>
      </c>
      <c r="I11" s="89">
        <f>H11/H$20</f>
        <v>0.19354774921360679</v>
      </c>
      <c r="J11" s="89">
        <f>G11*I11</f>
        <v>5.9637314198727961E-3</v>
      </c>
      <c r="K11" s="89"/>
      <c r="L11" s="305">
        <f>H$20*J11</f>
        <v>501294.90780000022</v>
      </c>
    </row>
    <row r="12" spans="1:12">
      <c r="A12" s="40">
        <v>2</v>
      </c>
      <c r="B12" t="s">
        <v>87</v>
      </c>
      <c r="C12" s="41" t="s">
        <v>91</v>
      </c>
      <c r="D12" s="70" t="s">
        <v>104</v>
      </c>
      <c r="E12" s="116">
        <f>'09.2015 Revenue Model'!E26</f>
        <v>31406</v>
      </c>
      <c r="F12" s="116">
        <f>'Forecast Bill Determinants'!E36</f>
        <v>32623.164000000001</v>
      </c>
      <c r="G12" s="89">
        <f t="shared" ref="G12:G23" si="0">(F12-E12)/E12</f>
        <v>3.8755779150480819E-2</v>
      </c>
      <c r="H12" s="117">
        <f>'09.2015 Revenue Model'!E107</f>
        <v>3185824.64</v>
      </c>
      <c r="I12" s="89">
        <f t="shared" ref="I12:I19" si="1">H12/H$20</f>
        <v>3.7900649314700524E-2</v>
      </c>
      <c r="J12" s="89">
        <f t="shared" ref="J12:J26" si="2">G12*I12</f>
        <v>1.4688691945003557E-3</v>
      </c>
      <c r="K12" s="89"/>
      <c r="L12" s="305">
        <f t="shared" ref="L12:L19" si="3">H$20*J12</f>
        <v>123469.11616000006</v>
      </c>
    </row>
    <row r="13" spans="1:12">
      <c r="A13" s="40">
        <v>3</v>
      </c>
      <c r="B13" s="70" t="s">
        <v>90</v>
      </c>
      <c r="C13" s="41" t="s">
        <v>92</v>
      </c>
      <c r="D13" s="70" t="s">
        <v>104</v>
      </c>
      <c r="E13" s="116">
        <f>'09.2015 Revenue Model'!F26</f>
        <v>324</v>
      </c>
      <c r="F13" s="116">
        <f>'Forecast Bill Determinants'!E37</f>
        <v>334.46025072362829</v>
      </c>
      <c r="G13" s="89">
        <f t="shared" si="0"/>
        <v>3.2284724455642878E-2</v>
      </c>
      <c r="H13" s="117">
        <f>'09.2015 Revenue Model'!F107</f>
        <v>81738.720000000001</v>
      </c>
      <c r="I13" s="89">
        <f t="shared" si="1"/>
        <v>9.7241716422674727E-4</v>
      </c>
      <c r="J13" s="89">
        <f t="shared" si="2"/>
        <v>3.1394220202998168E-5</v>
      </c>
      <c r="K13" s="89"/>
      <c r="L13" s="305">
        <f t="shared" si="3"/>
        <v>2638.912052556946</v>
      </c>
    </row>
    <row r="14" spans="1:12">
      <c r="A14" s="40">
        <v>4</v>
      </c>
      <c r="B14" s="70" t="s">
        <v>93</v>
      </c>
      <c r="C14" s="41" t="s">
        <v>94</v>
      </c>
      <c r="D14" s="70" t="s">
        <v>104</v>
      </c>
      <c r="E14" s="116">
        <f>'09.2015 Revenue Model'!G25</f>
        <v>24</v>
      </c>
      <c r="F14" s="116">
        <f>'Forecast Bill Determinants'!E38</f>
        <v>24</v>
      </c>
      <c r="G14" s="89">
        <f t="shared" si="0"/>
        <v>0</v>
      </c>
      <c r="H14" s="117">
        <f>'09.2015 Revenue Model'!G106+'09.2015 Revenue Model'!G107</f>
        <v>0</v>
      </c>
      <c r="I14" s="89">
        <f t="shared" si="1"/>
        <v>0</v>
      </c>
      <c r="J14" s="89">
        <f t="shared" si="2"/>
        <v>0</v>
      </c>
      <c r="K14" s="89"/>
      <c r="L14" s="305">
        <f t="shared" si="3"/>
        <v>0</v>
      </c>
    </row>
    <row r="15" spans="1:12">
      <c r="A15" s="40"/>
      <c r="B15" s="70"/>
      <c r="C15" s="41"/>
      <c r="D15" s="70"/>
      <c r="E15" s="116"/>
      <c r="F15" s="116"/>
      <c r="G15" s="89"/>
      <c r="H15" s="117"/>
      <c r="I15" s="89"/>
      <c r="J15" s="89"/>
      <c r="K15" s="89"/>
      <c r="L15" s="305"/>
    </row>
    <row r="16" spans="1:12">
      <c r="A16" s="40">
        <v>5</v>
      </c>
      <c r="B16" s="104" t="s">
        <v>86</v>
      </c>
      <c r="C16" s="112">
        <v>101</v>
      </c>
      <c r="D16" s="437" t="s">
        <v>99</v>
      </c>
      <c r="E16" s="296">
        <f>'09.2015 Revenue Model'!D23</f>
        <v>119361175.57957</v>
      </c>
      <c r="F16" s="304">
        <f>'Forecast Bill Determinants'!E5</f>
        <v>121367845.59522887</v>
      </c>
      <c r="G16" s="119">
        <f t="shared" si="0"/>
        <v>1.6811748090744628E-2</v>
      </c>
      <c r="H16" s="123">
        <f>H29-H11</f>
        <v>51084521.179999992</v>
      </c>
      <c r="I16" s="119">
        <f t="shared" si="1"/>
        <v>0.60773480697687465</v>
      </c>
      <c r="J16" s="119">
        <f>G16*I16</f>
        <v>1.0217084480872527E-2</v>
      </c>
      <c r="K16" s="119"/>
      <c r="L16" s="438">
        <f t="shared" si="3"/>
        <v>858820.10141446837</v>
      </c>
    </row>
    <row r="17" spans="1:12">
      <c r="A17" s="40">
        <v>6</v>
      </c>
      <c r="B17" t="s">
        <v>87</v>
      </c>
      <c r="C17" s="41" t="s">
        <v>91</v>
      </c>
      <c r="D17" s="70" t="s">
        <v>99</v>
      </c>
      <c r="E17" s="297">
        <f>'09.2015 Revenue Model'!E23</f>
        <v>47375864.380050004</v>
      </c>
      <c r="F17" s="303">
        <f>'Forecast Bill Determinants'!E6</f>
        <v>49340681.409045003</v>
      </c>
      <c r="G17" s="89">
        <f t="shared" si="0"/>
        <v>4.1472953680236915E-2</v>
      </c>
      <c r="H17" s="117">
        <f>H30-H12</f>
        <v>12037804.960000001</v>
      </c>
      <c r="I17" s="89">
        <f t="shared" si="1"/>
        <v>0.14320958491542166</v>
      </c>
      <c r="J17" s="89">
        <f>G17*I17</f>
        <v>5.939324481763238E-3</v>
      </c>
      <c r="K17" s="89"/>
      <c r="L17" s="305">
        <f t="shared" si="3"/>
        <v>499243.32751780626</v>
      </c>
    </row>
    <row r="18" spans="1:12">
      <c r="A18" s="40">
        <v>7</v>
      </c>
      <c r="B18" s="70" t="s">
        <v>90</v>
      </c>
      <c r="C18" s="41" t="s">
        <v>92</v>
      </c>
      <c r="D18" s="70" t="s">
        <v>99</v>
      </c>
      <c r="E18" s="297">
        <f>'09.2015 Revenue Model'!F23</f>
        <v>5175510.3749999991</v>
      </c>
      <c r="F18" s="303">
        <f>'Forecast Bill Determinants'!E7</f>
        <v>5903971.1833627746</v>
      </c>
      <c r="G18" s="89">
        <f t="shared" si="0"/>
        <v>0.14075149223573447</v>
      </c>
      <c r="H18" s="117">
        <f>H31-H13</f>
        <v>1202620.6599999997</v>
      </c>
      <c r="I18" s="89">
        <f t="shared" si="1"/>
        <v>1.4307160325457738E-2</v>
      </c>
      <c r="J18" s="89">
        <f>G18*I18</f>
        <v>2.013754165464073E-3</v>
      </c>
      <c r="K18" s="89"/>
      <c r="L18" s="305">
        <f t="shared" si="3"/>
        <v>169270.6524885238</v>
      </c>
    </row>
    <row r="19" spans="1:12">
      <c r="A19" s="40">
        <v>8</v>
      </c>
      <c r="B19" s="70" t="s">
        <v>93</v>
      </c>
      <c r="C19" s="41" t="s">
        <v>94</v>
      </c>
      <c r="D19" s="70" t="s">
        <v>99</v>
      </c>
      <c r="E19" s="298">
        <f>'09.2015 Revenue Model'!G23</f>
        <v>931617</v>
      </c>
      <c r="F19" s="302">
        <f>'Forecast Bill Determinants'!E8</f>
        <v>953451.69759650994</v>
      </c>
      <c r="G19" s="89">
        <f>(F19-E19)/E19</f>
        <v>2.3437418592093039E-2</v>
      </c>
      <c r="H19" s="117">
        <f>H32-H14</f>
        <v>195654.37000000002</v>
      </c>
      <c r="I19" s="119">
        <f t="shared" si="1"/>
        <v>2.3276320897118378E-3</v>
      </c>
      <c r="J19" s="119">
        <f>G19*I19</f>
        <v>5.4553687614964599E-5</v>
      </c>
      <c r="K19" s="119"/>
      <c r="L19" s="305">
        <f t="shared" si="3"/>
        <v>4585.6333690622505</v>
      </c>
    </row>
    <row r="20" spans="1:12" ht="13.5" thickBot="1">
      <c r="A20" s="40">
        <v>9</v>
      </c>
      <c r="B20" s="439" t="s">
        <v>106</v>
      </c>
      <c r="C20" s="440"/>
      <c r="D20" s="439"/>
      <c r="E20" s="441">
        <f>SUM(E16:E19)</f>
        <v>172844167.33462</v>
      </c>
      <c r="F20" s="340">
        <f>SUM(F16:F19)</f>
        <v>177565949.88523316</v>
      </c>
      <c r="G20" s="442"/>
      <c r="H20" s="300">
        <f>SUM(H11:H19)</f>
        <v>84057257.530000001</v>
      </c>
      <c r="I20" s="442">
        <f>SUM(I11:I19)</f>
        <v>1</v>
      </c>
      <c r="J20" s="443">
        <f>SUM(J11:J19)</f>
        <v>2.5688711650290949E-2</v>
      </c>
      <c r="K20" s="442"/>
      <c r="L20" s="306">
        <f>SUM(L11:L19)</f>
        <v>2159322.6508024177</v>
      </c>
    </row>
    <row r="21" spans="1:12" ht="13.5" thickTop="1">
      <c r="A21" s="40"/>
      <c r="B21" s="437"/>
      <c r="C21" s="106"/>
      <c r="D21" s="437"/>
      <c r="E21" s="444"/>
      <c r="F21" s="444"/>
      <c r="G21" s="119"/>
      <c r="H21" s="123"/>
      <c r="I21" s="119"/>
      <c r="J21" s="119"/>
      <c r="K21" s="119"/>
      <c r="L21" s="104"/>
    </row>
    <row r="22" spans="1:12">
      <c r="A22" s="40">
        <v>10</v>
      </c>
      <c r="B22" s="70" t="s">
        <v>95</v>
      </c>
      <c r="C22" s="40">
        <v>146</v>
      </c>
      <c r="D22" s="70" t="s">
        <v>104</v>
      </c>
      <c r="E22" s="116">
        <f>'09.2015 Revenue Model'!H25</f>
        <v>456</v>
      </c>
      <c r="F22" s="116">
        <f>'Forecast Bill Determinants'!E39</f>
        <v>479.067365471122</v>
      </c>
      <c r="G22" s="89">
        <f t="shared" si="0"/>
        <v>5.0586327787548249E-2</v>
      </c>
      <c r="H22" s="117">
        <f>'09.2015 Revenue Model'!H106+'09.2015 Revenue Model'!H107</f>
        <v>270633.12985000003</v>
      </c>
      <c r="I22" s="89">
        <f>H22/H$27</f>
        <v>6.1279965664594024E-2</v>
      </c>
      <c r="J22" s="89">
        <f t="shared" si="2"/>
        <v>3.0999284299188553E-3</v>
      </c>
      <c r="K22" s="89"/>
      <c r="L22" s="305">
        <f>H$27*J22</f>
        <v>13690.336216762211</v>
      </c>
    </row>
    <row r="23" spans="1:12">
      <c r="A23" s="40">
        <v>11</v>
      </c>
      <c r="B23" s="70" t="s">
        <v>96</v>
      </c>
      <c r="C23" s="40">
        <v>148</v>
      </c>
      <c r="D23" s="70" t="s">
        <v>104</v>
      </c>
      <c r="E23" s="116">
        <f>'09.2015 Revenue Model'!I25+'09.2015 Revenue Model'!J25</f>
        <v>60</v>
      </c>
      <c r="F23" s="116">
        <f>'Forecast Bill Determinants'!E40</f>
        <v>63.227025536396262</v>
      </c>
      <c r="G23" s="89">
        <f t="shared" si="0"/>
        <v>5.3783758939937698E-2</v>
      </c>
      <c r="H23" s="117">
        <f>'09.2015 Revenue Model'!I106+'09.2015 Revenue Model'!J106</f>
        <v>325584</v>
      </c>
      <c r="I23" s="89">
        <f>H23/H$27</f>
        <v>7.372259394849244E-2</v>
      </c>
      <c r="J23" s="89">
        <f t="shared" si="2"/>
        <v>3.9650782213526276E-3</v>
      </c>
      <c r="K23" s="89"/>
      <c r="L23" s="305">
        <f>H$27*J23</f>
        <v>17511.131370700678</v>
      </c>
    </row>
    <row r="24" spans="1:12">
      <c r="A24" s="40"/>
      <c r="B24" s="70"/>
      <c r="C24" s="40"/>
      <c r="D24" s="70"/>
      <c r="E24" s="116"/>
      <c r="F24" s="116"/>
      <c r="G24" s="89"/>
      <c r="H24" s="117"/>
      <c r="I24" s="89"/>
      <c r="J24" s="89"/>
      <c r="K24" s="89"/>
      <c r="L24" s="305"/>
    </row>
    <row r="25" spans="1:12">
      <c r="A25" s="40">
        <v>12</v>
      </c>
      <c r="B25" s="437" t="s">
        <v>95</v>
      </c>
      <c r="C25" s="112">
        <v>146</v>
      </c>
      <c r="D25" s="437" t="s">
        <v>99</v>
      </c>
      <c r="E25" s="296">
        <f>'09.2015 Revenue Model'!H23</f>
        <v>29762848</v>
      </c>
      <c r="F25" s="304">
        <f>'Forecast Bill Determinants'!E9</f>
        <v>29444696.720373489</v>
      </c>
      <c r="G25" s="119">
        <f>(F25-E25)/E25</f>
        <v>-1.068954421386391E-2</v>
      </c>
      <c r="H25" s="123">
        <f>H33-H22</f>
        <v>2558061.8499999996</v>
      </c>
      <c r="I25" s="119">
        <f>H25/H$27</f>
        <v>0.57922672816440413</v>
      </c>
      <c r="J25" s="119">
        <f t="shared" si="2"/>
        <v>-6.1916697205651296E-3</v>
      </c>
      <c r="K25" s="119"/>
      <c r="L25" s="438">
        <f>H$27*J25</f>
        <v>-27344.515247373503</v>
      </c>
    </row>
    <row r="26" spans="1:12">
      <c r="A26" s="40">
        <v>13</v>
      </c>
      <c r="B26" s="79" t="s">
        <v>96</v>
      </c>
      <c r="C26" s="78">
        <v>148</v>
      </c>
      <c r="D26" s="79" t="s">
        <v>99</v>
      </c>
      <c r="E26" s="298">
        <f>'09.2015 Revenue Model'!I23+'09.2015 Revenue Model'!J23</f>
        <v>48141846</v>
      </c>
      <c r="F26" s="302">
        <f>'Forecast Bill Determinants'!E10</f>
        <v>48255353</v>
      </c>
      <c r="G26" s="118">
        <f>(F26-E26)/E26</f>
        <v>2.3577616861638418E-3</v>
      </c>
      <c r="H26" s="301">
        <f>H34-H23</f>
        <v>1262060.4699999997</v>
      </c>
      <c r="I26" s="118">
        <f>H26/H$27</f>
        <v>0.28577071222250944</v>
      </c>
      <c r="J26" s="118">
        <f t="shared" si="2"/>
        <v>6.7377923630598585E-4</v>
      </c>
      <c r="K26" s="118"/>
      <c r="L26" s="445">
        <f>H$27*J26</f>
        <v>2975.6378217879305</v>
      </c>
    </row>
    <row r="27" spans="1:12">
      <c r="A27" s="40">
        <v>14</v>
      </c>
      <c r="B27" s="70" t="s">
        <v>106</v>
      </c>
      <c r="C27" s="40"/>
      <c r="D27" s="70"/>
      <c r="E27" s="298">
        <f>SUM(E25:E26)</f>
        <v>77904694</v>
      </c>
      <c r="F27" s="302">
        <f>SUM(F25:F26)</f>
        <v>77700049.720373482</v>
      </c>
      <c r="G27" s="89"/>
      <c r="H27" s="117">
        <f>SUM(H22:H26)</f>
        <v>4416339.4498499995</v>
      </c>
      <c r="I27" s="89">
        <f>SUM(I22:I26)</f>
        <v>1</v>
      </c>
      <c r="J27" s="446">
        <f>SUM(J22:J26)</f>
        <v>1.5471161670123396E-3</v>
      </c>
      <c r="K27" s="119"/>
      <c r="L27" s="438">
        <f>SUM(L22:L26)</f>
        <v>6832.590161877315</v>
      </c>
    </row>
    <row r="28" spans="1:12">
      <c r="A28" s="40"/>
      <c r="E28" s="116"/>
      <c r="G28" s="120"/>
      <c r="H28" s="117"/>
      <c r="I28" s="120"/>
      <c r="J28" s="120"/>
      <c r="K28" s="120"/>
    </row>
    <row r="29" spans="1:12">
      <c r="A29" s="40">
        <v>15</v>
      </c>
      <c r="B29" t="s">
        <v>86</v>
      </c>
      <c r="C29" s="40">
        <v>101</v>
      </c>
      <c r="D29" t="s">
        <v>105</v>
      </c>
      <c r="E29" s="116"/>
      <c r="G29" s="120"/>
      <c r="H29" s="117">
        <f>'09.2015 Revenue Model'!D145</f>
        <v>67353614.179999992</v>
      </c>
      <c r="L29" s="305">
        <f>L11+L16</f>
        <v>1360115.0092144685</v>
      </c>
    </row>
    <row r="30" spans="1:12">
      <c r="A30" s="40">
        <v>16</v>
      </c>
      <c r="B30" t="s">
        <v>87</v>
      </c>
      <c r="C30" s="41" t="s">
        <v>91</v>
      </c>
      <c r="D30" t="s">
        <v>105</v>
      </c>
      <c r="G30" s="120"/>
      <c r="H30" s="117">
        <f>'09.2015 Revenue Model'!E145</f>
        <v>15223629.600000001</v>
      </c>
      <c r="L30" s="305">
        <f t="shared" ref="L30:L32" si="4">L12+L17</f>
        <v>622712.4436778063</v>
      </c>
    </row>
    <row r="31" spans="1:12">
      <c r="A31" s="40">
        <v>17</v>
      </c>
      <c r="B31" s="70" t="s">
        <v>90</v>
      </c>
      <c r="C31" s="41" t="s">
        <v>92</v>
      </c>
      <c r="D31" t="s">
        <v>105</v>
      </c>
      <c r="G31" s="120"/>
      <c r="H31" s="117">
        <f>'09.2015 Revenue Model'!F145</f>
        <v>1284359.3799999997</v>
      </c>
      <c r="L31" s="305">
        <f t="shared" si="4"/>
        <v>171909.56454108076</v>
      </c>
    </row>
    <row r="32" spans="1:12">
      <c r="A32" s="40">
        <v>18</v>
      </c>
      <c r="B32" s="70" t="s">
        <v>93</v>
      </c>
      <c r="C32" s="41" t="s">
        <v>94</v>
      </c>
      <c r="D32" t="s">
        <v>105</v>
      </c>
      <c r="G32" s="120"/>
      <c r="H32" s="117">
        <f>'09.2015 Revenue Model'!G145</f>
        <v>195654.37000000002</v>
      </c>
      <c r="L32" s="305">
        <f t="shared" si="4"/>
        <v>4585.6333690622505</v>
      </c>
    </row>
    <row r="33" spans="1:12">
      <c r="A33" s="40">
        <v>19</v>
      </c>
      <c r="B33" s="70" t="s">
        <v>95</v>
      </c>
      <c r="C33" s="40">
        <v>146</v>
      </c>
      <c r="D33" t="s">
        <v>105</v>
      </c>
      <c r="G33" s="120"/>
      <c r="H33" s="117">
        <f>'09.2015 Revenue Model'!H145</f>
        <v>2828694.9798499998</v>
      </c>
      <c r="I33" s="120"/>
      <c r="J33" s="120"/>
      <c r="K33" s="120"/>
      <c r="L33" s="305">
        <f>L22+L25</f>
        <v>-13654.179030611293</v>
      </c>
    </row>
    <row r="34" spans="1:12">
      <c r="A34" s="40">
        <v>20</v>
      </c>
      <c r="B34" s="70" t="s">
        <v>96</v>
      </c>
      <c r="C34" s="40">
        <v>148</v>
      </c>
      <c r="D34" t="s">
        <v>105</v>
      </c>
      <c r="G34" s="120"/>
      <c r="H34" s="301">
        <f>'09.2015 Revenue Model'!I145+'09.2015 Revenue Model'!J145</f>
        <v>1587644.4699999997</v>
      </c>
      <c r="I34" s="120"/>
      <c r="J34" s="120"/>
      <c r="K34" s="120"/>
      <c r="L34" s="305">
        <f>L23+L26</f>
        <v>20486.769192488609</v>
      </c>
    </row>
    <row r="35" spans="1:12">
      <c r="A35" s="40">
        <v>21</v>
      </c>
      <c r="B35" s="70" t="s">
        <v>106</v>
      </c>
      <c r="G35" s="120"/>
      <c r="H35" s="117">
        <f>SUM(H29:H34)</f>
        <v>88473596.979849994</v>
      </c>
      <c r="I35" s="89"/>
      <c r="J35" s="120"/>
      <c r="K35" s="120"/>
      <c r="L35" s="300">
        <f>SUM(L29:L34)</f>
        <v>2166155.2409642949</v>
      </c>
    </row>
    <row r="36" spans="1:12">
      <c r="E36"/>
      <c r="F36"/>
      <c r="H36"/>
    </row>
    <row r="37" spans="1:12">
      <c r="E37"/>
      <c r="F37"/>
      <c r="H37"/>
    </row>
    <row r="38" spans="1:12">
      <c r="E38"/>
      <c r="F38"/>
      <c r="H38"/>
    </row>
    <row r="39" spans="1:12">
      <c r="E39"/>
      <c r="F39"/>
      <c r="H39"/>
    </row>
    <row r="40" spans="1:12">
      <c r="E40"/>
      <c r="F40"/>
      <c r="H40"/>
    </row>
    <row r="41" spans="1:12">
      <c r="E41"/>
      <c r="F41"/>
      <c r="H41"/>
    </row>
    <row r="42" spans="1:12">
      <c r="E42"/>
      <c r="F42"/>
      <c r="H42"/>
    </row>
    <row r="43" spans="1:12">
      <c r="E43"/>
      <c r="F43"/>
      <c r="H43"/>
    </row>
    <row r="44" spans="1:12">
      <c r="E44"/>
      <c r="F44"/>
      <c r="H44"/>
    </row>
    <row r="45" spans="1:12">
      <c r="E45"/>
      <c r="F45"/>
      <c r="H45"/>
    </row>
    <row r="46" spans="1:12">
      <c r="E46"/>
      <c r="F46"/>
      <c r="H46"/>
    </row>
    <row r="193" spans="7:7">
      <c r="G193" s="120"/>
    </row>
    <row r="194" spans="7:7">
      <c r="G194" s="120"/>
    </row>
    <row r="195" spans="7:7">
      <c r="G195" s="120"/>
    </row>
    <row r="196" spans="7:7">
      <c r="G196" s="120"/>
    </row>
    <row r="197" spans="7:7">
      <c r="G197" s="120"/>
    </row>
    <row r="198" spans="7:7">
      <c r="G198" s="120"/>
    </row>
    <row r="199" spans="7:7">
      <c r="G199" s="120"/>
    </row>
    <row r="200" spans="7:7">
      <c r="G200" s="120"/>
    </row>
    <row r="201" spans="7:7">
      <c r="G201" s="120"/>
    </row>
    <row r="202" spans="7:7">
      <c r="G202" s="120"/>
    </row>
    <row r="203" spans="7:7">
      <c r="G203" s="120"/>
    </row>
    <row r="204" spans="7:7">
      <c r="G204" s="120"/>
    </row>
    <row r="205" spans="7:7">
      <c r="G205" s="120"/>
    </row>
    <row r="206" spans="7:7">
      <c r="G206" s="120"/>
    </row>
    <row r="207" spans="7:7">
      <c r="G207" s="120"/>
    </row>
  </sheetData>
  <mergeCells count="2">
    <mergeCell ref="A4:J4"/>
    <mergeCell ref="A3:J3"/>
  </mergeCells>
  <pageMargins left="0.7" right="0.7" top="0.75" bottom="0.75" header="0.3" footer="0.3"/>
  <pageSetup scale="95" orientation="landscape" r:id="rId1"/>
  <headerFooter scaleWithDoc="0">
    <oddHeader>&amp;RExhibit No. CSH-7
Dockets UE-160228/UG-160229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S64"/>
  <sheetViews>
    <sheetView tabSelected="1" view="pageBreakPreview" zoomScale="115" zoomScaleNormal="100" zoomScaleSheetLayoutView="115" workbookViewId="0">
      <selection activeCell="K72" sqref="K72"/>
    </sheetView>
  </sheetViews>
  <sheetFormatPr defaultRowHeight="12.75"/>
  <cols>
    <col min="1" max="1" width="19.7109375" customWidth="1"/>
  </cols>
  <sheetData>
    <row r="1" spans="1:10">
      <c r="A1" s="593" t="s">
        <v>607</v>
      </c>
      <c r="B1" s="593"/>
      <c r="C1" s="593"/>
      <c r="D1" s="593"/>
      <c r="E1" s="593"/>
      <c r="F1" s="593"/>
      <c r="G1" s="593"/>
      <c r="J1" s="541" t="s">
        <v>532</v>
      </c>
    </row>
    <row r="2" spans="1:10">
      <c r="B2" s="351">
        <v>2007</v>
      </c>
      <c r="C2" s="351">
        <v>2008</v>
      </c>
      <c r="D2" s="351">
        <v>2009</v>
      </c>
      <c r="E2" s="351">
        <v>2010</v>
      </c>
      <c r="F2" s="351">
        <v>2011</v>
      </c>
      <c r="G2" s="351">
        <v>2012</v>
      </c>
      <c r="H2" s="351">
        <v>2013</v>
      </c>
      <c r="I2" s="351">
        <v>2014</v>
      </c>
      <c r="J2" s="433">
        <v>2015</v>
      </c>
    </row>
    <row r="3" spans="1:10">
      <c r="A3" t="s">
        <v>434</v>
      </c>
      <c r="B3" s="44">
        <f>'Cost Trends'!M150</f>
        <v>13</v>
      </c>
      <c r="C3" s="44">
        <f>'Cost Trends'!N150</f>
        <v>75</v>
      </c>
      <c r="D3" s="44">
        <f>'Cost Trends'!O150</f>
        <v>93</v>
      </c>
      <c r="E3" s="44">
        <f>'Cost Trends'!P150</f>
        <v>64</v>
      </c>
      <c r="F3" s="44">
        <f>'Cost Trends'!Q150</f>
        <v>47</v>
      </c>
      <c r="G3" s="44">
        <f>'Cost Trends'!R150</f>
        <v>285</v>
      </c>
      <c r="H3" s="44">
        <f>'Cost Trends'!S150</f>
        <v>403</v>
      </c>
      <c r="I3" s="44">
        <f>'Cost Trends'!T150</f>
        <v>332</v>
      </c>
      <c r="J3" s="116">
        <f>'Cost Trends'!U150</f>
        <v>215</v>
      </c>
    </row>
    <row r="4" spans="1:10">
      <c r="B4" s="351">
        <f>B2-2007</f>
        <v>0</v>
      </c>
      <c r="C4" s="351">
        <f t="shared" ref="C4:J4" si="0">C2-2007</f>
        <v>1</v>
      </c>
      <c r="D4" s="351">
        <f t="shared" si="0"/>
        <v>2</v>
      </c>
      <c r="E4" s="351">
        <f t="shared" si="0"/>
        <v>3</v>
      </c>
      <c r="F4" s="351">
        <f t="shared" si="0"/>
        <v>4</v>
      </c>
      <c r="G4" s="351">
        <f t="shared" si="0"/>
        <v>5</v>
      </c>
      <c r="H4" s="351">
        <f t="shared" si="0"/>
        <v>6</v>
      </c>
      <c r="I4" s="351">
        <f t="shared" si="0"/>
        <v>7</v>
      </c>
      <c r="J4" s="433">
        <f t="shared" si="0"/>
        <v>8</v>
      </c>
    </row>
    <row r="5" spans="1:10">
      <c r="B5" s="44">
        <f>B3</f>
        <v>13</v>
      </c>
      <c r="C5" s="44">
        <f t="shared" ref="C5:J5" si="1">C3</f>
        <v>75</v>
      </c>
      <c r="D5" s="44">
        <f t="shared" si="1"/>
        <v>93</v>
      </c>
      <c r="E5" s="44">
        <f t="shared" si="1"/>
        <v>64</v>
      </c>
      <c r="F5" s="44">
        <f t="shared" si="1"/>
        <v>47</v>
      </c>
      <c r="G5" s="44">
        <f t="shared" si="1"/>
        <v>285</v>
      </c>
      <c r="H5" s="44">
        <f t="shared" si="1"/>
        <v>403</v>
      </c>
      <c r="I5" s="44">
        <f t="shared" si="1"/>
        <v>332</v>
      </c>
      <c r="J5" s="44">
        <f t="shared" si="1"/>
        <v>215</v>
      </c>
    </row>
    <row r="7" spans="1:10">
      <c r="A7" t="s">
        <v>608</v>
      </c>
      <c r="D7">
        <f>L63</f>
        <v>40.333333333333321</v>
      </c>
    </row>
    <row r="8" spans="1:10">
      <c r="A8" t="s">
        <v>435</v>
      </c>
      <c r="B8" s="71"/>
      <c r="C8" s="71"/>
      <c r="D8" s="71">
        <f>D7/J3</f>
        <v>0.18759689922480616</v>
      </c>
    </row>
    <row r="9" spans="1:10">
      <c r="A9" t="s">
        <v>595</v>
      </c>
      <c r="B9" s="71"/>
      <c r="C9" s="71"/>
      <c r="D9" s="71">
        <f>D8*2.5</f>
        <v>0.46899224806201539</v>
      </c>
      <c r="E9" t="s">
        <v>590</v>
      </c>
    </row>
    <row r="35" spans="1:12">
      <c r="A35" t="s">
        <v>560</v>
      </c>
      <c r="B35" t="s">
        <v>561</v>
      </c>
      <c r="C35" t="str">
        <f>A3</f>
        <v>Adj. Other Revenue</v>
      </c>
    </row>
    <row r="36" spans="1:12">
      <c r="A36">
        <f t="array" ref="A36:A44">TRANSPOSE(B4:J4)</f>
        <v>0</v>
      </c>
      <c r="B36">
        <f>A36^2</f>
        <v>0</v>
      </c>
      <c r="C36">
        <f t="array" ref="C36:C44">TRANSPOSE(B5:J5)</f>
        <v>13</v>
      </c>
    </row>
    <row r="37" spans="1:12">
      <c r="A37">
        <v>1</v>
      </c>
      <c r="B37">
        <f t="shared" ref="B37:B44" si="2">A37^2</f>
        <v>1</v>
      </c>
      <c r="C37">
        <v>75</v>
      </c>
    </row>
    <row r="38" spans="1:12">
      <c r="A38">
        <v>2</v>
      </c>
      <c r="B38">
        <f t="shared" si="2"/>
        <v>4</v>
      </c>
      <c r="C38">
        <v>93</v>
      </c>
    </row>
    <row r="39" spans="1:12">
      <c r="A39">
        <v>3</v>
      </c>
      <c r="B39">
        <f t="shared" si="2"/>
        <v>9</v>
      </c>
      <c r="C39">
        <v>64</v>
      </c>
    </row>
    <row r="40" spans="1:12">
      <c r="A40">
        <v>4</v>
      </c>
      <c r="B40">
        <f t="shared" si="2"/>
        <v>16</v>
      </c>
      <c r="C40">
        <v>47</v>
      </c>
    </row>
    <row r="41" spans="1:12">
      <c r="A41">
        <v>5</v>
      </c>
      <c r="B41">
        <f t="shared" si="2"/>
        <v>25</v>
      </c>
      <c r="C41">
        <v>285</v>
      </c>
    </row>
    <row r="42" spans="1:12">
      <c r="A42">
        <v>6</v>
      </c>
      <c r="B42">
        <f t="shared" si="2"/>
        <v>36</v>
      </c>
      <c r="C42">
        <v>403</v>
      </c>
    </row>
    <row r="43" spans="1:12">
      <c r="A43">
        <v>7</v>
      </c>
      <c r="B43">
        <f t="shared" si="2"/>
        <v>49</v>
      </c>
      <c r="C43">
        <v>332</v>
      </c>
    </row>
    <row r="44" spans="1:12">
      <c r="A44">
        <v>8</v>
      </c>
      <c r="B44">
        <f t="shared" si="2"/>
        <v>64</v>
      </c>
      <c r="C44">
        <v>215</v>
      </c>
    </row>
    <row r="45" spans="1:12">
      <c r="A45" s="98" t="s">
        <v>562</v>
      </c>
      <c r="K45" s="98" t="s">
        <v>586</v>
      </c>
    </row>
    <row r="46" spans="1:12">
      <c r="A46" t="s">
        <v>563</v>
      </c>
      <c r="K46" t="s">
        <v>563</v>
      </c>
    </row>
    <row r="47" spans="1:12" ht="13.5" thickBot="1"/>
    <row r="48" spans="1:12">
      <c r="A48" s="547" t="s">
        <v>564</v>
      </c>
      <c r="B48" s="547"/>
      <c r="K48" s="547" t="s">
        <v>564</v>
      </c>
      <c r="L48" s="547"/>
    </row>
    <row r="49" spans="1:19">
      <c r="A49" s="544" t="s">
        <v>565</v>
      </c>
      <c r="B49" s="544">
        <v>0.78051798236038028</v>
      </c>
      <c r="K49" s="544" t="s">
        <v>565</v>
      </c>
      <c r="L49" s="544">
        <v>0.77681498761746348</v>
      </c>
    </row>
    <row r="50" spans="1:19">
      <c r="A50" s="544" t="s">
        <v>566</v>
      </c>
      <c r="B50" s="544">
        <v>0.60920832078791898</v>
      </c>
      <c r="K50" s="544" t="s">
        <v>566</v>
      </c>
      <c r="L50" s="544">
        <v>0.60344152498712</v>
      </c>
    </row>
    <row r="51" spans="1:19">
      <c r="A51" s="544" t="s">
        <v>567</v>
      </c>
      <c r="B51" s="544">
        <v>0.47894442771722529</v>
      </c>
      <c r="K51" s="544" t="s">
        <v>567</v>
      </c>
      <c r="L51" s="544">
        <v>0.54679031427099434</v>
      </c>
    </row>
    <row r="52" spans="1:19">
      <c r="A52" s="544" t="s">
        <v>568</v>
      </c>
      <c r="B52" s="544">
        <v>102.64059797220763</v>
      </c>
      <c r="K52" s="544" t="s">
        <v>568</v>
      </c>
      <c r="L52" s="544">
        <v>95.725301427226299</v>
      </c>
    </row>
    <row r="53" spans="1:19" ht="13.5" thickBot="1">
      <c r="A53" s="545" t="s">
        <v>569</v>
      </c>
      <c r="B53" s="545">
        <v>9</v>
      </c>
      <c r="K53" s="545" t="s">
        <v>569</v>
      </c>
      <c r="L53" s="545">
        <v>9</v>
      </c>
    </row>
    <row r="55" spans="1:19" ht="13.5" thickBot="1">
      <c r="A55" t="s">
        <v>570</v>
      </c>
      <c r="K55" t="s">
        <v>570</v>
      </c>
    </row>
    <row r="56" spans="1:19">
      <c r="A56" s="546"/>
      <c r="B56" s="546" t="s">
        <v>574</v>
      </c>
      <c r="C56" s="546" t="s">
        <v>575</v>
      </c>
      <c r="D56" s="546" t="s">
        <v>576</v>
      </c>
      <c r="E56" s="546" t="s">
        <v>577</v>
      </c>
      <c r="F56" s="546" t="s">
        <v>578</v>
      </c>
      <c r="K56" s="546"/>
      <c r="L56" s="546" t="s">
        <v>574</v>
      </c>
      <c r="M56" s="546" t="s">
        <v>575</v>
      </c>
      <c r="N56" s="546" t="s">
        <v>576</v>
      </c>
      <c r="O56" s="546" t="s">
        <v>577</v>
      </c>
      <c r="P56" s="546" t="s">
        <v>578</v>
      </c>
    </row>
    <row r="57" spans="1:19">
      <c r="A57" s="544" t="s">
        <v>571</v>
      </c>
      <c r="B57" s="544">
        <v>2</v>
      </c>
      <c r="C57" s="544">
        <v>98539.445887445909</v>
      </c>
      <c r="D57" s="544">
        <v>49269.722943722954</v>
      </c>
      <c r="E57" s="544">
        <v>4.676724351062532</v>
      </c>
      <c r="F57" s="544">
        <v>5.9680977025152772E-2</v>
      </c>
      <c r="K57" s="544" t="s">
        <v>571</v>
      </c>
      <c r="L57" s="544">
        <v>1</v>
      </c>
      <c r="M57" s="544">
        <v>97606.666666666686</v>
      </c>
      <c r="N57" s="544">
        <v>97606.666666666686</v>
      </c>
      <c r="O57" s="544">
        <v>10.651873408512188</v>
      </c>
      <c r="P57" s="544">
        <v>1.3793344864552838E-2</v>
      </c>
    </row>
    <row r="58" spans="1:19">
      <c r="A58" s="544" t="s">
        <v>572</v>
      </c>
      <c r="B58" s="544">
        <v>6</v>
      </c>
      <c r="C58" s="544">
        <v>63210.55411255412</v>
      </c>
      <c r="D58" s="544">
        <v>10535.092352092353</v>
      </c>
      <c r="E58" s="544"/>
      <c r="F58" s="544"/>
      <c r="K58" s="544" t="s">
        <v>572</v>
      </c>
      <c r="L58" s="544">
        <v>7</v>
      </c>
      <c r="M58" s="544">
        <v>64143.333333333343</v>
      </c>
      <c r="N58" s="544">
        <v>9163.3333333333339</v>
      </c>
      <c r="O58" s="544"/>
      <c r="P58" s="544"/>
    </row>
    <row r="59" spans="1:19" ht="13.5" thickBot="1">
      <c r="A59" s="545" t="s">
        <v>5</v>
      </c>
      <c r="B59" s="545">
        <v>8</v>
      </c>
      <c r="C59" s="545">
        <v>161750.00000000003</v>
      </c>
      <c r="D59" s="545"/>
      <c r="E59" s="545"/>
      <c r="F59" s="545"/>
      <c r="K59" s="545" t="s">
        <v>5</v>
      </c>
      <c r="L59" s="545">
        <v>8</v>
      </c>
      <c r="M59" s="545">
        <v>161750.00000000003</v>
      </c>
      <c r="N59" s="545"/>
      <c r="O59" s="545"/>
      <c r="P59" s="545"/>
    </row>
    <row r="60" spans="1:19" ht="13.5" thickBot="1"/>
    <row r="61" spans="1:19">
      <c r="A61" s="546"/>
      <c r="B61" s="546" t="s">
        <v>579</v>
      </c>
      <c r="C61" s="546" t="s">
        <v>568</v>
      </c>
      <c r="D61" s="546" t="s">
        <v>580</v>
      </c>
      <c r="E61" s="546" t="s">
        <v>581</v>
      </c>
      <c r="F61" s="546" t="s">
        <v>582</v>
      </c>
      <c r="G61" s="546" t="s">
        <v>583</v>
      </c>
      <c r="H61" s="546" t="s">
        <v>584</v>
      </c>
      <c r="I61" s="546" t="s">
        <v>585</v>
      </c>
      <c r="K61" s="546"/>
      <c r="L61" s="546" t="s">
        <v>579</v>
      </c>
      <c r="M61" s="546" t="s">
        <v>568</v>
      </c>
      <c r="N61" s="546" t="s">
        <v>580</v>
      </c>
      <c r="O61" s="546" t="s">
        <v>581</v>
      </c>
      <c r="P61" s="546" t="s">
        <v>582</v>
      </c>
      <c r="Q61" s="546" t="s">
        <v>583</v>
      </c>
      <c r="R61" s="546" t="s">
        <v>584</v>
      </c>
      <c r="S61" s="546" t="s">
        <v>585</v>
      </c>
    </row>
    <row r="62" spans="1:19">
      <c r="A62" s="544" t="s">
        <v>573</v>
      </c>
      <c r="B62" s="544">
        <v>-7.9090909090909065</v>
      </c>
      <c r="C62" s="544">
        <v>83.423892601800631</v>
      </c>
      <c r="D62" s="544">
        <v>-9.4806064095362005E-2</v>
      </c>
      <c r="E62" s="544">
        <v>0.92755580072143629</v>
      </c>
      <c r="F62" s="544">
        <v>-212.04000238508203</v>
      </c>
      <c r="G62" s="544">
        <v>196.22182056690022</v>
      </c>
      <c r="H62" s="544">
        <v>-212.04000238508203</v>
      </c>
      <c r="I62" s="544">
        <v>196.22182056690022</v>
      </c>
      <c r="K62" s="544" t="s">
        <v>573</v>
      </c>
      <c r="L62" s="544">
        <v>8.3333333333333712</v>
      </c>
      <c r="M62" s="544">
        <v>58.836244813071673</v>
      </c>
      <c r="N62" s="544">
        <v>0.14163605035992968</v>
      </c>
      <c r="O62" s="544">
        <v>0.89135759780667745</v>
      </c>
      <c r="P62" s="544">
        <v>-130.79227802430611</v>
      </c>
      <c r="Q62" s="544">
        <v>147.45894469097286</v>
      </c>
      <c r="R62" s="544">
        <v>-130.79227802430611</v>
      </c>
      <c r="S62" s="544">
        <v>147.45894469097286</v>
      </c>
    </row>
    <row r="63" spans="1:19" ht="13.5" thickBot="1">
      <c r="A63" s="544" t="s">
        <v>560</v>
      </c>
      <c r="B63" s="544">
        <v>54.255411255411239</v>
      </c>
      <c r="C63" s="544">
        <v>48.628129428047558</v>
      </c>
      <c r="D63" s="544">
        <v>1.1157207133720837</v>
      </c>
      <c r="E63" s="544">
        <v>0.30722276651492936</v>
      </c>
      <c r="F63" s="544">
        <v>-64.733334941089794</v>
      </c>
      <c r="G63" s="544">
        <v>173.24415745191226</v>
      </c>
      <c r="H63" s="544">
        <v>-64.733334941089794</v>
      </c>
      <c r="I63" s="544">
        <v>173.24415745191226</v>
      </c>
      <c r="K63" s="545" t="s">
        <v>560</v>
      </c>
      <c r="L63" s="545">
        <v>40.333333333333321</v>
      </c>
      <c r="M63" s="545">
        <v>12.358083274611083</v>
      </c>
      <c r="N63" s="545">
        <v>3.263720792058074</v>
      </c>
      <c r="O63" s="545">
        <v>1.3793344864552855E-2</v>
      </c>
      <c r="P63" s="545">
        <v>11.111109918984777</v>
      </c>
      <c r="Q63" s="545">
        <v>69.555556747681862</v>
      </c>
      <c r="R63" s="545">
        <v>11.111109918984777</v>
      </c>
      <c r="S63" s="545">
        <v>69.555556747681862</v>
      </c>
    </row>
    <row r="64" spans="1:19" ht="13.5" thickBot="1">
      <c r="A64" s="545" t="s">
        <v>561</v>
      </c>
      <c r="B64" s="545">
        <v>-1.7402597402597377</v>
      </c>
      <c r="C64" s="545">
        <v>5.8484908565373619</v>
      </c>
      <c r="D64" s="545">
        <v>-0.2975570592393933</v>
      </c>
      <c r="E64" s="545">
        <v>0.77607500389724493</v>
      </c>
      <c r="F64" s="545">
        <v>-16.051001328434001</v>
      </c>
      <c r="G64" s="545">
        <v>12.570481847914527</v>
      </c>
      <c r="H64" s="545">
        <v>-16.051001328434001</v>
      </c>
      <c r="I64" s="545">
        <v>12.570481847914527</v>
      </c>
    </row>
  </sheetData>
  <mergeCells count="1">
    <mergeCell ref="A1:G1"/>
  </mergeCells>
  <pageMargins left="0.7" right="0.7" top="0.75" bottom="0.75" header="0.3" footer="0.3"/>
  <pageSetup orientation="landscape" r:id="rId1"/>
  <headerFooter scaleWithDoc="0">
    <oddHeader>&amp;RExhibit No. CSH-7
Dockets UE-160228/UG-160229
Page &amp;P of &amp;N</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1"/>
  <sheetViews>
    <sheetView view="pageBreakPreview" zoomScale="115" zoomScaleNormal="100" zoomScaleSheetLayoutView="115" workbookViewId="0">
      <selection activeCell="L30" sqref="L30"/>
    </sheetView>
  </sheetViews>
  <sheetFormatPr defaultRowHeight="12.75"/>
  <cols>
    <col min="1" max="1" width="42.140625" customWidth="1"/>
    <col min="2" max="2" width="7.140625" customWidth="1"/>
    <col min="3" max="3" width="9.42578125" customWidth="1"/>
    <col min="4" max="4" width="10.42578125" customWidth="1"/>
    <col min="5" max="5" width="7" customWidth="1"/>
    <col min="6" max="6" width="6.85546875" customWidth="1"/>
    <col min="7" max="8" width="6.7109375" customWidth="1"/>
  </cols>
  <sheetData>
    <row r="1" spans="1:8" ht="12.75" customHeight="1">
      <c r="A1" s="596" t="s">
        <v>449</v>
      </c>
      <c r="B1" s="596"/>
      <c r="C1" s="596"/>
      <c r="D1" s="596"/>
      <c r="E1" s="596"/>
      <c r="F1" s="596"/>
      <c r="G1" s="596"/>
      <c r="H1" s="596"/>
    </row>
    <row r="2" spans="1:8">
      <c r="A2" s="596"/>
      <c r="B2" s="596"/>
      <c r="C2" s="596"/>
      <c r="D2" s="596"/>
      <c r="E2" s="596"/>
      <c r="F2" s="596"/>
      <c r="G2" s="596"/>
      <c r="H2" s="596"/>
    </row>
    <row r="3" spans="1:8" ht="56.25" customHeight="1">
      <c r="A3" s="596"/>
      <c r="B3" s="596"/>
      <c r="C3" s="596"/>
      <c r="D3" s="596"/>
      <c r="E3" s="596"/>
      <c r="F3" s="596"/>
      <c r="G3" s="596"/>
      <c r="H3" s="596"/>
    </row>
    <row r="4" spans="1:8">
      <c r="A4" s="70" t="s">
        <v>281</v>
      </c>
      <c r="B4" s="351">
        <v>2009</v>
      </c>
      <c r="C4" s="351">
        <v>2010</v>
      </c>
      <c r="D4" s="351">
        <v>2011</v>
      </c>
      <c r="E4" s="351">
        <v>2012</v>
      </c>
      <c r="F4" s="351">
        <v>2013</v>
      </c>
      <c r="G4" s="351">
        <v>2014</v>
      </c>
      <c r="H4" s="389">
        <v>2015</v>
      </c>
    </row>
    <row r="5" spans="1:8">
      <c r="A5" t="s">
        <v>448</v>
      </c>
      <c r="B5" s="108">
        <f>'Cost Trends'!O113</f>
        <v>24412</v>
      </c>
      <c r="C5" s="108">
        <f>'Cost Trends'!P113</f>
        <v>25880</v>
      </c>
      <c r="D5" s="108">
        <f>'Cost Trends'!Q113</f>
        <v>27715.852941999998</v>
      </c>
      <c r="F5" s="108">
        <f>'Cost Trends'!S113</f>
        <v>30945</v>
      </c>
      <c r="G5" s="108">
        <f>'Cost Trends'!T113</f>
        <v>31354</v>
      </c>
      <c r="H5" s="391">
        <f>'Cost Trends'!U113</f>
        <v>34758</v>
      </c>
    </row>
    <row r="6" spans="1:8">
      <c r="A6" t="s">
        <v>427</v>
      </c>
      <c r="B6" s="108"/>
      <c r="C6" s="108"/>
      <c r="D6" s="108"/>
      <c r="E6" s="108">
        <f>'Cost Trends'!R113</f>
        <v>30641</v>
      </c>
      <c r="H6" s="388"/>
    </row>
    <row r="7" spans="1:8">
      <c r="A7" t="s">
        <v>428</v>
      </c>
      <c r="B7" s="353"/>
      <c r="C7" s="353"/>
      <c r="D7" s="353"/>
      <c r="E7" s="353"/>
      <c r="F7" s="44">
        <f>F5</f>
        <v>30945</v>
      </c>
      <c r="G7" s="44">
        <f>G5</f>
        <v>31354</v>
      </c>
      <c r="H7" s="390">
        <f>H5</f>
        <v>34758</v>
      </c>
    </row>
    <row r="8" spans="1:8">
      <c r="C8" s="44"/>
      <c r="D8" s="44"/>
      <c r="E8" s="44"/>
    </row>
    <row r="9" spans="1:8">
      <c r="B9" s="354" t="s">
        <v>429</v>
      </c>
      <c r="C9" s="351" t="s">
        <v>430</v>
      </c>
      <c r="D9" s="351" t="s">
        <v>431</v>
      </c>
    </row>
    <row r="10" spans="1:8">
      <c r="A10" t="s">
        <v>432</v>
      </c>
      <c r="B10" s="355">
        <v>421</v>
      </c>
      <c r="C10" s="71">
        <f>B10/G5</f>
        <v>1.3427313899342987E-2</v>
      </c>
      <c r="D10" s="71">
        <f>C10*2</f>
        <v>2.6854627798685974E-2</v>
      </c>
    </row>
    <row r="11" spans="1:8" ht="13.5" thickBot="1">
      <c r="A11" s="80" t="s">
        <v>439</v>
      </c>
      <c r="B11" s="356">
        <f>C11*G5</f>
        <v>940.62</v>
      </c>
      <c r="C11" s="357">
        <v>0.03</v>
      </c>
      <c r="D11" s="124">
        <f>C11*2</f>
        <v>0.06</v>
      </c>
    </row>
    <row r="12" spans="1:8" ht="13.5" thickBot="1">
      <c r="A12" s="358" t="s">
        <v>433</v>
      </c>
      <c r="C12" s="71">
        <f>AVERAGE(C10:C11)</f>
        <v>2.1713656949671492E-2</v>
      </c>
      <c r="D12" s="367">
        <f>AVERAGE(D10:D11)</f>
        <v>4.3427313899342984E-2</v>
      </c>
    </row>
    <row r="37" spans="4:8">
      <c r="D37" s="353"/>
      <c r="E37" s="353"/>
      <c r="F37" s="353"/>
      <c r="G37" s="353"/>
      <c r="H37" s="353"/>
    </row>
    <row r="38" spans="4:8">
      <c r="D38" s="353"/>
      <c r="E38" s="104"/>
      <c r="F38" s="104"/>
      <c r="G38" s="104"/>
      <c r="H38" s="104"/>
    </row>
    <row r="39" spans="4:8">
      <c r="D39" s="353"/>
      <c r="E39" s="104"/>
      <c r="F39" s="104"/>
      <c r="G39" s="104"/>
      <c r="H39" s="104"/>
    </row>
    <row r="40" spans="4:8">
      <c r="D40" s="353"/>
      <c r="E40" s="104"/>
      <c r="F40" s="104"/>
      <c r="G40" s="104"/>
      <c r="H40" s="104"/>
    </row>
    <row r="41" spans="4:8">
      <c r="D41" s="104"/>
      <c r="E41" s="104"/>
      <c r="F41" s="353"/>
      <c r="G41" s="359"/>
      <c r="H41" s="359"/>
    </row>
  </sheetData>
  <mergeCells count="1">
    <mergeCell ref="A1:H3"/>
  </mergeCells>
  <pageMargins left="0.7" right="0.7" top="0.75" bottom="0.75" header="0.3" footer="0.3"/>
  <pageSetup scale="95" orientation="portrait" r:id="rId1"/>
  <headerFooter scaleWithDoc="0">
    <oddHeader>&amp;RExhibit No. __(EMA-7)</oddHeader>
    <oddFooter xml:space="preserve">&amp;RPage &amp;P of &amp;N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BreakPreview" zoomScale="115" zoomScaleNormal="100" zoomScaleSheetLayoutView="115" workbookViewId="0">
      <selection activeCell="K72" sqref="K72"/>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593" t="s">
        <v>607</v>
      </c>
      <c r="B1" s="593"/>
      <c r="C1" s="593"/>
      <c r="D1" s="593"/>
      <c r="E1" s="593"/>
      <c r="J1" s="541" t="s">
        <v>532</v>
      </c>
    </row>
    <row r="2" spans="1:10">
      <c r="B2" s="433">
        <v>2007</v>
      </c>
      <c r="C2" s="433">
        <v>2008</v>
      </c>
      <c r="D2" s="351">
        <v>2009</v>
      </c>
      <c r="E2" s="351">
        <v>2010</v>
      </c>
      <c r="F2" s="351">
        <v>2011</v>
      </c>
      <c r="G2" s="351">
        <v>2012</v>
      </c>
      <c r="H2" s="351">
        <v>2013</v>
      </c>
      <c r="I2" s="351">
        <v>2014</v>
      </c>
      <c r="J2" s="542">
        <v>2015</v>
      </c>
    </row>
    <row r="3" spans="1:10">
      <c r="A3" t="s">
        <v>594</v>
      </c>
      <c r="B3" s="392">
        <f>'Cost Trends'!M83</f>
        <v>-26823</v>
      </c>
      <c r="C3" s="392">
        <f>'Cost Trends'!N83</f>
        <v>-28945</v>
      </c>
      <c r="D3" s="392">
        <f>'Cost Trends'!O83</f>
        <v>-31005</v>
      </c>
      <c r="E3" s="392">
        <f>'Cost Trends'!P83</f>
        <v>-36762</v>
      </c>
      <c r="F3" s="392">
        <f>'Cost Trends'!Q83</f>
        <v>-42004</v>
      </c>
      <c r="G3" s="392">
        <f>'Cost Trends'!R83</f>
        <v>-46498</v>
      </c>
      <c r="H3" s="392">
        <f>'Cost Trends'!S83</f>
        <v>-50170</v>
      </c>
      <c r="I3" s="392">
        <f>'Cost Trends'!T83</f>
        <v>-54652</v>
      </c>
      <c r="J3" s="392">
        <f>'Cost Trends'!U83</f>
        <v>-64929</v>
      </c>
    </row>
    <row r="4" spans="1:10">
      <c r="B4" s="98">
        <v>0</v>
      </c>
      <c r="C4" s="98">
        <v>1</v>
      </c>
      <c r="D4" s="98">
        <v>2</v>
      </c>
      <c r="E4" s="98">
        <v>3</v>
      </c>
      <c r="F4" s="98">
        <v>4</v>
      </c>
      <c r="G4" s="98">
        <v>5</v>
      </c>
      <c r="H4" s="98">
        <v>6</v>
      </c>
      <c r="I4" s="98">
        <v>7</v>
      </c>
      <c r="J4" s="368">
        <v>8</v>
      </c>
    </row>
    <row r="5" spans="1:10">
      <c r="A5" t="str">
        <f>A3</f>
        <v>Deferred Taxes</v>
      </c>
      <c r="B5" s="92">
        <f>B3</f>
        <v>-26823</v>
      </c>
      <c r="C5" s="92">
        <f t="shared" ref="C5:J5" si="0">C3</f>
        <v>-28945</v>
      </c>
      <c r="D5" s="92">
        <f t="shared" si="0"/>
        <v>-31005</v>
      </c>
      <c r="E5" s="92">
        <f t="shared" si="0"/>
        <v>-36762</v>
      </c>
      <c r="F5" s="92">
        <f t="shared" si="0"/>
        <v>-42004</v>
      </c>
      <c r="G5" s="92">
        <f t="shared" si="0"/>
        <v>-46498</v>
      </c>
      <c r="H5" s="92">
        <f t="shared" si="0"/>
        <v>-50170</v>
      </c>
      <c r="I5" s="92">
        <f t="shared" si="0"/>
        <v>-54652</v>
      </c>
      <c r="J5" s="343">
        <f t="shared" si="0"/>
        <v>-64929</v>
      </c>
    </row>
    <row r="6" spans="1:10">
      <c r="B6" s="44"/>
      <c r="C6" s="44"/>
      <c r="D6" s="44"/>
      <c r="E6" s="44"/>
      <c r="F6" s="44"/>
      <c r="G6" s="44"/>
      <c r="J6" s="120"/>
    </row>
    <row r="25" spans="1:10">
      <c r="B25" s="80" t="s">
        <v>441</v>
      </c>
      <c r="C25" s="80" t="s">
        <v>111</v>
      </c>
    </row>
    <row r="26" spans="1:10">
      <c r="A26" s="469" t="s">
        <v>444</v>
      </c>
      <c r="B26" s="469">
        <f>2*B63</f>
        <v>-539.6861471861472</v>
      </c>
      <c r="C26" s="470">
        <f>B62</f>
        <v>-2468.105411255412</v>
      </c>
      <c r="H26" s="44"/>
    </row>
    <row r="27" spans="1:10">
      <c r="A27" s="471" t="s">
        <v>450</v>
      </c>
      <c r="B27" s="120">
        <f>(8*B26)</f>
        <v>-4317.4891774891776</v>
      </c>
      <c r="C27" s="120"/>
      <c r="H27" s="71"/>
    </row>
    <row r="28" spans="1:10">
      <c r="A28" s="120" t="s">
        <v>443</v>
      </c>
      <c r="B28" s="469"/>
      <c r="C28" s="472">
        <f>B27+C26</f>
        <v>-6785.5945887445896</v>
      </c>
      <c r="G28" s="70"/>
      <c r="H28" s="71"/>
    </row>
    <row r="29" spans="1:10" ht="13.5" thickBot="1">
      <c r="A29" s="120" t="s">
        <v>440</v>
      </c>
      <c r="B29" s="89"/>
      <c r="C29" s="89">
        <f>C28/J5</f>
        <v>0.10450791770618044</v>
      </c>
    </row>
    <row r="30" spans="1:10" ht="13.5" thickBot="1">
      <c r="A30" s="80" t="s">
        <v>442</v>
      </c>
      <c r="B30" s="352"/>
      <c r="C30" s="378">
        <f>2.5*C29</f>
        <v>0.26126979426545111</v>
      </c>
      <c r="D30" s="70" t="s">
        <v>555</v>
      </c>
    </row>
    <row r="31" spans="1:10">
      <c r="A31" s="104"/>
      <c r="B31" s="104"/>
      <c r="C31" s="104"/>
      <c r="D31" s="104"/>
      <c r="E31" s="104"/>
      <c r="F31" s="104"/>
      <c r="G31" s="104"/>
      <c r="H31" s="104"/>
      <c r="I31" s="104"/>
      <c r="J31" s="104"/>
    </row>
    <row r="34" spans="1:12">
      <c r="A34" t="s">
        <v>560</v>
      </c>
      <c r="B34" t="s">
        <v>561</v>
      </c>
      <c r="C34" t="str">
        <f>A3</f>
        <v>Deferred Taxes</v>
      </c>
    </row>
    <row r="35" spans="1:12">
      <c r="A35">
        <f t="array" ref="A35:A43">TRANSPOSE(B4:J4)</f>
        <v>0</v>
      </c>
      <c r="B35">
        <f>A35^2</f>
        <v>0</v>
      </c>
      <c r="C35">
        <f t="array" ref="C35:C43">TRANSPOSE(B5:J5)</f>
        <v>-26823</v>
      </c>
    </row>
    <row r="36" spans="1:12">
      <c r="A36">
        <v>1</v>
      </c>
      <c r="B36">
        <f t="shared" ref="B36:B43" si="1">A36^2</f>
        <v>1</v>
      </c>
      <c r="C36">
        <v>-28945</v>
      </c>
    </row>
    <row r="37" spans="1:12">
      <c r="A37">
        <v>2</v>
      </c>
      <c r="B37">
        <f t="shared" si="1"/>
        <v>4</v>
      </c>
      <c r="C37">
        <v>-31005</v>
      </c>
    </row>
    <row r="38" spans="1:12">
      <c r="A38">
        <v>3</v>
      </c>
      <c r="B38">
        <f t="shared" si="1"/>
        <v>9</v>
      </c>
      <c r="C38">
        <v>-36762</v>
      </c>
    </row>
    <row r="39" spans="1:12">
      <c r="A39">
        <v>4</v>
      </c>
      <c r="B39">
        <f t="shared" si="1"/>
        <v>16</v>
      </c>
      <c r="C39">
        <v>-42004</v>
      </c>
    </row>
    <row r="40" spans="1:12">
      <c r="A40">
        <v>5</v>
      </c>
      <c r="B40">
        <f t="shared" si="1"/>
        <v>25</v>
      </c>
      <c r="C40">
        <v>-46498</v>
      </c>
      <c r="E40" t="s">
        <v>281</v>
      </c>
    </row>
    <row r="41" spans="1:12">
      <c r="A41">
        <v>6</v>
      </c>
      <c r="B41">
        <f t="shared" si="1"/>
        <v>36</v>
      </c>
      <c r="C41">
        <v>-50170</v>
      </c>
    </row>
    <row r="42" spans="1:12">
      <c r="A42">
        <v>7</v>
      </c>
      <c r="B42">
        <f t="shared" si="1"/>
        <v>49</v>
      </c>
      <c r="C42">
        <v>-54652</v>
      </c>
    </row>
    <row r="43" spans="1:12">
      <c r="A43">
        <v>8</v>
      </c>
      <c r="B43">
        <f t="shared" si="1"/>
        <v>64</v>
      </c>
      <c r="C43">
        <v>-64929</v>
      </c>
    </row>
    <row r="44" spans="1:12">
      <c r="A44" s="461" t="s">
        <v>562</v>
      </c>
      <c r="K44" s="461" t="s">
        <v>586</v>
      </c>
    </row>
    <row r="45" spans="1:12">
      <c r="A45" t="s">
        <v>563</v>
      </c>
      <c r="K45" t="s">
        <v>563</v>
      </c>
    </row>
    <row r="46" spans="1:12" ht="13.5" thickBot="1"/>
    <row r="47" spans="1:12">
      <c r="A47" s="547" t="s">
        <v>564</v>
      </c>
      <c r="B47" s="547"/>
      <c r="K47" s="547" t="s">
        <v>564</v>
      </c>
      <c r="L47" s="547"/>
    </row>
    <row r="48" spans="1:12">
      <c r="A48" s="544" t="s">
        <v>565</v>
      </c>
      <c r="B48" s="544">
        <v>0.99490933279745419</v>
      </c>
      <c r="K48" s="544" t="s">
        <v>565</v>
      </c>
      <c r="L48" s="544">
        <v>0.98633574655469691</v>
      </c>
    </row>
    <row r="49" spans="1:19">
      <c r="A49" s="544" t="s">
        <v>566</v>
      </c>
      <c r="B49" s="544">
        <v>0.98984458048747548</v>
      </c>
      <c r="K49" s="544" t="s">
        <v>566</v>
      </c>
      <c r="L49" s="544">
        <v>0.97285820493161124</v>
      </c>
    </row>
    <row r="50" spans="1:19">
      <c r="A50" s="544" t="s">
        <v>567</v>
      </c>
      <c r="B50" s="544">
        <v>0.98645944064996727</v>
      </c>
      <c r="K50" s="544" t="s">
        <v>567</v>
      </c>
      <c r="L50" s="544">
        <v>0.9689808056361271</v>
      </c>
    </row>
    <row r="51" spans="1:19">
      <c r="A51" s="544" t="s">
        <v>568</v>
      </c>
      <c r="B51" s="544">
        <v>1494.8911863472736</v>
      </c>
      <c r="K51" s="544" t="s">
        <v>568</v>
      </c>
      <c r="L51" s="544">
        <v>2262.5935036365704</v>
      </c>
    </row>
    <row r="52" spans="1:19" ht="13.5" thickBot="1">
      <c r="A52" s="545" t="s">
        <v>569</v>
      </c>
      <c r="B52" s="545">
        <v>9</v>
      </c>
      <c r="K52" s="545" t="s">
        <v>569</v>
      </c>
      <c r="L52" s="545">
        <v>9</v>
      </c>
    </row>
    <row r="54" spans="1:19" ht="13.5" thickBot="1">
      <c r="A54" t="s">
        <v>570</v>
      </c>
      <c r="K54" t="s">
        <v>570</v>
      </c>
    </row>
    <row r="55" spans="1:19">
      <c r="A55" s="546"/>
      <c r="B55" s="546" t="s">
        <v>574</v>
      </c>
      <c r="C55" s="546" t="s">
        <v>575</v>
      </c>
      <c r="D55" s="546" t="s">
        <v>576</v>
      </c>
      <c r="E55" s="546" t="s">
        <v>577</v>
      </c>
      <c r="F55" s="546" t="s">
        <v>578</v>
      </c>
      <c r="K55" s="546"/>
      <c r="L55" s="546" t="s">
        <v>574</v>
      </c>
      <c r="M55" s="546" t="s">
        <v>575</v>
      </c>
      <c r="N55" s="546" t="s">
        <v>576</v>
      </c>
      <c r="O55" s="546" t="s">
        <v>577</v>
      </c>
      <c r="P55" s="546" t="s">
        <v>578</v>
      </c>
    </row>
    <row r="56" spans="1:19">
      <c r="A56" s="544" t="s">
        <v>571</v>
      </c>
      <c r="B56" s="544">
        <v>2</v>
      </c>
      <c r="C56" s="544">
        <v>1306891562.9347763</v>
      </c>
      <c r="D56" s="544">
        <v>653445781.46738815</v>
      </c>
      <c r="E56" s="544">
        <v>292.40877127726048</v>
      </c>
      <c r="F56" s="544">
        <v>1.0473542646968494E-6</v>
      </c>
      <c r="K56" s="544" t="s">
        <v>571</v>
      </c>
      <c r="L56" s="544">
        <v>1</v>
      </c>
      <c r="M56" s="544">
        <v>1284464455.3499999</v>
      </c>
      <c r="N56" s="544">
        <v>1284464455.3499999</v>
      </c>
      <c r="O56" s="544">
        <v>250.90482841544608</v>
      </c>
      <c r="P56" s="544">
        <v>9.6895605867363261E-7</v>
      </c>
    </row>
    <row r="57" spans="1:19">
      <c r="A57" s="544" t="s">
        <v>572</v>
      </c>
      <c r="B57" s="544">
        <v>6</v>
      </c>
      <c r="C57" s="544">
        <v>13408197.954112552</v>
      </c>
      <c r="D57" s="544">
        <v>2234699.6590187587</v>
      </c>
      <c r="E57" s="544"/>
      <c r="F57" s="544"/>
      <c r="K57" s="544" t="s">
        <v>572</v>
      </c>
      <c r="L57" s="544">
        <v>7</v>
      </c>
      <c r="M57" s="544">
        <v>35835305.538888879</v>
      </c>
      <c r="N57" s="544">
        <v>5119329.3626984116</v>
      </c>
      <c r="O57" s="544"/>
      <c r="P57" s="544"/>
    </row>
    <row r="58" spans="1:19" ht="13.5" thickBot="1">
      <c r="A58" s="545" t="s">
        <v>5</v>
      </c>
      <c r="B58" s="545">
        <v>8</v>
      </c>
      <c r="C58" s="545">
        <v>1320299760.8888888</v>
      </c>
      <c r="D58" s="545"/>
      <c r="E58" s="545"/>
      <c r="F58" s="545"/>
      <c r="K58" s="545" t="s">
        <v>5</v>
      </c>
      <c r="L58" s="545">
        <v>8</v>
      </c>
      <c r="M58" s="545">
        <v>1320299760.8888888</v>
      </c>
      <c r="N58" s="545"/>
      <c r="O58" s="545"/>
      <c r="P58" s="545"/>
    </row>
    <row r="59" spans="1:19" ht="13.5" thickBot="1"/>
    <row r="60" spans="1:19">
      <c r="A60" s="546"/>
      <c r="B60" s="546" t="s">
        <v>579</v>
      </c>
      <c r="C60" s="546" t="s">
        <v>568</v>
      </c>
      <c r="D60" s="546" t="s">
        <v>580</v>
      </c>
      <c r="E60" s="546" t="s">
        <v>581</v>
      </c>
      <c r="F60" s="546" t="s">
        <v>582</v>
      </c>
      <c r="G60" s="546" t="s">
        <v>583</v>
      </c>
      <c r="H60" s="546" t="s">
        <v>584</v>
      </c>
      <c r="I60" s="546" t="s">
        <v>585</v>
      </c>
      <c r="K60" s="546"/>
      <c r="L60" s="546" t="s">
        <v>579</v>
      </c>
      <c r="M60" s="546" t="s">
        <v>568</v>
      </c>
      <c r="N60" s="546" t="s">
        <v>580</v>
      </c>
      <c r="O60" s="546" t="s">
        <v>581</v>
      </c>
      <c r="P60" s="546" t="s">
        <v>582</v>
      </c>
      <c r="Q60" s="546" t="s">
        <v>583</v>
      </c>
      <c r="R60" s="546" t="s">
        <v>584</v>
      </c>
      <c r="S60" s="546" t="s">
        <v>585</v>
      </c>
    </row>
    <row r="61" spans="1:19">
      <c r="A61" s="544" t="s">
        <v>573</v>
      </c>
      <c r="B61" s="544">
        <v>-26432.024242424239</v>
      </c>
      <c r="C61" s="544">
        <v>1215.0128140814359</v>
      </c>
      <c r="D61" s="544">
        <v>-21.754523027320634</v>
      </c>
      <c r="E61" s="544">
        <v>6.1608652390795764E-7</v>
      </c>
      <c r="F61" s="544">
        <v>-29405.053496493103</v>
      </c>
      <c r="G61" s="544">
        <v>-23458.994988355375</v>
      </c>
      <c r="H61" s="544">
        <v>-29405.053496493103</v>
      </c>
      <c r="I61" s="544">
        <v>-23458.994988355375</v>
      </c>
      <c r="K61" s="544" t="s">
        <v>573</v>
      </c>
      <c r="L61" s="544">
        <v>-23913.488888888893</v>
      </c>
      <c r="M61" s="544">
        <v>1390.6720930372958</v>
      </c>
      <c r="N61" s="544">
        <v>-17.195634404844252</v>
      </c>
      <c r="O61" s="544">
        <v>5.5236597382594894E-7</v>
      </c>
      <c r="P61" s="544">
        <v>-27201.90584609818</v>
      </c>
      <c r="Q61" s="544">
        <v>-20625.071931679606</v>
      </c>
      <c r="R61" s="544">
        <v>-27201.90584609818</v>
      </c>
      <c r="S61" s="544">
        <v>-20625.071931679606</v>
      </c>
    </row>
    <row r="62" spans="1:19" ht="13.5" thickBot="1">
      <c r="A62" s="544" t="s">
        <v>560</v>
      </c>
      <c r="B62" s="544">
        <v>-2468.105411255412</v>
      </c>
      <c r="C62" s="544">
        <v>708.23595659707996</v>
      </c>
      <c r="D62" s="544">
        <v>-3.4848631847415978</v>
      </c>
      <c r="E62" s="544">
        <v>1.3064840168539925E-2</v>
      </c>
      <c r="F62" s="544">
        <v>-4201.0963668598015</v>
      </c>
      <c r="G62" s="544">
        <v>-735.11445565102281</v>
      </c>
      <c r="H62" s="544">
        <v>-4201.0963668598015</v>
      </c>
      <c r="I62" s="544">
        <v>-735.11445565102281</v>
      </c>
      <c r="K62" s="545" t="s">
        <v>560</v>
      </c>
      <c r="L62" s="545">
        <v>-4626.8499999999995</v>
      </c>
      <c r="M62" s="545">
        <v>292.09956529405093</v>
      </c>
      <c r="N62" s="545">
        <v>-15.839975644408234</v>
      </c>
      <c r="O62" s="545">
        <v>9.6895605867363261E-7</v>
      </c>
      <c r="P62" s="545">
        <v>-5317.555715974022</v>
      </c>
      <c r="Q62" s="545">
        <v>-3936.1442840259765</v>
      </c>
      <c r="R62" s="545">
        <v>-5317.555715974022</v>
      </c>
      <c r="S62" s="545">
        <v>-3936.1442840259765</v>
      </c>
    </row>
    <row r="63" spans="1:19" ht="13.5" thickBot="1">
      <c r="A63" s="545" t="s">
        <v>561</v>
      </c>
      <c r="B63" s="545">
        <v>-269.8430735930736</v>
      </c>
      <c r="C63" s="545">
        <v>85.179330670283647</v>
      </c>
      <c r="D63" s="545">
        <v>-3.1679407606241408</v>
      </c>
      <c r="E63" s="545">
        <v>1.9369194993442553E-2</v>
      </c>
      <c r="F63" s="545">
        <v>-478.26938728278685</v>
      </c>
      <c r="G63" s="545">
        <v>-61.416759903360344</v>
      </c>
      <c r="H63" s="545">
        <v>-478.26938728278685</v>
      </c>
      <c r="I63" s="545">
        <v>-61.416759903360344</v>
      </c>
    </row>
  </sheetData>
  <mergeCells count="1">
    <mergeCell ref="A1:E1"/>
  </mergeCells>
  <pageMargins left="0.7" right="0.7" top="0.75" bottom="0.75" header="0.3" footer="0.3"/>
  <pageSetup scale="98" orientation="landscape" r:id="rId1"/>
  <headerFooter scaleWithDoc="0">
    <oddHeader>&amp;RExhibit No. CSH-7
Dockets UE-160228/UG-160229
Page &amp;P of &amp;N</oddHead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T281"/>
  <sheetViews>
    <sheetView topLeftCell="G171" zoomScaleNormal="100" zoomScaleSheetLayoutView="115" workbookViewId="0">
      <selection activeCell="O273" sqref="O273"/>
    </sheetView>
  </sheetViews>
  <sheetFormatPr defaultRowHeight="12.75"/>
  <cols>
    <col min="1" max="1" width="8.7109375" customWidth="1"/>
    <col min="2" max="2" width="27.140625" customWidth="1"/>
    <col min="3" max="3" width="16.28515625" customWidth="1"/>
    <col min="4" max="4" width="14.7109375" customWidth="1"/>
    <col min="5" max="5" width="13.7109375" customWidth="1"/>
    <col min="6" max="6" width="16.7109375" customWidth="1"/>
    <col min="7" max="7" width="15.28515625" customWidth="1"/>
    <col min="8" max="8" width="12.42578125" customWidth="1"/>
    <col min="9" max="9" width="13.7109375" customWidth="1"/>
    <col min="10" max="10" width="20.28515625" customWidth="1"/>
    <col min="17" max="17" width="34.42578125" customWidth="1"/>
  </cols>
  <sheetData>
    <row r="1" spans="1:20">
      <c r="A1" s="241"/>
      <c r="B1" s="242"/>
      <c r="C1" s="242"/>
      <c r="D1" s="242"/>
      <c r="E1" s="242"/>
      <c r="F1" s="242"/>
      <c r="G1" s="242"/>
      <c r="H1" s="242"/>
      <c r="I1" s="242"/>
      <c r="J1" s="242"/>
      <c r="K1" s="242"/>
      <c r="L1" s="242"/>
      <c r="M1" s="242"/>
      <c r="N1" s="242"/>
      <c r="O1" s="242"/>
      <c r="P1" s="242"/>
      <c r="Q1" s="242"/>
      <c r="R1" s="242"/>
      <c r="S1" s="242"/>
      <c r="T1" s="242"/>
    </row>
    <row r="2" spans="1:20">
      <c r="A2" s="241"/>
      <c r="B2" s="242"/>
      <c r="C2" s="242"/>
      <c r="D2" s="242"/>
      <c r="E2" s="242"/>
      <c r="F2" s="242"/>
      <c r="G2" s="242"/>
      <c r="H2" s="242"/>
      <c r="I2" s="242"/>
      <c r="J2" s="242"/>
      <c r="K2" s="242"/>
      <c r="L2" s="242"/>
      <c r="M2" s="242"/>
      <c r="N2" s="242"/>
      <c r="O2" s="242"/>
      <c r="P2" s="242"/>
      <c r="Q2" s="242"/>
      <c r="R2" s="242"/>
      <c r="S2" s="242"/>
      <c r="T2" s="242"/>
    </row>
    <row r="3" spans="1:20">
      <c r="A3" s="241"/>
      <c r="B3" s="242"/>
      <c r="C3" s="242"/>
      <c r="D3" s="242"/>
      <c r="E3" s="242"/>
      <c r="F3" s="242"/>
      <c r="G3" s="242"/>
      <c r="H3" s="242"/>
      <c r="I3" s="242"/>
      <c r="J3" s="243" t="s">
        <v>279</v>
      </c>
      <c r="K3" s="242"/>
      <c r="L3" s="242"/>
      <c r="M3" s="242"/>
      <c r="N3" s="242"/>
      <c r="O3" s="242"/>
      <c r="P3" s="242"/>
      <c r="Q3" s="242"/>
      <c r="R3" s="242"/>
      <c r="S3" s="242"/>
      <c r="T3" s="242"/>
    </row>
    <row r="4" spans="1:20">
      <c r="A4" s="244" t="s">
        <v>280</v>
      </c>
      <c r="B4" s="243"/>
      <c r="C4" s="243" t="s">
        <v>281</v>
      </c>
      <c r="D4" s="243" t="s">
        <v>282</v>
      </c>
      <c r="E4" s="243" t="s">
        <v>283</v>
      </c>
      <c r="F4" s="243" t="s">
        <v>284</v>
      </c>
      <c r="G4" s="243" t="s">
        <v>285</v>
      </c>
      <c r="H4" s="243" t="s">
        <v>279</v>
      </c>
      <c r="I4" s="243" t="s">
        <v>279</v>
      </c>
      <c r="J4" s="216" t="s">
        <v>456</v>
      </c>
      <c r="K4" s="243"/>
      <c r="L4" s="243"/>
      <c r="M4" s="243"/>
      <c r="N4" s="243"/>
      <c r="O4" s="243"/>
      <c r="P4" s="243"/>
      <c r="Q4" s="243"/>
      <c r="R4" s="243"/>
      <c r="S4" s="243"/>
      <c r="T4" s="243"/>
    </row>
    <row r="5" spans="1:20">
      <c r="A5" s="244" t="s">
        <v>286</v>
      </c>
      <c r="B5" s="217"/>
      <c r="C5" s="217" t="s">
        <v>287</v>
      </c>
      <c r="D5" s="217" t="s">
        <v>288</v>
      </c>
      <c r="E5" s="217" t="s">
        <v>289</v>
      </c>
      <c r="F5" s="217" t="s">
        <v>290</v>
      </c>
      <c r="G5" s="217" t="s">
        <v>291</v>
      </c>
      <c r="H5" s="217" t="s">
        <v>292</v>
      </c>
      <c r="I5" s="217" t="s">
        <v>293</v>
      </c>
      <c r="J5" s="217" t="s">
        <v>294</v>
      </c>
      <c r="K5" s="243"/>
      <c r="L5" s="245"/>
      <c r="M5" s="245"/>
      <c r="N5" s="245"/>
      <c r="O5" s="245"/>
      <c r="P5" s="245"/>
      <c r="Q5" s="246" t="s">
        <v>379</v>
      </c>
      <c r="R5" s="245"/>
      <c r="S5" s="245"/>
      <c r="T5" s="243"/>
    </row>
    <row r="6" spans="1:20" ht="13.15" customHeight="1">
      <c r="A6" s="241"/>
      <c r="B6" s="218" t="s">
        <v>295</v>
      </c>
      <c r="C6" s="242"/>
      <c r="D6" s="242"/>
      <c r="E6" s="242"/>
      <c r="F6" s="242"/>
      <c r="G6" s="242"/>
      <c r="H6" s="242"/>
      <c r="I6" s="242"/>
      <c r="J6" s="242"/>
      <c r="K6" s="242"/>
      <c r="L6" s="245"/>
      <c r="M6" s="247" t="s">
        <v>380</v>
      </c>
      <c r="N6" s="245"/>
      <c r="O6" s="245"/>
      <c r="P6" s="248"/>
      <c r="Q6" s="597" t="s">
        <v>457</v>
      </c>
      <c r="R6" s="597"/>
      <c r="S6" s="597"/>
      <c r="T6" s="242"/>
    </row>
    <row r="7" spans="1:20">
      <c r="A7" s="241"/>
      <c r="B7" s="219" t="s">
        <v>296</v>
      </c>
      <c r="C7" s="242"/>
      <c r="D7" s="242"/>
      <c r="E7" s="242"/>
      <c r="F7" s="242"/>
      <c r="G7" s="242"/>
      <c r="H7" s="242"/>
      <c r="I7" s="242"/>
      <c r="J7" s="242"/>
      <c r="K7" s="242"/>
      <c r="L7" s="249" t="s">
        <v>381</v>
      </c>
      <c r="M7" s="248" t="s">
        <v>382</v>
      </c>
      <c r="N7" s="245"/>
      <c r="O7" s="245"/>
      <c r="P7" s="248"/>
      <c r="Q7" s="597"/>
      <c r="R7" s="597"/>
      <c r="S7" s="597"/>
      <c r="T7" s="242"/>
    </row>
    <row r="8" spans="1:20">
      <c r="A8" s="241" t="s">
        <v>383</v>
      </c>
      <c r="B8" s="242" t="s">
        <v>297</v>
      </c>
      <c r="C8" s="250"/>
      <c r="D8" s="250">
        <v>67806991.939127892</v>
      </c>
      <c r="E8" s="250">
        <v>5565790.9656917732</v>
      </c>
      <c r="F8" s="250">
        <v>163400.02515121619</v>
      </c>
      <c r="G8" s="250">
        <v>237775</v>
      </c>
      <c r="H8" s="250">
        <v>7944564</v>
      </c>
      <c r="I8" s="250">
        <v>22229250</v>
      </c>
      <c r="J8" s="250">
        <v>9370379</v>
      </c>
      <c r="K8" s="242"/>
      <c r="L8" s="248"/>
      <c r="M8" s="245" t="s">
        <v>384</v>
      </c>
      <c r="N8" s="248"/>
      <c r="O8" s="251">
        <v>1</v>
      </c>
      <c r="P8" s="248"/>
      <c r="Q8" s="597"/>
      <c r="R8" s="597"/>
      <c r="S8" s="597"/>
      <c r="T8" s="242"/>
    </row>
    <row r="9" spans="1:20">
      <c r="A9" s="241" t="s">
        <v>383</v>
      </c>
      <c r="B9" s="242" t="s">
        <v>298</v>
      </c>
      <c r="C9" s="250"/>
      <c r="D9" s="250">
        <v>35735733.640442103</v>
      </c>
      <c r="E9" s="250">
        <v>14086450.181255519</v>
      </c>
      <c r="F9" s="250">
        <v>162604.02518546203</v>
      </c>
      <c r="G9" s="250">
        <v>291845</v>
      </c>
      <c r="H9" s="250">
        <v>6918527</v>
      </c>
      <c r="I9" s="250">
        <v>6494582</v>
      </c>
      <c r="J9" s="250"/>
      <c r="K9" s="242"/>
      <c r="L9" s="249" t="s">
        <v>385</v>
      </c>
      <c r="M9" s="248" t="s">
        <v>386</v>
      </c>
      <c r="N9" s="248"/>
      <c r="O9" s="248" t="s">
        <v>382</v>
      </c>
      <c r="P9" s="248"/>
      <c r="Q9" s="597"/>
      <c r="R9" s="597"/>
      <c r="S9" s="597"/>
      <c r="T9" s="242"/>
    </row>
    <row r="10" spans="1:20">
      <c r="A10" s="241" t="s">
        <v>383</v>
      </c>
      <c r="B10" s="242" t="s">
        <v>299</v>
      </c>
      <c r="C10" s="250"/>
      <c r="D10" s="250"/>
      <c r="E10" s="250">
        <v>22581350.233102709</v>
      </c>
      <c r="F10" s="250">
        <v>2537473.3382703764</v>
      </c>
      <c r="G10" s="250">
        <v>324203</v>
      </c>
      <c r="H10" s="250">
        <v>10754463</v>
      </c>
      <c r="I10" s="250">
        <v>1798279</v>
      </c>
      <c r="J10" s="250"/>
      <c r="K10" s="242"/>
      <c r="L10" s="248"/>
      <c r="M10" s="248"/>
      <c r="N10" s="248"/>
      <c r="O10" s="248" t="s">
        <v>458</v>
      </c>
      <c r="P10" s="248"/>
      <c r="Q10" s="597"/>
      <c r="R10" s="597"/>
      <c r="S10" s="597"/>
      <c r="T10" s="242"/>
    </row>
    <row r="11" spans="1:20">
      <c r="A11" s="241" t="s">
        <v>383</v>
      </c>
      <c r="B11" s="242" t="s">
        <v>300</v>
      </c>
      <c r="C11" s="250"/>
      <c r="D11" s="250"/>
      <c r="E11" s="250"/>
      <c r="F11" s="250">
        <v>1387734.0110500145</v>
      </c>
      <c r="G11" s="250">
        <v>77794</v>
      </c>
      <c r="H11" s="250">
        <v>2811023</v>
      </c>
      <c r="I11" s="250">
        <v>5921265</v>
      </c>
      <c r="J11" s="250"/>
      <c r="K11" s="242"/>
      <c r="L11" s="248"/>
      <c r="M11" s="248"/>
      <c r="N11" s="248"/>
      <c r="O11" s="248"/>
      <c r="P11" s="248"/>
      <c r="Q11" s="597"/>
      <c r="R11" s="597"/>
      <c r="S11" s="597"/>
      <c r="T11" s="242"/>
    </row>
    <row r="12" spans="1:20">
      <c r="A12" s="241" t="s">
        <v>383</v>
      </c>
      <c r="B12" s="242" t="s">
        <v>301</v>
      </c>
      <c r="C12" s="220"/>
      <c r="D12" s="220"/>
      <c r="E12" s="220"/>
      <c r="F12" s="220">
        <v>668151.97534293041</v>
      </c>
      <c r="G12" s="220"/>
      <c r="H12" s="220">
        <v>1334271</v>
      </c>
      <c r="I12" s="220">
        <v>2328091</v>
      </c>
      <c r="J12" s="220"/>
      <c r="K12" s="242"/>
      <c r="L12" s="248"/>
      <c r="M12" s="248"/>
      <c r="N12" s="248"/>
      <c r="O12" s="248"/>
      <c r="P12" s="248"/>
      <c r="Q12" s="248"/>
      <c r="R12" s="248"/>
      <c r="S12" s="248"/>
      <c r="T12" s="242"/>
    </row>
    <row r="13" spans="1:20">
      <c r="A13" s="241"/>
      <c r="B13" s="242"/>
      <c r="C13" s="221"/>
      <c r="D13" s="221"/>
      <c r="E13" s="221"/>
      <c r="F13" s="221"/>
      <c r="G13" s="221"/>
      <c r="H13" s="221"/>
      <c r="I13" s="221"/>
      <c r="J13" s="221"/>
      <c r="K13" s="242"/>
      <c r="L13" s="242"/>
      <c r="M13" s="242"/>
      <c r="N13" s="242"/>
      <c r="O13" s="242"/>
      <c r="P13" s="242"/>
      <c r="Q13" s="242"/>
      <c r="R13" s="242"/>
      <c r="S13" s="242"/>
      <c r="T13" s="242"/>
    </row>
    <row r="14" spans="1:20">
      <c r="A14" s="241"/>
      <c r="B14" s="242" t="s">
        <v>302</v>
      </c>
      <c r="C14" s="250">
        <f>SUM(D14:J14)</f>
        <v>229531991.33462</v>
      </c>
      <c r="D14" s="250">
        <f t="shared" ref="D14:J14" si="0">SUM(D8:D12)</f>
        <v>103542725.57957</v>
      </c>
      <c r="E14" s="250">
        <f t="shared" si="0"/>
        <v>42233591.380050004</v>
      </c>
      <c r="F14" s="250">
        <f t="shared" si="0"/>
        <v>4919363.3749999991</v>
      </c>
      <c r="G14" s="250">
        <f t="shared" si="0"/>
        <v>931617</v>
      </c>
      <c r="H14" s="250">
        <f>SUM(H8:H12)</f>
        <v>29762848</v>
      </c>
      <c r="I14" s="250">
        <f>SUM(I8:I12)</f>
        <v>38771467</v>
      </c>
      <c r="J14" s="250">
        <f t="shared" si="0"/>
        <v>9370379</v>
      </c>
      <c r="K14" s="242"/>
      <c r="L14" s="242"/>
      <c r="M14" s="242"/>
      <c r="N14" s="242"/>
      <c r="O14" s="242"/>
      <c r="P14" s="242"/>
      <c r="Q14" s="242"/>
      <c r="R14" s="242"/>
      <c r="S14" s="242"/>
      <c r="T14" s="242"/>
    </row>
    <row r="15" spans="1:20">
      <c r="A15" s="241"/>
      <c r="B15" s="242" t="s">
        <v>303</v>
      </c>
      <c r="C15" s="222"/>
      <c r="D15" s="222"/>
      <c r="E15" s="222"/>
      <c r="F15" s="222"/>
      <c r="G15" s="222"/>
      <c r="H15" s="222"/>
      <c r="I15" s="222"/>
      <c r="J15" s="222"/>
      <c r="K15" s="242"/>
      <c r="L15" s="242"/>
      <c r="M15" s="242"/>
      <c r="N15" s="242"/>
      <c r="O15" s="242"/>
      <c r="P15" s="242"/>
      <c r="Q15" s="242"/>
      <c r="R15" s="242"/>
      <c r="S15" s="242"/>
      <c r="T15" s="242"/>
    </row>
    <row r="16" spans="1:20">
      <c r="A16" s="241"/>
      <c r="B16" s="242"/>
      <c r="C16" s="250"/>
      <c r="D16" s="250"/>
      <c r="E16" s="250"/>
      <c r="F16" s="250"/>
      <c r="G16" s="250"/>
      <c r="H16" s="250"/>
      <c r="I16" s="250"/>
      <c r="J16" s="250"/>
      <c r="K16" s="242"/>
      <c r="L16" s="242"/>
      <c r="M16" s="242"/>
      <c r="N16" s="242"/>
      <c r="O16" s="242"/>
      <c r="P16" s="242"/>
      <c r="Q16" s="242"/>
      <c r="R16" s="242"/>
      <c r="S16" s="242"/>
      <c r="T16" s="242"/>
    </row>
    <row r="17" spans="1:20">
      <c r="A17" s="241"/>
      <c r="B17" s="242" t="s">
        <v>302</v>
      </c>
      <c r="C17" s="250">
        <f>SUM(D17:J17)</f>
        <v>229531991.33462</v>
      </c>
      <c r="D17" s="250">
        <f t="shared" ref="D17:J17" si="1">D14+D15</f>
        <v>103542725.57957</v>
      </c>
      <c r="E17" s="250">
        <f t="shared" si="1"/>
        <v>42233591.380050004</v>
      </c>
      <c r="F17" s="250">
        <f t="shared" si="1"/>
        <v>4919363.3749999991</v>
      </c>
      <c r="G17" s="250">
        <f t="shared" si="1"/>
        <v>931617</v>
      </c>
      <c r="H17" s="250">
        <f>H14+H15</f>
        <v>29762848</v>
      </c>
      <c r="I17" s="250">
        <f t="shared" si="1"/>
        <v>38771467</v>
      </c>
      <c r="J17" s="250">
        <f t="shared" si="1"/>
        <v>9370379</v>
      </c>
      <c r="K17" s="242"/>
      <c r="L17" s="242"/>
      <c r="M17" s="242"/>
      <c r="N17" s="242"/>
      <c r="O17" s="242"/>
      <c r="P17" s="242"/>
      <c r="Q17" s="242"/>
      <c r="R17" s="242"/>
      <c r="S17" s="242"/>
      <c r="T17" s="242"/>
    </row>
    <row r="18" spans="1:20">
      <c r="A18" s="241"/>
      <c r="B18" s="242" t="s">
        <v>304</v>
      </c>
      <c r="C18" s="222">
        <f>SUM(D18:J18)</f>
        <v>0</v>
      </c>
      <c r="D18" s="222">
        <v>0</v>
      </c>
      <c r="E18" s="222">
        <v>0</v>
      </c>
      <c r="F18" s="222"/>
      <c r="G18" s="222"/>
      <c r="H18" s="222"/>
      <c r="I18" s="222"/>
      <c r="J18" s="222"/>
      <c r="K18" s="242"/>
      <c r="L18" s="242"/>
      <c r="M18" s="242"/>
      <c r="N18" s="242"/>
      <c r="O18" s="242"/>
      <c r="P18" s="242"/>
      <c r="Q18" s="242"/>
      <c r="R18" s="242"/>
      <c r="S18" s="242"/>
      <c r="T18" s="242"/>
    </row>
    <row r="19" spans="1:20">
      <c r="A19" s="241"/>
      <c r="B19" s="242"/>
      <c r="C19" s="250"/>
      <c r="D19" s="250"/>
      <c r="E19" s="250"/>
      <c r="F19" s="250"/>
      <c r="G19" s="250"/>
      <c r="H19" s="250"/>
      <c r="I19" s="250"/>
      <c r="J19" s="250"/>
      <c r="K19" s="242"/>
      <c r="L19" s="242"/>
      <c r="M19" s="242"/>
      <c r="N19" s="242"/>
      <c r="O19" s="242"/>
      <c r="P19" s="242"/>
      <c r="Q19" s="242"/>
      <c r="R19" s="242"/>
      <c r="S19" s="242"/>
      <c r="T19" s="242"/>
    </row>
    <row r="20" spans="1:20">
      <c r="A20" s="241"/>
      <c r="B20" s="242" t="s">
        <v>305</v>
      </c>
      <c r="C20" s="250">
        <f>SUM(D20:J20)</f>
        <v>229531991.33462</v>
      </c>
      <c r="D20" s="250">
        <f t="shared" ref="D20:J20" si="2">D17+D18</f>
        <v>103542725.57957</v>
      </c>
      <c r="E20" s="250">
        <f t="shared" si="2"/>
        <v>42233591.380050004</v>
      </c>
      <c r="F20" s="250">
        <f t="shared" si="2"/>
        <v>4919363.3749999991</v>
      </c>
      <c r="G20" s="250">
        <f t="shared" si="2"/>
        <v>931617</v>
      </c>
      <c r="H20" s="250">
        <f>H17+I18</f>
        <v>29762848</v>
      </c>
      <c r="I20" s="250">
        <f>I17+I18</f>
        <v>38771467</v>
      </c>
      <c r="J20" s="250">
        <f t="shared" si="2"/>
        <v>9370379</v>
      </c>
      <c r="K20" s="242"/>
      <c r="L20" s="242"/>
      <c r="M20" s="242"/>
      <c r="N20" s="242"/>
      <c r="O20" s="242"/>
      <c r="P20" s="242"/>
      <c r="Q20" s="242"/>
      <c r="R20" s="242"/>
      <c r="S20" s="242"/>
      <c r="T20" s="242"/>
    </row>
    <row r="21" spans="1:20">
      <c r="A21" s="241" t="s">
        <v>306</v>
      </c>
      <c r="B21" s="242" t="s">
        <v>307</v>
      </c>
      <c r="C21" s="222">
        <f>SUM(D21:J21)</f>
        <v>21216870</v>
      </c>
      <c r="D21" s="222">
        <f>D134+D137</f>
        <v>15818450</v>
      </c>
      <c r="E21" s="222">
        <f t="shared" ref="E21:J21" si="3">E134+E137</f>
        <v>5142273</v>
      </c>
      <c r="F21" s="222">
        <f t="shared" si="3"/>
        <v>256147</v>
      </c>
      <c r="G21" s="222">
        <f t="shared" si="3"/>
        <v>0</v>
      </c>
      <c r="H21" s="222">
        <f>H134+H137</f>
        <v>0</v>
      </c>
      <c r="I21" s="222">
        <f t="shared" si="3"/>
        <v>0</v>
      </c>
      <c r="J21" s="222">
        <f t="shared" si="3"/>
        <v>0</v>
      </c>
      <c r="K21" s="242"/>
      <c r="L21" s="242"/>
      <c r="M21" s="242"/>
      <c r="N21" s="242"/>
      <c r="O21" s="242"/>
      <c r="P21" s="242"/>
      <c r="Q21" s="242"/>
      <c r="R21" s="242"/>
      <c r="S21" s="242"/>
      <c r="T21" s="242"/>
    </row>
    <row r="22" spans="1:20">
      <c r="A22" s="241"/>
      <c r="B22" s="242"/>
      <c r="C22" s="250"/>
      <c r="D22" s="250"/>
      <c r="E22" s="250"/>
      <c r="F22" s="250"/>
      <c r="G22" s="250"/>
      <c r="H22" s="250"/>
      <c r="I22" s="250"/>
      <c r="J22" s="250"/>
      <c r="K22" s="242"/>
      <c r="L22" s="242"/>
      <c r="M22" s="242"/>
      <c r="N22" s="242"/>
      <c r="O22" s="242"/>
      <c r="P22" s="242"/>
      <c r="Q22" s="242"/>
      <c r="R22" s="242"/>
      <c r="S22" s="242"/>
      <c r="T22" s="242"/>
    </row>
    <row r="23" spans="1:20">
      <c r="A23" s="241"/>
      <c r="B23" s="242" t="s">
        <v>308</v>
      </c>
      <c r="C23" s="250">
        <f>IF(ROUND(SUM(C20:C21),3)&lt;&gt;ROUND(SUM(D23:J23),3),#VALUE!,SUM(D23:J23))</f>
        <v>250748861.33462</v>
      </c>
      <c r="D23" s="250">
        <f t="shared" ref="D23:J23" si="4">SUM(D20:D21)</f>
        <v>119361175.57957</v>
      </c>
      <c r="E23" s="250">
        <f t="shared" si="4"/>
        <v>47375864.380050004</v>
      </c>
      <c r="F23" s="250">
        <f t="shared" si="4"/>
        <v>5175510.3749999991</v>
      </c>
      <c r="G23" s="250">
        <f t="shared" si="4"/>
        <v>931617</v>
      </c>
      <c r="H23" s="250">
        <f>SUM(H20:H21)</f>
        <v>29762848</v>
      </c>
      <c r="I23" s="250">
        <f t="shared" si="4"/>
        <v>38771467</v>
      </c>
      <c r="J23" s="250">
        <f t="shared" si="4"/>
        <v>9370379</v>
      </c>
      <c r="K23" s="242"/>
      <c r="L23" s="242"/>
      <c r="M23" s="242"/>
      <c r="N23" s="242"/>
      <c r="O23" s="242"/>
      <c r="P23" s="242"/>
      <c r="Q23" s="242"/>
      <c r="R23" s="242"/>
      <c r="S23" s="242"/>
      <c r="T23" s="242"/>
    </row>
    <row r="24" spans="1:20">
      <c r="A24" s="241"/>
      <c r="B24" s="242"/>
      <c r="C24" s="250"/>
      <c r="D24" s="250"/>
      <c r="E24" s="250"/>
      <c r="F24" s="250"/>
      <c r="G24" s="250"/>
      <c r="H24" s="250"/>
      <c r="I24" s="250"/>
      <c r="J24" s="250"/>
      <c r="K24" s="242"/>
      <c r="L24" s="242"/>
      <c r="M24" s="242"/>
      <c r="N24" s="242"/>
      <c r="O24" s="242"/>
      <c r="P24" s="242"/>
      <c r="Q24" s="242"/>
      <c r="R24" s="242"/>
      <c r="S24" s="242"/>
      <c r="T24" s="242"/>
    </row>
    <row r="25" spans="1:20">
      <c r="A25" s="241" t="s">
        <v>383</v>
      </c>
      <c r="B25" s="242" t="s">
        <v>309</v>
      </c>
      <c r="C25" s="250"/>
      <c r="D25" s="250">
        <v>1807677</v>
      </c>
      <c r="E25" s="250"/>
      <c r="F25" s="250"/>
      <c r="G25" s="250">
        <v>24</v>
      </c>
      <c r="H25" s="250">
        <v>456</v>
      </c>
      <c r="I25" s="250">
        <v>48</v>
      </c>
      <c r="J25" s="250">
        <v>12</v>
      </c>
      <c r="K25" s="242"/>
      <c r="L25" s="242"/>
      <c r="M25" s="242"/>
      <c r="N25" s="242"/>
      <c r="O25" s="242"/>
      <c r="P25" s="242"/>
      <c r="Q25" s="242"/>
      <c r="R25" s="242"/>
      <c r="S25" s="242"/>
      <c r="T25" s="242"/>
    </row>
    <row r="26" spans="1:20">
      <c r="A26" s="241" t="s">
        <v>383</v>
      </c>
      <c r="B26" s="242" t="s">
        <v>310</v>
      </c>
      <c r="C26" s="250"/>
      <c r="D26" s="250"/>
      <c r="E26" s="250">
        <v>31406</v>
      </c>
      <c r="F26" s="250">
        <v>324</v>
      </c>
      <c r="G26" s="250"/>
      <c r="H26" s="250"/>
      <c r="I26" s="250"/>
      <c r="J26" s="250"/>
      <c r="K26" s="242"/>
      <c r="L26" s="242"/>
      <c r="M26" s="242"/>
      <c r="N26" s="242"/>
      <c r="O26" s="242"/>
      <c r="P26" s="242"/>
      <c r="Q26" s="242"/>
      <c r="R26" s="242"/>
      <c r="S26" s="242"/>
      <c r="T26" s="242"/>
    </row>
    <row r="27" spans="1:20">
      <c r="A27" s="241"/>
      <c r="B27" s="242"/>
      <c r="C27" s="250"/>
      <c r="D27" s="250"/>
      <c r="E27" s="250"/>
      <c r="F27" s="250"/>
      <c r="G27" s="250"/>
      <c r="H27" s="250"/>
      <c r="I27" s="250"/>
      <c r="J27" s="250"/>
      <c r="K27" s="242"/>
      <c r="L27" s="242"/>
      <c r="M27" s="242"/>
      <c r="N27" s="242"/>
      <c r="O27" s="242"/>
      <c r="P27" s="242"/>
      <c r="Q27" s="242"/>
      <c r="R27" s="242"/>
      <c r="S27" s="242"/>
      <c r="T27" s="242"/>
    </row>
    <row r="28" spans="1:20">
      <c r="A28" s="241" t="s">
        <v>281</v>
      </c>
      <c r="B28" s="243"/>
      <c r="C28" s="252"/>
      <c r="D28" s="252"/>
      <c r="E28" s="252"/>
      <c r="F28" s="252"/>
      <c r="G28" s="252"/>
      <c r="H28" s="252"/>
      <c r="I28" s="252"/>
      <c r="J28" s="252"/>
      <c r="K28" s="243"/>
      <c r="L28" s="243"/>
      <c r="M28" s="243"/>
      <c r="N28" s="243"/>
      <c r="O28" s="243"/>
      <c r="P28" s="243"/>
      <c r="Q28" s="243"/>
      <c r="R28" s="243"/>
      <c r="S28" s="243"/>
      <c r="T28" s="243"/>
    </row>
    <row r="29" spans="1:20">
      <c r="A29" s="241"/>
      <c r="B29" s="218" t="s">
        <v>311</v>
      </c>
      <c r="C29" s="250"/>
      <c r="D29" s="250"/>
      <c r="E29" s="250"/>
      <c r="F29" s="250"/>
      <c r="G29" s="250"/>
      <c r="H29" s="250"/>
      <c r="I29" s="250"/>
      <c r="J29" s="250"/>
      <c r="K29" s="242"/>
      <c r="L29" s="242"/>
      <c r="M29" s="242"/>
      <c r="N29" s="242"/>
      <c r="O29" s="242"/>
      <c r="P29" s="242"/>
      <c r="Q29" s="242"/>
      <c r="R29" s="242"/>
      <c r="S29" s="242"/>
      <c r="T29" s="242"/>
    </row>
    <row r="30" spans="1:20">
      <c r="A30" s="241"/>
      <c r="B30" s="219" t="s">
        <v>296</v>
      </c>
      <c r="C30" s="250"/>
      <c r="D30" s="250"/>
      <c r="E30" s="250"/>
      <c r="F30" s="250"/>
      <c r="G30" s="250"/>
      <c r="H30" s="250"/>
      <c r="I30" s="250"/>
      <c r="J30" s="250"/>
      <c r="K30" s="242"/>
      <c r="L30" s="242"/>
      <c r="M30" s="242"/>
      <c r="N30" s="242"/>
      <c r="O30" s="242"/>
      <c r="P30" s="242"/>
      <c r="Q30" s="242"/>
      <c r="R30" s="242"/>
      <c r="S30" s="242"/>
      <c r="T30" s="242"/>
    </row>
    <row r="31" spans="1:20">
      <c r="A31" s="241"/>
      <c r="B31" s="242" t="s">
        <v>297</v>
      </c>
      <c r="C31" s="250"/>
      <c r="D31" s="250">
        <f t="shared" ref="D31:J35" si="5">D8</f>
        <v>67806991.939127892</v>
      </c>
      <c r="E31" s="250">
        <f t="shared" si="5"/>
        <v>5565790.9656917732</v>
      </c>
      <c r="F31" s="250">
        <f t="shared" si="5"/>
        <v>163400.02515121619</v>
      </c>
      <c r="G31" s="250">
        <f t="shared" si="5"/>
        <v>237775</v>
      </c>
      <c r="H31" s="250">
        <f t="shared" si="5"/>
        <v>7944564</v>
      </c>
      <c r="I31" s="250">
        <f t="shared" si="5"/>
        <v>22229250</v>
      </c>
      <c r="J31" s="250">
        <f t="shared" si="5"/>
        <v>9370379</v>
      </c>
      <c r="K31" s="242"/>
      <c r="L31" s="242"/>
      <c r="M31" s="242"/>
      <c r="N31" s="242"/>
      <c r="O31" s="242"/>
      <c r="P31" s="242"/>
      <c r="Q31" s="242"/>
      <c r="R31" s="242"/>
      <c r="S31" s="242"/>
      <c r="T31" s="242"/>
    </row>
    <row r="32" spans="1:20">
      <c r="A32" s="241"/>
      <c r="B32" s="242" t="s">
        <v>298</v>
      </c>
      <c r="C32" s="250"/>
      <c r="D32" s="250">
        <f t="shared" si="5"/>
        <v>35735733.640442103</v>
      </c>
      <c r="E32" s="250">
        <f t="shared" si="5"/>
        <v>14086450.181255519</v>
      </c>
      <c r="F32" s="250">
        <f t="shared" si="5"/>
        <v>162604.02518546203</v>
      </c>
      <c r="G32" s="250">
        <f t="shared" si="5"/>
        <v>291845</v>
      </c>
      <c r="H32" s="250">
        <f t="shared" si="5"/>
        <v>6918527</v>
      </c>
      <c r="I32" s="250">
        <f t="shared" si="5"/>
        <v>6494582</v>
      </c>
      <c r="J32" s="250">
        <f t="shared" si="5"/>
        <v>0</v>
      </c>
      <c r="K32" s="242"/>
      <c r="L32" s="242"/>
      <c r="M32" s="242"/>
      <c r="N32" s="242"/>
      <c r="O32" s="242"/>
      <c r="P32" s="242"/>
      <c r="Q32" s="242"/>
      <c r="R32" s="242"/>
      <c r="S32" s="242"/>
      <c r="T32" s="242"/>
    </row>
    <row r="33" spans="1:20">
      <c r="A33" s="241"/>
      <c r="B33" s="242" t="s">
        <v>299</v>
      </c>
      <c r="C33" s="250"/>
      <c r="D33" s="250">
        <f>D10</f>
        <v>0</v>
      </c>
      <c r="E33" s="250">
        <f t="shared" si="5"/>
        <v>22581350.233102709</v>
      </c>
      <c r="F33" s="250">
        <f t="shared" si="5"/>
        <v>2537473.3382703764</v>
      </c>
      <c r="G33" s="250">
        <f t="shared" si="5"/>
        <v>324203</v>
      </c>
      <c r="H33" s="250">
        <f t="shared" si="5"/>
        <v>10754463</v>
      </c>
      <c r="I33" s="250">
        <f t="shared" si="5"/>
        <v>1798279</v>
      </c>
      <c r="J33" s="250">
        <f t="shared" si="5"/>
        <v>0</v>
      </c>
      <c r="K33" s="242"/>
      <c r="L33" s="242"/>
      <c r="M33" s="242"/>
      <c r="N33" s="242"/>
      <c r="O33" s="242"/>
      <c r="P33" s="242"/>
      <c r="Q33" s="242"/>
      <c r="R33" s="242"/>
      <c r="S33" s="242"/>
      <c r="T33" s="242"/>
    </row>
    <row r="34" spans="1:20">
      <c r="A34" s="241"/>
      <c r="B34" s="242" t="s">
        <v>300</v>
      </c>
      <c r="C34" s="250"/>
      <c r="D34" s="250">
        <f>D11</f>
        <v>0</v>
      </c>
      <c r="E34" s="250">
        <f t="shared" si="5"/>
        <v>0</v>
      </c>
      <c r="F34" s="250">
        <f t="shared" si="5"/>
        <v>1387734.0110500145</v>
      </c>
      <c r="G34" s="250">
        <f t="shared" si="5"/>
        <v>77794</v>
      </c>
      <c r="H34" s="250">
        <f t="shared" si="5"/>
        <v>2811023</v>
      </c>
      <c r="I34" s="250">
        <f t="shared" si="5"/>
        <v>5921265</v>
      </c>
      <c r="J34" s="250">
        <f t="shared" si="5"/>
        <v>0</v>
      </c>
      <c r="K34" s="242"/>
      <c r="L34" s="242"/>
      <c r="M34" s="242"/>
      <c r="N34" s="242"/>
      <c r="O34" s="242"/>
      <c r="P34" s="242"/>
      <c r="Q34" s="242"/>
      <c r="R34" s="242"/>
      <c r="S34" s="242"/>
      <c r="T34" s="242"/>
    </row>
    <row r="35" spans="1:20">
      <c r="A35" s="241"/>
      <c r="B35" s="242" t="s">
        <v>301</v>
      </c>
      <c r="C35" s="220"/>
      <c r="D35" s="250">
        <f>D12</f>
        <v>0</v>
      </c>
      <c r="E35" s="250">
        <f t="shared" si="5"/>
        <v>0</v>
      </c>
      <c r="F35" s="250">
        <f t="shared" si="5"/>
        <v>668151.97534293041</v>
      </c>
      <c r="G35" s="250">
        <f t="shared" si="5"/>
        <v>0</v>
      </c>
      <c r="H35" s="250">
        <f t="shared" si="5"/>
        <v>1334271</v>
      </c>
      <c r="I35" s="250">
        <f t="shared" si="5"/>
        <v>2328091</v>
      </c>
      <c r="J35" s="250">
        <f t="shared" si="5"/>
        <v>0</v>
      </c>
      <c r="K35" s="242"/>
      <c r="L35" s="242"/>
      <c r="M35" s="242"/>
      <c r="N35" s="242"/>
      <c r="O35" s="242"/>
      <c r="P35" s="242"/>
      <c r="Q35" s="242"/>
      <c r="R35" s="242"/>
      <c r="S35" s="242"/>
      <c r="T35" s="242"/>
    </row>
    <row r="36" spans="1:20">
      <c r="A36" s="241"/>
      <c r="B36" s="242"/>
      <c r="C36" s="221"/>
      <c r="D36" s="221"/>
      <c r="E36" s="221"/>
      <c r="F36" s="221"/>
      <c r="G36" s="221"/>
      <c r="H36" s="221"/>
      <c r="I36" s="221"/>
      <c r="J36" s="221"/>
      <c r="K36" s="242"/>
      <c r="L36" s="242"/>
      <c r="M36" s="242"/>
      <c r="N36" s="242"/>
      <c r="O36" s="242"/>
      <c r="P36" s="242"/>
      <c r="Q36" s="242"/>
      <c r="R36" s="242"/>
      <c r="S36" s="242"/>
      <c r="T36" s="242"/>
    </row>
    <row r="37" spans="1:20">
      <c r="A37" s="241"/>
      <c r="B37" s="242" t="s">
        <v>302</v>
      </c>
      <c r="C37" s="250">
        <f>SUM(D37:J37)</f>
        <v>229531991.33462</v>
      </c>
      <c r="D37" s="250">
        <f t="shared" ref="D37:J37" si="6">SUM(D31:D35)</f>
        <v>103542725.57957</v>
      </c>
      <c r="E37" s="250">
        <f t="shared" si="6"/>
        <v>42233591.380050004</v>
      </c>
      <c r="F37" s="250">
        <f t="shared" si="6"/>
        <v>4919363.3749999991</v>
      </c>
      <c r="G37" s="250">
        <f t="shared" si="6"/>
        <v>931617</v>
      </c>
      <c r="H37" s="250">
        <f>SUM(H31:H35)</f>
        <v>29762848</v>
      </c>
      <c r="I37" s="250">
        <f>SUM(I31:I35)</f>
        <v>38771467</v>
      </c>
      <c r="J37" s="250">
        <f t="shared" si="6"/>
        <v>9370379</v>
      </c>
      <c r="K37" s="242"/>
      <c r="L37" s="242"/>
      <c r="M37" s="242"/>
      <c r="N37" s="242"/>
      <c r="O37" s="242"/>
      <c r="P37" s="242"/>
      <c r="Q37" s="242"/>
      <c r="R37" s="242"/>
      <c r="S37" s="242"/>
      <c r="T37" s="242"/>
    </row>
    <row r="38" spans="1:20">
      <c r="A38" s="241"/>
      <c r="B38" s="242" t="s">
        <v>312</v>
      </c>
      <c r="C38" s="222">
        <f>SUM(D38:J38)</f>
        <v>0</v>
      </c>
      <c r="D38" s="222">
        <f t="shared" ref="D38:J38" si="7">D15</f>
        <v>0</v>
      </c>
      <c r="E38" s="222">
        <f t="shared" si="7"/>
        <v>0</v>
      </c>
      <c r="F38" s="222">
        <f t="shared" si="7"/>
        <v>0</v>
      </c>
      <c r="G38" s="222">
        <f t="shared" si="7"/>
        <v>0</v>
      </c>
      <c r="H38" s="222">
        <f>H15</f>
        <v>0</v>
      </c>
      <c r="I38" s="222">
        <f t="shared" si="7"/>
        <v>0</v>
      </c>
      <c r="J38" s="222">
        <f t="shared" si="7"/>
        <v>0</v>
      </c>
      <c r="K38" s="242"/>
      <c r="L38" s="242"/>
      <c r="M38" s="242"/>
      <c r="N38" s="242"/>
      <c r="O38" s="242"/>
      <c r="P38" s="242"/>
      <c r="Q38" s="242"/>
      <c r="R38" s="242"/>
      <c r="S38" s="242"/>
      <c r="T38" s="242"/>
    </row>
    <row r="39" spans="1:20">
      <c r="A39" s="241"/>
      <c r="B39" s="242"/>
      <c r="C39" s="250"/>
      <c r="D39" s="250"/>
      <c r="E39" s="250"/>
      <c r="F39" s="250"/>
      <c r="G39" s="250"/>
      <c r="H39" s="250"/>
      <c r="I39" s="250"/>
      <c r="J39" s="250"/>
      <c r="K39" s="242"/>
      <c r="L39" s="242"/>
      <c r="M39" s="242"/>
      <c r="N39" s="242"/>
      <c r="O39" s="242"/>
      <c r="P39" s="242"/>
      <c r="Q39" s="242"/>
      <c r="R39" s="242"/>
      <c r="S39" s="242"/>
      <c r="T39" s="242"/>
    </row>
    <row r="40" spans="1:20">
      <c r="A40" s="241"/>
      <c r="B40" s="242" t="s">
        <v>302</v>
      </c>
      <c r="C40" s="250">
        <f>SUM(D40:J40)</f>
        <v>229531991.33462</v>
      </c>
      <c r="D40" s="250">
        <f t="shared" ref="D40:J40" si="8">D37+D38</f>
        <v>103542725.57957</v>
      </c>
      <c r="E40" s="250">
        <f t="shared" si="8"/>
        <v>42233591.380050004</v>
      </c>
      <c r="F40" s="250">
        <f t="shared" si="8"/>
        <v>4919363.3749999991</v>
      </c>
      <c r="G40" s="250">
        <f t="shared" si="8"/>
        <v>931617</v>
      </c>
      <c r="H40" s="250">
        <f>H37+H38</f>
        <v>29762848</v>
      </c>
      <c r="I40" s="250">
        <f t="shared" si="8"/>
        <v>38771467</v>
      </c>
      <c r="J40" s="250">
        <f t="shared" si="8"/>
        <v>9370379</v>
      </c>
      <c r="K40" s="242"/>
      <c r="L40" s="242"/>
      <c r="M40" s="242"/>
      <c r="N40" s="242"/>
      <c r="O40" s="242"/>
      <c r="P40" s="242"/>
      <c r="Q40" s="242"/>
      <c r="R40" s="242"/>
      <c r="S40" s="242"/>
      <c r="T40" s="242"/>
    </row>
    <row r="41" spans="1:20">
      <c r="A41" s="241"/>
      <c r="B41" s="242" t="s">
        <v>304</v>
      </c>
      <c r="C41" s="222">
        <f>SUM(D41:J41)</f>
        <v>0</v>
      </c>
      <c r="D41" s="222">
        <f t="shared" ref="D41:J41" si="9">D18</f>
        <v>0</v>
      </c>
      <c r="E41" s="222">
        <f t="shared" si="9"/>
        <v>0</v>
      </c>
      <c r="F41" s="222">
        <f t="shared" si="9"/>
        <v>0</v>
      </c>
      <c r="G41" s="222">
        <f t="shared" si="9"/>
        <v>0</v>
      </c>
      <c r="H41" s="222">
        <f t="shared" si="9"/>
        <v>0</v>
      </c>
      <c r="I41" s="222">
        <f t="shared" si="9"/>
        <v>0</v>
      </c>
      <c r="J41" s="222">
        <f t="shared" si="9"/>
        <v>0</v>
      </c>
      <c r="K41" s="242"/>
      <c r="L41" s="242"/>
      <c r="M41" s="242"/>
      <c r="N41" s="242"/>
      <c r="O41" s="242"/>
      <c r="P41" s="242"/>
      <c r="Q41" s="242"/>
      <c r="R41" s="242"/>
      <c r="S41" s="242"/>
      <c r="T41" s="242"/>
    </row>
    <row r="42" spans="1:20">
      <c r="A42" s="241"/>
      <c r="B42" s="242"/>
      <c r="C42" s="250"/>
      <c r="D42" s="250"/>
      <c r="E42" s="250"/>
      <c r="F42" s="250"/>
      <c r="G42" s="250"/>
      <c r="H42" s="250"/>
      <c r="I42" s="250"/>
      <c r="J42" s="250"/>
      <c r="K42" s="242"/>
      <c r="L42" s="242"/>
      <c r="M42" s="242"/>
      <c r="N42" s="242"/>
      <c r="O42" s="242"/>
      <c r="P42" s="242"/>
      <c r="Q42" s="242"/>
      <c r="R42" s="242"/>
      <c r="S42" s="242"/>
      <c r="T42" s="242"/>
    </row>
    <row r="43" spans="1:20">
      <c r="A43" s="241"/>
      <c r="B43" s="242" t="s">
        <v>305</v>
      </c>
      <c r="C43" s="250">
        <f>SUM(D43:J43)</f>
        <v>229531991.33462</v>
      </c>
      <c r="D43" s="250">
        <f t="shared" ref="D43:J43" si="10">D40+D41</f>
        <v>103542725.57957</v>
      </c>
      <c r="E43" s="250">
        <f t="shared" si="10"/>
        <v>42233591.380050004</v>
      </c>
      <c r="F43" s="250">
        <f t="shared" si="10"/>
        <v>4919363.3749999991</v>
      </c>
      <c r="G43" s="250">
        <f t="shared" si="10"/>
        <v>931617</v>
      </c>
      <c r="H43" s="250">
        <f>H40+H41</f>
        <v>29762848</v>
      </c>
      <c r="I43" s="250">
        <f>I40+I41</f>
        <v>38771467</v>
      </c>
      <c r="J43" s="250">
        <f t="shared" si="10"/>
        <v>9370379</v>
      </c>
      <c r="K43" s="242"/>
      <c r="L43" s="242"/>
      <c r="M43" s="242"/>
      <c r="N43" s="242"/>
      <c r="O43" s="242"/>
      <c r="P43" s="242"/>
      <c r="Q43" s="242"/>
      <c r="R43" s="242"/>
      <c r="S43" s="242"/>
      <c r="T43" s="242"/>
    </row>
    <row r="44" spans="1:20">
      <c r="A44" s="241"/>
      <c r="B44" s="242" t="s">
        <v>307</v>
      </c>
      <c r="C44" s="222">
        <f>SUM(D44:J44)</f>
        <v>21216870</v>
      </c>
      <c r="D44" s="222">
        <f t="shared" ref="D44:J44" si="11">D21</f>
        <v>15818450</v>
      </c>
      <c r="E44" s="222">
        <f t="shared" si="11"/>
        <v>5142273</v>
      </c>
      <c r="F44" s="222">
        <f t="shared" si="11"/>
        <v>256147</v>
      </c>
      <c r="G44" s="222">
        <f t="shared" si="11"/>
        <v>0</v>
      </c>
      <c r="H44" s="222">
        <f>H21</f>
        <v>0</v>
      </c>
      <c r="I44" s="222">
        <f t="shared" si="11"/>
        <v>0</v>
      </c>
      <c r="J44" s="222">
        <f t="shared" si="11"/>
        <v>0</v>
      </c>
      <c r="K44" s="242"/>
      <c r="L44" s="242"/>
      <c r="M44" s="242"/>
      <c r="N44" s="242"/>
      <c r="O44" s="242"/>
      <c r="P44" s="242"/>
      <c r="Q44" s="242"/>
      <c r="R44" s="242"/>
      <c r="S44" s="242"/>
      <c r="T44" s="242"/>
    </row>
    <row r="45" spans="1:20">
      <c r="A45" s="241"/>
      <c r="B45" s="242"/>
      <c r="C45" s="250"/>
      <c r="D45" s="250"/>
      <c r="E45" s="250"/>
      <c r="F45" s="250"/>
      <c r="G45" s="250"/>
      <c r="H45" s="250"/>
      <c r="I45" s="250"/>
      <c r="J45" s="250"/>
      <c r="K45" s="242"/>
      <c r="L45" s="242"/>
      <c r="M45" s="242"/>
      <c r="N45" s="242"/>
      <c r="O45" s="242"/>
      <c r="P45" s="242"/>
      <c r="Q45" s="242"/>
      <c r="R45" s="242"/>
      <c r="S45" s="242"/>
      <c r="T45" s="242"/>
    </row>
    <row r="46" spans="1:20">
      <c r="A46" s="241"/>
      <c r="B46" s="242" t="s">
        <v>308</v>
      </c>
      <c r="C46" s="250">
        <f>IF(ROUND(SUM(C43:C44),3)&lt;&gt;ROUND(SUM(D46:J46),3),#VALUE!,SUM(D46:J46))</f>
        <v>250748861.33462</v>
      </c>
      <c r="D46" s="250">
        <f t="shared" ref="D46:J46" si="12">D43+D44</f>
        <v>119361175.57957</v>
      </c>
      <c r="E46" s="250">
        <f t="shared" si="12"/>
        <v>47375864.380050004</v>
      </c>
      <c r="F46" s="250">
        <f t="shared" si="12"/>
        <v>5175510.3749999991</v>
      </c>
      <c r="G46" s="250">
        <f t="shared" si="12"/>
        <v>931617</v>
      </c>
      <c r="H46" s="250">
        <f>H43+H44</f>
        <v>29762848</v>
      </c>
      <c r="I46" s="250">
        <f t="shared" si="12"/>
        <v>38771467</v>
      </c>
      <c r="J46" s="250">
        <f t="shared" si="12"/>
        <v>9370379</v>
      </c>
      <c r="K46" s="242"/>
      <c r="L46" s="242"/>
      <c r="M46" s="242"/>
      <c r="N46" s="242"/>
      <c r="O46" s="242"/>
      <c r="P46" s="242"/>
      <c r="Q46" s="242"/>
      <c r="R46" s="242"/>
      <c r="S46" s="242"/>
      <c r="T46" s="242"/>
    </row>
    <row r="47" spans="1:20">
      <c r="A47" s="241"/>
      <c r="B47" s="242"/>
      <c r="C47" s="250"/>
      <c r="D47" s="250"/>
      <c r="E47" s="250"/>
      <c r="F47" s="250"/>
      <c r="G47" s="250"/>
      <c r="H47" s="250"/>
      <c r="I47" s="250"/>
      <c r="J47" s="250"/>
      <c r="K47" s="242"/>
      <c r="L47" s="242"/>
      <c r="M47" s="242"/>
      <c r="N47" s="242"/>
      <c r="O47" s="242"/>
      <c r="P47" s="242"/>
      <c r="Q47" s="242"/>
      <c r="R47" s="242"/>
      <c r="S47" s="242"/>
      <c r="T47" s="242"/>
    </row>
    <row r="48" spans="1:20">
      <c r="A48" s="241"/>
      <c r="B48" s="242" t="s">
        <v>309</v>
      </c>
      <c r="C48" s="250"/>
      <c r="D48" s="250">
        <f t="shared" ref="D48:F49" si="13">D25</f>
        <v>1807677</v>
      </c>
      <c r="E48" s="250">
        <f t="shared" si="13"/>
        <v>0</v>
      </c>
      <c r="F48" s="250">
        <f t="shared" si="13"/>
        <v>0</v>
      </c>
      <c r="G48" s="250">
        <f>G25</f>
        <v>24</v>
      </c>
      <c r="H48" s="250">
        <f>H25</f>
        <v>456</v>
      </c>
      <c r="I48" s="250">
        <f>I25</f>
        <v>48</v>
      </c>
      <c r="J48" s="250">
        <f>J25</f>
        <v>12</v>
      </c>
      <c r="K48" s="242"/>
      <c r="L48" s="242"/>
      <c r="M48" s="242"/>
      <c r="N48" s="242"/>
      <c r="O48" s="242"/>
      <c r="P48" s="242"/>
      <c r="Q48" s="242"/>
      <c r="R48" s="242"/>
      <c r="S48" s="242"/>
      <c r="T48" s="242"/>
    </row>
    <row r="49" spans="1:20">
      <c r="A49" s="241"/>
      <c r="B49" s="242" t="s">
        <v>310</v>
      </c>
      <c r="C49" s="250"/>
      <c r="D49" s="250">
        <f t="shared" si="13"/>
        <v>0</v>
      </c>
      <c r="E49" s="250">
        <f t="shared" si="13"/>
        <v>31406</v>
      </c>
      <c r="F49" s="250">
        <f t="shared" si="13"/>
        <v>324</v>
      </c>
      <c r="G49" s="250"/>
      <c r="H49" s="250"/>
      <c r="I49" s="250"/>
      <c r="J49" s="250"/>
      <c r="K49" s="242"/>
      <c r="L49" s="242"/>
      <c r="M49" s="242"/>
      <c r="N49" s="242"/>
      <c r="O49" s="242"/>
      <c r="P49" s="242"/>
      <c r="Q49" s="242"/>
      <c r="R49" s="242"/>
      <c r="S49" s="242"/>
      <c r="T49" s="242"/>
    </row>
    <row r="50" spans="1:20">
      <c r="A50" s="241"/>
      <c r="B50" s="242"/>
      <c r="C50" s="253"/>
      <c r="D50" s="254"/>
      <c r="E50" s="254">
        <v>2</v>
      </c>
      <c r="F50" s="254">
        <v>3</v>
      </c>
      <c r="G50" s="254">
        <v>4</v>
      </c>
      <c r="H50" s="254">
        <v>5</v>
      </c>
      <c r="I50" s="254">
        <v>6</v>
      </c>
      <c r="J50" s="254">
        <v>7</v>
      </c>
      <c r="K50" s="242"/>
      <c r="L50" s="242"/>
      <c r="M50" s="242"/>
      <c r="N50" s="242"/>
      <c r="O50" s="242"/>
      <c r="P50" s="242"/>
      <c r="Q50" s="242"/>
      <c r="R50" s="242"/>
      <c r="S50" s="242"/>
      <c r="T50" s="242"/>
    </row>
    <row r="51" spans="1:20">
      <c r="A51" s="241"/>
      <c r="B51" s="242"/>
      <c r="C51" s="253"/>
      <c r="D51" s="255"/>
      <c r="E51" s="255"/>
      <c r="F51" s="255"/>
      <c r="G51" s="255"/>
      <c r="H51" s="255"/>
      <c r="I51" s="253"/>
      <c r="J51" s="242"/>
      <c r="K51" s="242"/>
      <c r="L51" s="242"/>
      <c r="M51" s="242"/>
      <c r="N51" s="242"/>
      <c r="O51" s="242"/>
      <c r="P51" s="242"/>
      <c r="Q51" s="242"/>
      <c r="R51" s="242"/>
      <c r="S51" s="242"/>
      <c r="T51" s="242"/>
    </row>
    <row r="52" spans="1:20">
      <c r="A52" s="241"/>
      <c r="B52" s="242"/>
      <c r="C52" s="253"/>
      <c r="D52" s="242"/>
      <c r="E52" s="242"/>
      <c r="F52" s="242"/>
      <c r="G52" s="242"/>
      <c r="H52" s="242"/>
      <c r="I52" s="242"/>
      <c r="J52" s="243" t="s">
        <v>279</v>
      </c>
      <c r="K52" s="242"/>
      <c r="L52" s="242"/>
      <c r="M52" s="242"/>
      <c r="N52" s="242"/>
      <c r="O52" s="242"/>
      <c r="P52" s="242"/>
      <c r="Q52" s="242"/>
      <c r="R52" s="242"/>
      <c r="S52" s="242"/>
      <c r="T52" s="242"/>
    </row>
    <row r="53" spans="1:20">
      <c r="A53" s="244" t="s">
        <v>280</v>
      </c>
      <c r="B53" s="243"/>
      <c r="C53" s="243" t="s">
        <v>281</v>
      </c>
      <c r="D53" s="243" t="s">
        <v>282</v>
      </c>
      <c r="E53" s="243" t="s">
        <v>283</v>
      </c>
      <c r="F53" s="243" t="s">
        <v>284</v>
      </c>
      <c r="G53" s="243" t="s">
        <v>285</v>
      </c>
      <c r="H53" s="243" t="s">
        <v>279</v>
      </c>
      <c r="I53" s="243" t="s">
        <v>279</v>
      </c>
      <c r="J53" s="216" t="s">
        <v>456</v>
      </c>
      <c r="K53" s="243"/>
      <c r="L53" s="243"/>
      <c r="M53" s="248" t="s">
        <v>459</v>
      </c>
      <c r="N53" s="243"/>
      <c r="O53" s="243"/>
      <c r="P53" s="243"/>
      <c r="Q53" s="243"/>
      <c r="R53" s="243"/>
      <c r="S53" s="243"/>
      <c r="T53" s="243"/>
    </row>
    <row r="54" spans="1:20">
      <c r="A54" s="244" t="s">
        <v>286</v>
      </c>
      <c r="B54" s="217"/>
      <c r="C54" s="217" t="s">
        <v>287</v>
      </c>
      <c r="D54" s="217" t="s">
        <v>288</v>
      </c>
      <c r="E54" s="217" t="s">
        <v>313</v>
      </c>
      <c r="F54" s="217" t="s">
        <v>314</v>
      </c>
      <c r="G54" s="217" t="s">
        <v>315</v>
      </c>
      <c r="H54" s="217" t="s">
        <v>292</v>
      </c>
      <c r="I54" s="217" t="s">
        <v>293</v>
      </c>
      <c r="J54" s="217" t="s">
        <v>294</v>
      </c>
      <c r="K54" s="243"/>
      <c r="L54" s="243"/>
      <c r="M54" s="256" t="s">
        <v>458</v>
      </c>
      <c r="N54" s="243"/>
      <c r="O54" s="243"/>
      <c r="P54" s="243"/>
      <c r="Q54" s="243"/>
      <c r="R54" s="243"/>
      <c r="S54" s="243"/>
      <c r="T54" s="243"/>
    </row>
    <row r="55" spans="1:20">
      <c r="A55" s="241"/>
      <c r="B55" s="218" t="s">
        <v>316</v>
      </c>
      <c r="C55" s="242"/>
      <c r="D55" s="242"/>
      <c r="E55" s="242"/>
      <c r="F55" s="242"/>
      <c r="G55" s="242"/>
      <c r="H55" s="242"/>
      <c r="I55" s="257">
        <v>-1</v>
      </c>
      <c r="J55" s="257">
        <v>-2</v>
      </c>
      <c r="K55" s="242"/>
      <c r="L55" s="242"/>
      <c r="M55" s="248" t="s">
        <v>460</v>
      </c>
      <c r="N55" s="242"/>
      <c r="O55" s="258" t="s">
        <v>387</v>
      </c>
      <c r="P55" s="242"/>
      <c r="Q55" s="242"/>
      <c r="R55" s="242"/>
      <c r="S55" s="242"/>
      <c r="T55" s="242"/>
    </row>
    <row r="56" spans="1:20" ht="13.5">
      <c r="A56" s="259" t="s">
        <v>388</v>
      </c>
      <c r="B56" s="242" t="s">
        <v>317</v>
      </c>
      <c r="C56" s="242"/>
      <c r="D56" s="260">
        <v>9</v>
      </c>
      <c r="E56" s="260">
        <v>0</v>
      </c>
      <c r="F56" s="260">
        <v>0</v>
      </c>
      <c r="G56" s="260">
        <v>0</v>
      </c>
      <c r="H56" s="260">
        <v>525</v>
      </c>
      <c r="I56" s="261">
        <v>200</v>
      </c>
      <c r="J56" s="261">
        <v>26332</v>
      </c>
      <c r="K56" s="262">
        <v>1</v>
      </c>
      <c r="L56" s="242"/>
      <c r="M56" s="248" t="s">
        <v>461</v>
      </c>
      <c r="N56" s="242"/>
      <c r="O56" s="258" t="s">
        <v>389</v>
      </c>
      <c r="P56" s="242"/>
      <c r="Q56" s="242"/>
      <c r="R56" s="242"/>
      <c r="S56" s="242"/>
      <c r="T56" s="242"/>
    </row>
    <row r="57" spans="1:20" ht="13.5">
      <c r="A57" s="259" t="s">
        <v>388</v>
      </c>
      <c r="B57" s="242" t="s">
        <v>390</v>
      </c>
      <c r="C57" s="242"/>
      <c r="D57" s="260">
        <v>0</v>
      </c>
      <c r="E57" s="260">
        <v>101.44</v>
      </c>
      <c r="F57" s="260">
        <v>252.28</v>
      </c>
      <c r="G57" s="260">
        <v>0</v>
      </c>
      <c r="H57" s="263"/>
      <c r="I57" s="261">
        <v>0</v>
      </c>
      <c r="J57" s="261">
        <v>0</v>
      </c>
      <c r="K57" s="262">
        <v>2</v>
      </c>
      <c r="L57" s="242"/>
      <c r="M57" s="242"/>
      <c r="N57" s="242"/>
      <c r="O57" s="242"/>
      <c r="P57" s="242"/>
      <c r="Q57" s="242"/>
      <c r="R57" s="242"/>
      <c r="S57" s="242"/>
      <c r="T57" s="242"/>
    </row>
    <row r="58" spans="1:20">
      <c r="A58" s="241"/>
      <c r="B58" s="242"/>
      <c r="C58" s="242"/>
      <c r="D58" s="242"/>
      <c r="E58" s="242"/>
      <c r="F58" s="242"/>
      <c r="G58" s="242"/>
      <c r="H58" s="242"/>
      <c r="I58" s="262"/>
      <c r="J58" s="262"/>
      <c r="K58" s="242"/>
      <c r="L58" s="242"/>
      <c r="M58" s="242"/>
      <c r="N58" s="242"/>
      <c r="O58" s="242"/>
      <c r="P58" s="242"/>
      <c r="Q58" s="242"/>
      <c r="R58" s="242"/>
      <c r="S58" s="242"/>
      <c r="T58" s="242"/>
    </row>
    <row r="59" spans="1:20" ht="13.5">
      <c r="A59" s="259" t="s">
        <v>388</v>
      </c>
      <c r="B59" s="242" t="s">
        <v>319</v>
      </c>
      <c r="C59" s="242"/>
      <c r="D59" s="264">
        <v>38.685000000000002</v>
      </c>
      <c r="E59" s="264">
        <v>0</v>
      </c>
      <c r="F59" s="264">
        <v>0</v>
      </c>
      <c r="G59" s="264">
        <v>25.277000000000001</v>
      </c>
      <c r="H59" s="264">
        <v>10.009</v>
      </c>
      <c r="I59" s="447">
        <v>2.8</v>
      </c>
      <c r="J59" s="265">
        <v>1</v>
      </c>
      <c r="K59" s="262">
        <v>3</v>
      </c>
      <c r="L59" s="242"/>
      <c r="M59" s="242"/>
      <c r="N59" s="242"/>
      <c r="O59" s="242"/>
      <c r="P59" s="242"/>
      <c r="Q59" s="242"/>
      <c r="R59" s="242"/>
      <c r="S59" s="242"/>
      <c r="T59" s="242"/>
    </row>
    <row r="60" spans="1:20" ht="13.5">
      <c r="A60" s="259" t="s">
        <v>388</v>
      </c>
      <c r="B60" s="242" t="s">
        <v>320</v>
      </c>
      <c r="C60" s="242"/>
      <c r="D60" s="264">
        <v>50.279000000000003</v>
      </c>
      <c r="E60" s="264">
        <v>34.033999999999999</v>
      </c>
      <c r="F60" s="264">
        <v>35.67</v>
      </c>
      <c r="G60" s="264">
        <v>20.291</v>
      </c>
      <c r="H60" s="264">
        <v>8.9049999999999994</v>
      </c>
      <c r="I60" s="447">
        <v>4.5</v>
      </c>
      <c r="J60" s="265">
        <v>0</v>
      </c>
      <c r="K60" s="262">
        <v>4</v>
      </c>
      <c r="L60" s="242"/>
      <c r="M60" s="242"/>
      <c r="N60" s="242"/>
      <c r="O60" s="242"/>
      <c r="P60" s="242"/>
      <c r="Q60" s="242"/>
      <c r="R60" s="242"/>
      <c r="S60" s="242"/>
      <c r="T60" s="242"/>
    </row>
    <row r="61" spans="1:20" ht="13.5">
      <c r="A61" s="259" t="s">
        <v>388</v>
      </c>
      <c r="B61" s="242" t="s">
        <v>321</v>
      </c>
      <c r="C61" s="242"/>
      <c r="D61" s="264">
        <v>0</v>
      </c>
      <c r="E61" s="264">
        <v>25.943000000000001</v>
      </c>
      <c r="F61" s="264">
        <v>27.396999999999998</v>
      </c>
      <c r="G61" s="264">
        <v>19.067</v>
      </c>
      <c r="H61" s="264">
        <v>8.0299999999999994</v>
      </c>
      <c r="I61" s="447">
        <v>3.1680000000000001</v>
      </c>
      <c r="J61" s="265">
        <v>0</v>
      </c>
      <c r="K61" s="262">
        <v>5</v>
      </c>
      <c r="L61" s="242"/>
      <c r="M61" s="242"/>
      <c r="N61" s="242"/>
      <c r="O61" s="242"/>
      <c r="P61" s="242"/>
      <c r="Q61" s="242"/>
      <c r="R61" s="242"/>
      <c r="S61" s="242"/>
      <c r="T61" s="242"/>
    </row>
    <row r="62" spans="1:20" ht="13.5">
      <c r="A62" s="259" t="s">
        <v>388</v>
      </c>
      <c r="B62" s="242" t="s">
        <v>322</v>
      </c>
      <c r="C62" s="242"/>
      <c r="D62" s="264">
        <v>0</v>
      </c>
      <c r="E62" s="264">
        <v>0</v>
      </c>
      <c r="F62" s="264">
        <v>22.202000000000002</v>
      </c>
      <c r="G62" s="264">
        <v>18.661999999999999</v>
      </c>
      <c r="H62" s="264">
        <v>7.4260000000000002</v>
      </c>
      <c r="I62" s="447">
        <v>2.5</v>
      </c>
      <c r="J62" s="265">
        <v>0</v>
      </c>
      <c r="K62" s="262">
        <v>6</v>
      </c>
      <c r="L62" s="242"/>
      <c r="M62" s="242"/>
      <c r="N62" s="242"/>
      <c r="O62" s="242"/>
      <c r="P62" s="242"/>
      <c r="Q62" s="242"/>
      <c r="R62" s="242"/>
      <c r="S62" s="242"/>
      <c r="T62" s="242"/>
    </row>
    <row r="63" spans="1:20" ht="13.5">
      <c r="A63" s="259" t="s">
        <v>388</v>
      </c>
      <c r="B63" s="242" t="s">
        <v>323</v>
      </c>
      <c r="C63" s="242"/>
      <c r="D63" s="264">
        <v>0</v>
      </c>
      <c r="E63" s="264">
        <v>0</v>
      </c>
      <c r="F63" s="264">
        <v>14.725</v>
      </c>
      <c r="G63" s="264">
        <v>0</v>
      </c>
      <c r="H63" s="264">
        <v>5.5810000000000004</v>
      </c>
      <c r="I63" s="447">
        <v>2.0910000000000002</v>
      </c>
      <c r="J63" s="265">
        <v>0</v>
      </c>
      <c r="K63" s="262">
        <v>7</v>
      </c>
      <c r="L63" s="242"/>
      <c r="M63" s="242"/>
      <c r="N63" s="242"/>
      <c r="O63" s="242"/>
      <c r="P63" s="242"/>
      <c r="Q63" s="242"/>
      <c r="R63" s="242"/>
      <c r="S63" s="242"/>
      <c r="T63" s="242"/>
    </row>
    <row r="64" spans="1:20">
      <c r="A64" s="241"/>
      <c r="B64" s="242"/>
      <c r="C64" s="242"/>
      <c r="D64" s="264"/>
      <c r="E64" s="264"/>
      <c r="F64" s="264"/>
      <c r="G64" s="264"/>
      <c r="H64" s="264"/>
      <c r="I64" s="264"/>
      <c r="J64" s="264"/>
      <c r="K64" s="242"/>
      <c r="L64" s="242"/>
      <c r="M64" s="242"/>
      <c r="N64" s="242"/>
      <c r="O64" s="242"/>
      <c r="P64" s="242"/>
      <c r="Q64" s="242"/>
      <c r="R64" s="242"/>
      <c r="S64" s="242"/>
      <c r="T64" s="242"/>
    </row>
    <row r="65" spans="1:20">
      <c r="A65" s="241"/>
      <c r="B65" s="242" t="s">
        <v>324</v>
      </c>
      <c r="C65" s="242"/>
      <c r="D65" s="264">
        <f>(D118-D106-D107)/D17*100</f>
        <v>42.686440889596241</v>
      </c>
      <c r="E65" s="264">
        <f>(E118-E106-E107)/E17*100</f>
        <v>25.222723883794391</v>
      </c>
      <c r="F65" s="264">
        <f>(F118-F106-F107)/F17*100</f>
        <v>23.573833270651612</v>
      </c>
      <c r="G65" s="264">
        <f>(G118-G106-G107)/G17*100</f>
        <v>21.001588635673247</v>
      </c>
      <c r="H65" s="264"/>
      <c r="I65" s="264"/>
      <c r="J65" s="264"/>
      <c r="K65" s="242"/>
      <c r="L65" s="242"/>
      <c r="M65" s="242"/>
      <c r="N65" s="242"/>
      <c r="O65" s="242"/>
      <c r="P65" s="242"/>
      <c r="Q65" s="242"/>
      <c r="R65" s="242"/>
      <c r="S65" s="242"/>
      <c r="T65" s="242"/>
    </row>
    <row r="66" spans="1:20">
      <c r="A66" s="241"/>
      <c r="B66" s="242"/>
      <c r="C66" s="242"/>
      <c r="D66" s="267"/>
      <c r="E66" s="267"/>
      <c r="F66" s="267"/>
      <c r="G66" s="267"/>
      <c r="H66" s="267"/>
      <c r="I66" s="267"/>
      <c r="J66" s="267"/>
      <c r="K66" s="242"/>
      <c r="L66" s="242"/>
      <c r="M66" s="242"/>
      <c r="N66" s="242"/>
      <c r="O66" s="242"/>
      <c r="P66" s="242"/>
      <c r="Q66" s="242"/>
      <c r="R66" s="242"/>
      <c r="S66" s="242"/>
      <c r="T66" s="242"/>
    </row>
    <row r="67" spans="1:20">
      <c r="A67" s="242"/>
      <c r="B67" s="242"/>
      <c r="C67" s="242"/>
      <c r="D67" s="242"/>
      <c r="E67" s="242"/>
      <c r="F67" s="242"/>
      <c r="G67" s="242"/>
      <c r="H67" s="242"/>
      <c r="I67" s="242"/>
      <c r="J67" s="242"/>
      <c r="K67" s="242"/>
      <c r="L67" s="242"/>
      <c r="M67" s="242"/>
      <c r="N67" s="242"/>
      <c r="O67" s="242"/>
      <c r="P67" s="242"/>
      <c r="Q67" s="242"/>
      <c r="R67" s="242"/>
      <c r="S67" s="242"/>
      <c r="T67" s="242"/>
    </row>
    <row r="68" spans="1:20">
      <c r="A68" s="242"/>
      <c r="B68" s="242"/>
      <c r="C68" s="242"/>
      <c r="D68" s="242"/>
      <c r="E68" s="242"/>
      <c r="F68" s="242"/>
      <c r="G68" s="242"/>
      <c r="H68" s="242"/>
      <c r="I68" s="242"/>
      <c r="J68" s="242"/>
      <c r="K68" s="242"/>
      <c r="L68" s="242"/>
      <c r="M68" s="242"/>
      <c r="N68" s="242"/>
      <c r="O68" s="242"/>
      <c r="P68" s="242"/>
      <c r="Q68" s="242"/>
      <c r="R68" s="242"/>
      <c r="S68" s="242"/>
      <c r="T68" s="242"/>
    </row>
    <row r="69" spans="1:20">
      <c r="A69" s="242"/>
      <c r="B69" s="242"/>
      <c r="C69" s="242"/>
      <c r="D69" s="242"/>
      <c r="E69" s="242"/>
      <c r="F69" s="242"/>
      <c r="G69" s="242"/>
      <c r="H69" s="242"/>
      <c r="I69" s="242"/>
      <c r="J69" s="242"/>
      <c r="K69" s="242"/>
      <c r="L69" s="242"/>
      <c r="M69" s="242"/>
      <c r="N69" s="242"/>
      <c r="O69" s="242"/>
      <c r="P69" s="242"/>
      <c r="Q69" s="242"/>
      <c r="R69" s="242"/>
      <c r="S69" s="242"/>
      <c r="T69" s="242"/>
    </row>
    <row r="70" spans="1:20">
      <c r="A70" s="241"/>
      <c r="B70" s="242"/>
      <c r="C70" s="242"/>
      <c r="D70" s="267"/>
      <c r="E70" s="267"/>
      <c r="F70" s="267"/>
      <c r="G70" s="267"/>
      <c r="H70" s="267"/>
      <c r="I70" s="267"/>
      <c r="J70" s="267"/>
      <c r="K70" s="242"/>
      <c r="L70" s="242"/>
      <c r="M70" s="242"/>
      <c r="N70" s="242"/>
      <c r="O70" s="242"/>
      <c r="P70" s="242"/>
      <c r="Q70" s="242"/>
      <c r="R70" s="242"/>
      <c r="S70" s="242"/>
      <c r="T70" s="242"/>
    </row>
    <row r="71" spans="1:20">
      <c r="A71" s="241"/>
      <c r="B71" s="242"/>
      <c r="C71" s="242"/>
      <c r="D71" s="267"/>
      <c r="E71" s="267"/>
      <c r="F71" s="267"/>
      <c r="G71" s="267"/>
      <c r="H71" s="267"/>
      <c r="I71" s="267"/>
      <c r="J71" s="267"/>
      <c r="K71" s="242"/>
      <c r="L71" s="242"/>
      <c r="M71" s="242"/>
      <c r="N71" s="242"/>
      <c r="O71" s="242"/>
      <c r="P71" s="242"/>
      <c r="Q71" s="242"/>
      <c r="R71" s="242"/>
      <c r="S71" s="242"/>
      <c r="T71" s="242"/>
    </row>
    <row r="72" spans="1:20">
      <c r="A72" s="241"/>
      <c r="B72" s="242"/>
      <c r="C72" s="242"/>
      <c r="D72" s="267"/>
      <c r="E72" s="267"/>
      <c r="F72" s="267"/>
      <c r="G72" s="267"/>
      <c r="H72" s="267"/>
      <c r="I72" s="267"/>
      <c r="J72" s="267"/>
      <c r="K72" s="242"/>
      <c r="L72" s="242"/>
      <c r="M72" s="242"/>
      <c r="N72" s="242"/>
      <c r="O72" s="242"/>
      <c r="P72" s="242"/>
      <c r="Q72" s="242"/>
      <c r="R72" s="242"/>
      <c r="S72" s="242"/>
      <c r="T72" s="242"/>
    </row>
    <row r="73" spans="1:20">
      <c r="A73" s="241"/>
      <c r="B73" s="218" t="s">
        <v>325</v>
      </c>
      <c r="C73" s="242"/>
      <c r="D73" s="242"/>
      <c r="E73" s="242"/>
      <c r="F73" s="242"/>
      <c r="G73" s="242"/>
      <c r="H73" s="242"/>
      <c r="I73" s="242"/>
      <c r="J73" s="242"/>
      <c r="K73" s="242"/>
      <c r="L73" s="242"/>
      <c r="M73" s="242"/>
      <c r="N73" s="242"/>
      <c r="O73" s="242"/>
      <c r="P73" s="242"/>
      <c r="Q73" s="242"/>
      <c r="R73" s="242"/>
      <c r="S73" s="242"/>
      <c r="T73" s="242"/>
    </row>
    <row r="74" spans="1:20">
      <c r="A74" s="241"/>
      <c r="B74" s="242" t="s">
        <v>317</v>
      </c>
      <c r="C74" s="242"/>
      <c r="D74" s="260">
        <v>9</v>
      </c>
      <c r="E74" s="260">
        <v>0</v>
      </c>
      <c r="F74" s="260">
        <v>0</v>
      </c>
      <c r="G74" s="260">
        <v>0</v>
      </c>
      <c r="H74" s="260">
        <v>525</v>
      </c>
      <c r="I74" s="261">
        <v>200</v>
      </c>
      <c r="J74" s="261">
        <v>26332</v>
      </c>
      <c r="K74" s="262">
        <v>1</v>
      </c>
      <c r="L74" s="242"/>
      <c r="M74" s="242"/>
      <c r="N74" s="242"/>
      <c r="O74" s="242"/>
      <c r="P74" s="242"/>
      <c r="Q74" s="242"/>
      <c r="R74" s="242"/>
      <c r="S74" s="242"/>
      <c r="T74" s="242"/>
    </row>
    <row r="75" spans="1:20">
      <c r="A75" s="241"/>
      <c r="B75" s="242" t="s">
        <v>318</v>
      </c>
      <c r="C75" s="242"/>
      <c r="D75" s="260">
        <v>0</v>
      </c>
      <c r="E75" s="260">
        <v>101.44</v>
      </c>
      <c r="F75" s="260">
        <v>252.28</v>
      </c>
      <c r="G75" s="260">
        <v>0</v>
      </c>
      <c r="H75" s="260">
        <v>0</v>
      </c>
      <c r="I75" s="261">
        <v>0</v>
      </c>
      <c r="J75" s="261">
        <v>0</v>
      </c>
      <c r="K75" s="262">
        <v>2</v>
      </c>
      <c r="L75" s="242"/>
      <c r="M75" s="242"/>
      <c r="N75" s="242"/>
      <c r="O75" s="242"/>
      <c r="P75" s="242"/>
      <c r="Q75" s="242"/>
      <c r="R75" s="242"/>
      <c r="S75" s="242"/>
      <c r="T75" s="242"/>
    </row>
    <row r="76" spans="1:20">
      <c r="A76" s="241"/>
      <c r="B76" s="242"/>
      <c r="C76" s="242"/>
      <c r="D76" s="242"/>
      <c r="E76" s="242"/>
      <c r="F76" s="242"/>
      <c r="G76" s="242"/>
      <c r="H76" s="242"/>
      <c r="I76" s="262"/>
      <c r="J76" s="262"/>
      <c r="K76" s="242"/>
      <c r="L76" s="242"/>
      <c r="M76" s="242"/>
      <c r="N76" s="242"/>
      <c r="O76" s="242"/>
      <c r="P76" s="242"/>
      <c r="Q76" s="242"/>
      <c r="R76" s="242"/>
      <c r="S76" s="242"/>
      <c r="T76" s="242"/>
    </row>
    <row r="77" spans="1:20">
      <c r="A77" s="241"/>
      <c r="B77" s="242" t="s">
        <v>319</v>
      </c>
      <c r="C77" s="242"/>
      <c r="D77" s="264">
        <v>38.685000000000002</v>
      </c>
      <c r="E77" s="264">
        <v>0</v>
      </c>
      <c r="F77" s="264">
        <v>0</v>
      </c>
      <c r="G77" s="264">
        <v>25.277000000000001</v>
      </c>
      <c r="H77" s="264">
        <v>10.009</v>
      </c>
      <c r="I77" s="265">
        <v>2.8</v>
      </c>
      <c r="J77" s="265">
        <v>1</v>
      </c>
      <c r="K77" s="262">
        <v>3</v>
      </c>
      <c r="L77" s="242"/>
      <c r="M77" s="242"/>
      <c r="N77" s="242"/>
      <c r="O77" s="242"/>
      <c r="P77" s="242"/>
      <c r="Q77" s="242"/>
      <c r="R77" s="242"/>
      <c r="S77" s="242"/>
      <c r="T77" s="242"/>
    </row>
    <row r="78" spans="1:20">
      <c r="A78" s="241"/>
      <c r="B78" s="242" t="s">
        <v>320</v>
      </c>
      <c r="C78" s="242"/>
      <c r="D78" s="264">
        <v>50.279000000000003</v>
      </c>
      <c r="E78" s="264">
        <v>34.033999999999999</v>
      </c>
      <c r="F78" s="264">
        <v>35.67</v>
      </c>
      <c r="G78" s="264">
        <v>20.291</v>
      </c>
      <c r="H78" s="264">
        <v>8.9049999999999994</v>
      </c>
      <c r="I78" s="266">
        <v>4.5</v>
      </c>
      <c r="J78" s="265">
        <v>0</v>
      </c>
      <c r="K78" s="262">
        <v>4</v>
      </c>
      <c r="L78" s="242"/>
      <c r="M78" s="242"/>
      <c r="N78" s="242"/>
      <c r="O78" s="242"/>
      <c r="P78" s="242"/>
      <c r="Q78" s="242"/>
      <c r="R78" s="242"/>
      <c r="S78" s="242"/>
      <c r="T78" s="242"/>
    </row>
    <row r="79" spans="1:20">
      <c r="A79" s="241"/>
      <c r="B79" s="242" t="s">
        <v>321</v>
      </c>
      <c r="C79" s="242"/>
      <c r="D79" s="264">
        <v>0</v>
      </c>
      <c r="E79" s="264">
        <v>25.943000000000001</v>
      </c>
      <c r="F79" s="264">
        <v>27.396999999999998</v>
      </c>
      <c r="G79" s="264">
        <v>19.067</v>
      </c>
      <c r="H79" s="264">
        <v>8.0299999999999994</v>
      </c>
      <c r="I79" s="265">
        <v>3.1680000000000001</v>
      </c>
      <c r="J79" s="265">
        <v>0</v>
      </c>
      <c r="K79" s="262">
        <v>5</v>
      </c>
      <c r="L79" s="242"/>
      <c r="M79" s="242"/>
      <c r="N79" s="242"/>
      <c r="O79" s="242"/>
      <c r="P79" s="242"/>
      <c r="Q79" s="242"/>
      <c r="R79" s="242"/>
      <c r="S79" s="242"/>
      <c r="T79" s="242"/>
    </row>
    <row r="80" spans="1:20">
      <c r="A80" s="241"/>
      <c r="B80" s="242" t="s">
        <v>322</v>
      </c>
      <c r="C80" s="242"/>
      <c r="D80" s="264">
        <v>0</v>
      </c>
      <c r="E80" s="264">
        <v>0</v>
      </c>
      <c r="F80" s="264">
        <v>22.202000000000002</v>
      </c>
      <c r="G80" s="264">
        <v>18.661999999999999</v>
      </c>
      <c r="H80" s="264">
        <v>7.4260000000000002</v>
      </c>
      <c r="I80" s="265">
        <v>2.5</v>
      </c>
      <c r="J80" s="265">
        <v>0</v>
      </c>
      <c r="K80" s="262">
        <v>6</v>
      </c>
      <c r="L80" s="242"/>
      <c r="M80" s="242"/>
      <c r="N80" s="242"/>
      <c r="O80" s="242"/>
      <c r="P80" s="242"/>
      <c r="Q80" s="242"/>
      <c r="R80" s="242"/>
      <c r="S80" s="242"/>
      <c r="T80" s="242"/>
    </row>
    <row r="81" spans="1:20">
      <c r="A81" s="241"/>
      <c r="B81" s="242" t="s">
        <v>323</v>
      </c>
      <c r="C81" s="242"/>
      <c r="D81" s="264">
        <v>0</v>
      </c>
      <c r="E81" s="264">
        <v>0</v>
      </c>
      <c r="F81" s="264">
        <v>14.725</v>
      </c>
      <c r="G81" s="264">
        <v>0</v>
      </c>
      <c r="H81" s="264">
        <v>5.5810000000000004</v>
      </c>
      <c r="I81" s="265">
        <v>2.0910000000000002</v>
      </c>
      <c r="J81" s="265">
        <v>0</v>
      </c>
      <c r="K81" s="262">
        <v>7</v>
      </c>
      <c r="L81" s="242"/>
      <c r="M81" s="242"/>
      <c r="N81" s="242"/>
      <c r="O81" s="242"/>
      <c r="P81" s="242"/>
      <c r="Q81" s="242"/>
      <c r="R81" s="242"/>
      <c r="S81" s="242"/>
      <c r="T81" s="242"/>
    </row>
    <row r="82" spans="1:20">
      <c r="A82" s="241"/>
      <c r="B82" s="242"/>
      <c r="C82" s="242"/>
      <c r="D82" s="264"/>
      <c r="E82" s="264"/>
      <c r="F82" s="264"/>
      <c r="G82" s="264"/>
      <c r="H82" s="264"/>
      <c r="I82" s="264"/>
      <c r="J82" s="264"/>
      <c r="K82" s="242"/>
      <c r="L82" s="242"/>
      <c r="M82" s="242"/>
      <c r="N82" s="242"/>
      <c r="O82" s="242"/>
      <c r="P82" s="242"/>
      <c r="Q82" s="242"/>
      <c r="R82" s="242"/>
      <c r="S82" s="242"/>
      <c r="T82" s="242"/>
    </row>
    <row r="83" spans="1:20">
      <c r="A83" s="241"/>
      <c r="B83" s="242" t="s">
        <v>324</v>
      </c>
      <c r="C83" s="242"/>
      <c r="D83" s="264">
        <f>(D167-D155-D156)/D40*100</f>
        <v>42.686440889596241</v>
      </c>
      <c r="E83" s="264">
        <f>(E167-E155-E156)/E40*100</f>
        <v>25.222723883794391</v>
      </c>
      <c r="F83" s="264">
        <f>(F167-F155-F156)/F40*100</f>
        <v>23.573833270651612</v>
      </c>
      <c r="G83" s="264">
        <f>(G167-G155-G156)/G40*100</f>
        <v>21.001588635673247</v>
      </c>
      <c r="H83" s="264"/>
      <c r="I83" s="264"/>
      <c r="J83" s="264"/>
      <c r="K83" s="242"/>
      <c r="L83" s="242"/>
      <c r="M83" s="242"/>
      <c r="N83" s="242"/>
      <c r="O83" s="242"/>
      <c r="P83" s="242"/>
      <c r="Q83" s="242"/>
      <c r="R83" s="242"/>
      <c r="S83" s="242"/>
      <c r="T83" s="242"/>
    </row>
    <row r="84" spans="1:20">
      <c r="A84" s="241"/>
      <c r="B84" s="242"/>
      <c r="C84" s="242"/>
      <c r="D84" s="267"/>
      <c r="E84" s="267"/>
      <c r="F84" s="267"/>
      <c r="G84" s="267"/>
      <c r="H84" s="267"/>
      <c r="I84" s="267"/>
      <c r="J84" s="267"/>
      <c r="K84" s="242"/>
      <c r="L84" s="242"/>
      <c r="M84" s="242"/>
      <c r="N84" s="242"/>
      <c r="O84" s="242"/>
      <c r="P84" s="242"/>
      <c r="Q84" s="242"/>
      <c r="R84" s="242"/>
      <c r="S84" s="242"/>
      <c r="T84" s="242"/>
    </row>
    <row r="85" spans="1:20">
      <c r="A85" s="242"/>
      <c r="B85" s="242"/>
      <c r="C85" s="242"/>
      <c r="D85" s="242"/>
      <c r="E85" s="242"/>
      <c r="F85" s="242"/>
      <c r="G85" s="242"/>
      <c r="H85" s="242"/>
      <c r="I85" s="242"/>
      <c r="J85" s="242"/>
      <c r="K85" s="242"/>
      <c r="L85" s="242"/>
      <c r="M85" s="242"/>
      <c r="N85" s="242"/>
      <c r="O85" s="242"/>
      <c r="P85" s="242"/>
      <c r="Q85" s="242"/>
      <c r="R85" s="242"/>
      <c r="S85" s="242"/>
      <c r="T85" s="242"/>
    </row>
    <row r="86" spans="1:20">
      <c r="A86" s="242"/>
      <c r="B86" s="268"/>
      <c r="C86" s="242"/>
      <c r="D86" s="242"/>
      <c r="E86" s="242"/>
      <c r="F86" s="242"/>
      <c r="G86" s="242"/>
      <c r="H86" s="242"/>
      <c r="I86" s="242"/>
      <c r="J86" s="242"/>
      <c r="K86" s="242"/>
      <c r="L86" s="242"/>
      <c r="M86" s="242"/>
      <c r="N86" s="242"/>
      <c r="O86" s="242"/>
      <c r="P86" s="242"/>
      <c r="Q86" s="242"/>
      <c r="R86" s="242"/>
      <c r="S86" s="242"/>
      <c r="T86" s="242"/>
    </row>
    <row r="87" spans="1:20">
      <c r="A87" s="241"/>
      <c r="B87" s="242" t="s">
        <v>391</v>
      </c>
      <c r="C87" s="242"/>
      <c r="D87" s="267"/>
      <c r="E87" s="267"/>
      <c r="F87" s="267"/>
      <c r="G87" s="267"/>
      <c r="H87" s="267"/>
      <c r="I87" s="267"/>
      <c r="J87" s="267"/>
      <c r="K87" s="242"/>
      <c r="L87" s="242"/>
      <c r="M87" s="242"/>
      <c r="N87" s="242"/>
      <c r="O87" s="242"/>
      <c r="P87" s="242"/>
      <c r="Q87" s="242"/>
      <c r="R87" s="242"/>
      <c r="S87" s="242"/>
      <c r="T87" s="242"/>
    </row>
    <row r="88" spans="1:20">
      <c r="A88" s="241"/>
      <c r="B88" s="269" t="s">
        <v>392</v>
      </c>
      <c r="C88" s="242"/>
      <c r="D88" s="267"/>
      <c r="E88" s="267"/>
      <c r="F88" s="267"/>
      <c r="G88" s="267"/>
      <c r="H88" s="267"/>
      <c r="I88" s="267"/>
      <c r="J88" s="267"/>
      <c r="K88" s="242"/>
      <c r="L88" s="242"/>
      <c r="M88" s="242"/>
      <c r="N88" s="242"/>
      <c r="O88" s="242"/>
      <c r="P88" s="242"/>
      <c r="Q88" s="242"/>
      <c r="R88" s="242"/>
      <c r="S88" s="242"/>
      <c r="T88" s="242"/>
    </row>
    <row r="89" spans="1:20">
      <c r="A89" s="241"/>
      <c r="B89" s="242" t="s">
        <v>393</v>
      </c>
      <c r="C89" s="242"/>
      <c r="D89" s="267"/>
      <c r="E89" s="267"/>
      <c r="F89" s="267"/>
      <c r="G89" s="267"/>
      <c r="H89" s="267"/>
      <c r="I89" s="267"/>
      <c r="J89" s="267"/>
      <c r="K89" s="242"/>
      <c r="L89" s="242"/>
      <c r="M89" s="242"/>
      <c r="N89" s="242"/>
      <c r="O89" s="242"/>
      <c r="P89" s="242"/>
      <c r="Q89" s="242"/>
      <c r="R89" s="242"/>
      <c r="S89" s="242"/>
      <c r="T89" s="242"/>
    </row>
    <row r="90" spans="1:20">
      <c r="A90" s="241"/>
      <c r="B90" s="242" t="s">
        <v>394</v>
      </c>
      <c r="C90" s="242"/>
      <c r="D90" s="267"/>
      <c r="E90" s="267"/>
      <c r="F90" s="267"/>
      <c r="G90" s="267"/>
      <c r="H90" s="267"/>
      <c r="I90" s="267"/>
      <c r="J90" s="267"/>
      <c r="K90" s="242"/>
      <c r="L90" s="242"/>
      <c r="M90" s="242"/>
      <c r="N90" s="242"/>
      <c r="O90" s="242"/>
      <c r="P90" s="242"/>
      <c r="Q90" s="242"/>
      <c r="R90" s="242"/>
      <c r="S90" s="242"/>
      <c r="T90" s="242"/>
    </row>
    <row r="91" spans="1:20">
      <c r="A91" s="241"/>
      <c r="B91" s="242" t="s">
        <v>326</v>
      </c>
      <c r="C91" s="242"/>
      <c r="D91" s="267"/>
      <c r="E91" s="267"/>
      <c r="F91" s="267"/>
      <c r="G91" s="267"/>
      <c r="H91" s="267"/>
      <c r="I91" s="267"/>
      <c r="J91" s="267"/>
      <c r="K91" s="242"/>
      <c r="L91" s="242"/>
      <c r="M91" s="242"/>
      <c r="N91" s="242"/>
      <c r="O91" s="242"/>
      <c r="P91" s="242"/>
      <c r="Q91" s="242"/>
      <c r="R91" s="242"/>
      <c r="S91" s="242"/>
      <c r="T91" s="242"/>
    </row>
    <row r="92" spans="1:20">
      <c r="A92" s="241"/>
      <c r="B92" s="242"/>
      <c r="C92" s="242"/>
      <c r="D92" s="267"/>
      <c r="E92" s="267"/>
      <c r="F92" s="267"/>
      <c r="G92" s="267"/>
      <c r="H92" s="267"/>
      <c r="I92" s="267"/>
      <c r="J92" s="267"/>
      <c r="K92" s="242"/>
      <c r="L92" s="242"/>
      <c r="M92" s="242"/>
      <c r="N92" s="242"/>
      <c r="O92" s="242"/>
      <c r="P92" s="242"/>
      <c r="Q92" s="242"/>
      <c r="R92" s="242"/>
      <c r="S92" s="242"/>
      <c r="T92" s="242"/>
    </row>
    <row r="93" spans="1:20">
      <c r="A93" s="241"/>
      <c r="B93" s="242" t="s">
        <v>395</v>
      </c>
      <c r="C93" s="242"/>
      <c r="D93" s="267"/>
      <c r="E93" s="267"/>
      <c r="F93" s="267"/>
      <c r="G93" s="267"/>
      <c r="H93" s="267"/>
      <c r="I93" s="267"/>
      <c r="J93" s="267"/>
      <c r="K93" s="242"/>
      <c r="L93" s="242"/>
      <c r="M93" s="242"/>
      <c r="N93" s="242"/>
      <c r="O93" s="242"/>
      <c r="P93" s="242"/>
      <c r="Q93" s="242"/>
      <c r="R93" s="242"/>
      <c r="S93" s="242"/>
      <c r="T93" s="242"/>
    </row>
    <row r="94" spans="1:20">
      <c r="A94" s="241"/>
      <c r="B94" s="242"/>
      <c r="C94" s="242"/>
      <c r="D94" s="242"/>
      <c r="E94" s="242"/>
      <c r="F94" s="242"/>
      <c r="G94" s="242"/>
      <c r="H94" s="242"/>
      <c r="I94" s="242"/>
      <c r="J94" s="242"/>
      <c r="K94" s="242"/>
      <c r="L94" s="242"/>
      <c r="M94" s="242"/>
      <c r="N94" s="242"/>
      <c r="O94" s="242"/>
      <c r="P94" s="242"/>
      <c r="Q94" s="242"/>
      <c r="R94" s="242"/>
      <c r="S94" s="242"/>
      <c r="T94" s="242"/>
    </row>
    <row r="95" spans="1:20">
      <c r="A95" s="241"/>
      <c r="B95" s="242"/>
      <c r="C95" s="242"/>
      <c r="D95" s="242"/>
      <c r="E95" s="242"/>
      <c r="F95" s="242"/>
      <c r="G95" s="242"/>
      <c r="H95" s="242"/>
      <c r="I95" s="242"/>
      <c r="J95" s="242"/>
      <c r="K95" s="242"/>
      <c r="L95" s="242"/>
      <c r="M95" s="242"/>
      <c r="N95" s="242"/>
      <c r="O95" s="242"/>
      <c r="P95" s="242"/>
      <c r="Q95" s="242"/>
      <c r="R95" s="242"/>
      <c r="S95" s="242"/>
      <c r="T95" s="242"/>
    </row>
    <row r="96" spans="1:20">
      <c r="A96" s="241"/>
      <c r="B96" s="242"/>
      <c r="C96" s="242"/>
      <c r="D96" s="242"/>
      <c r="E96" s="242"/>
      <c r="F96" s="242"/>
      <c r="G96" s="242"/>
      <c r="H96" s="242"/>
      <c r="I96" s="242"/>
      <c r="J96" s="242"/>
      <c r="K96" s="242"/>
      <c r="L96" s="242"/>
      <c r="M96" s="242"/>
      <c r="N96" s="242"/>
      <c r="O96" s="242"/>
      <c r="P96" s="242"/>
      <c r="Q96" s="242"/>
      <c r="R96" s="242"/>
      <c r="S96" s="242"/>
      <c r="T96" s="242"/>
    </row>
    <row r="97" spans="1:20">
      <c r="A97" s="241"/>
      <c r="B97" s="268" t="s">
        <v>462</v>
      </c>
      <c r="C97" s="242"/>
      <c r="D97" s="242"/>
      <c r="E97" s="242"/>
      <c r="F97" s="242"/>
      <c r="G97" s="242"/>
      <c r="H97" s="242"/>
      <c r="I97" s="242"/>
      <c r="J97" s="242"/>
      <c r="K97" s="242"/>
      <c r="L97" s="242"/>
      <c r="M97" s="242"/>
      <c r="N97" s="242"/>
      <c r="O97" s="242"/>
      <c r="P97" s="242"/>
      <c r="Q97" s="242"/>
      <c r="R97" s="242"/>
      <c r="S97" s="242"/>
      <c r="T97" s="242"/>
    </row>
    <row r="98" spans="1:20">
      <c r="A98" s="241"/>
      <c r="B98" s="242"/>
      <c r="C98" s="242"/>
      <c r="D98" s="242"/>
      <c r="E98" s="242"/>
      <c r="F98" s="242"/>
      <c r="G98" s="242"/>
      <c r="H98" s="242"/>
      <c r="I98" s="242"/>
      <c r="J98" s="242"/>
      <c r="K98" s="242"/>
      <c r="L98" s="242"/>
      <c r="M98" s="242"/>
      <c r="N98" s="242"/>
      <c r="O98" s="242"/>
      <c r="P98" s="242"/>
      <c r="Q98" s="242"/>
      <c r="R98" s="242"/>
      <c r="S98" s="242"/>
      <c r="T98" s="242"/>
    </row>
    <row r="99" spans="1:20">
      <c r="A99" s="241"/>
      <c r="B99" s="242"/>
      <c r="C99" s="242"/>
      <c r="D99" s="242"/>
      <c r="E99" s="242"/>
      <c r="F99" s="242"/>
      <c r="G99" s="242"/>
      <c r="H99" s="242"/>
      <c r="I99" s="242"/>
      <c r="J99" s="242"/>
      <c r="K99" s="242"/>
      <c r="L99" s="242"/>
      <c r="M99" s="242"/>
      <c r="N99" s="242"/>
      <c r="O99" s="242"/>
      <c r="P99" s="242"/>
      <c r="Q99" s="242"/>
      <c r="R99" s="242"/>
      <c r="S99" s="242"/>
      <c r="T99" s="242"/>
    </row>
    <row r="100" spans="1:20">
      <c r="A100" s="241"/>
      <c r="B100" s="242"/>
      <c r="C100" s="242"/>
      <c r="D100" s="242"/>
      <c r="E100" s="242"/>
      <c r="F100" s="242"/>
      <c r="G100" s="242"/>
      <c r="H100" s="242"/>
      <c r="I100" s="242"/>
      <c r="J100" s="242"/>
      <c r="K100" s="242"/>
      <c r="L100" s="242"/>
      <c r="M100" s="242"/>
      <c r="N100" s="242"/>
      <c r="O100" s="242"/>
      <c r="P100" s="242"/>
      <c r="Q100" s="242"/>
      <c r="R100" s="242"/>
      <c r="S100" s="242"/>
      <c r="T100" s="242"/>
    </row>
    <row r="101" spans="1:20">
      <c r="A101" s="241"/>
      <c r="B101" s="242"/>
      <c r="C101" s="242"/>
      <c r="D101" s="242"/>
      <c r="E101" s="242"/>
      <c r="F101" s="242"/>
      <c r="G101" s="242"/>
      <c r="H101" s="242"/>
      <c r="I101" s="242"/>
      <c r="J101" s="243" t="s">
        <v>279</v>
      </c>
      <c r="K101" s="242"/>
      <c r="L101" s="242"/>
      <c r="M101" s="242"/>
      <c r="N101" s="242"/>
      <c r="O101" s="242"/>
      <c r="P101" s="242"/>
      <c r="Q101" s="242"/>
      <c r="R101" s="242"/>
      <c r="S101" s="242"/>
      <c r="T101" s="242"/>
    </row>
    <row r="102" spans="1:20">
      <c r="A102" s="244" t="s">
        <v>280</v>
      </c>
      <c r="B102" s="243"/>
      <c r="C102" s="243" t="s">
        <v>281</v>
      </c>
      <c r="D102" s="243" t="s">
        <v>282</v>
      </c>
      <c r="E102" s="243" t="s">
        <v>283</v>
      </c>
      <c r="F102" s="243" t="s">
        <v>284</v>
      </c>
      <c r="G102" s="243" t="s">
        <v>285</v>
      </c>
      <c r="H102" s="243" t="s">
        <v>279</v>
      </c>
      <c r="I102" s="243" t="s">
        <v>279</v>
      </c>
      <c r="J102" s="216" t="s">
        <v>456</v>
      </c>
      <c r="K102" s="243"/>
      <c r="L102" s="243"/>
      <c r="M102" s="243"/>
      <c r="N102" s="243"/>
      <c r="O102" s="243"/>
      <c r="P102" s="243"/>
      <c r="Q102" s="243"/>
      <c r="R102" s="243"/>
      <c r="S102" s="243"/>
      <c r="T102" s="243"/>
    </row>
    <row r="103" spans="1:20">
      <c r="A103" s="244" t="s">
        <v>286</v>
      </c>
      <c r="B103" s="217"/>
      <c r="C103" s="217" t="s">
        <v>287</v>
      </c>
      <c r="D103" s="217" t="s">
        <v>288</v>
      </c>
      <c r="E103" s="217" t="s">
        <v>313</v>
      </c>
      <c r="F103" s="217" t="s">
        <v>314</v>
      </c>
      <c r="G103" s="217" t="s">
        <v>315</v>
      </c>
      <c r="H103" s="217" t="s">
        <v>292</v>
      </c>
      <c r="I103" s="217" t="s">
        <v>293</v>
      </c>
      <c r="J103" s="217" t="s">
        <v>294</v>
      </c>
      <c r="K103" s="243"/>
      <c r="L103" s="243"/>
      <c r="M103" s="243"/>
      <c r="N103" s="243"/>
      <c r="O103" s="243"/>
      <c r="P103" s="243"/>
      <c r="Q103" s="243"/>
      <c r="R103" s="243"/>
      <c r="S103" s="243"/>
      <c r="T103" s="243"/>
    </row>
    <row r="104" spans="1:20">
      <c r="A104" s="241"/>
      <c r="B104" s="218" t="s">
        <v>327</v>
      </c>
      <c r="C104" s="270"/>
      <c r="D104" s="270"/>
      <c r="E104" s="270"/>
      <c r="F104" s="270"/>
      <c r="G104" s="270"/>
      <c r="H104" s="270"/>
      <c r="I104" s="270"/>
      <c r="J104" s="270"/>
      <c r="K104" s="242"/>
      <c r="L104" s="242"/>
      <c r="M104" s="242"/>
      <c r="N104" s="242"/>
      <c r="O104" s="242"/>
      <c r="P104" s="242"/>
      <c r="Q104" s="242"/>
      <c r="R104" s="242"/>
      <c r="S104" s="242"/>
      <c r="T104" s="242"/>
    </row>
    <row r="105" spans="1:20">
      <c r="A105" s="241"/>
      <c r="B105" s="242" t="s">
        <v>328</v>
      </c>
      <c r="C105" s="270"/>
      <c r="D105" s="270"/>
      <c r="E105" s="270"/>
      <c r="F105" s="270"/>
      <c r="G105" s="270"/>
      <c r="H105" s="270"/>
      <c r="I105" s="270"/>
      <c r="J105" s="270"/>
      <c r="K105" s="242"/>
      <c r="L105" s="242"/>
      <c r="M105" s="242"/>
      <c r="N105" s="242"/>
      <c r="O105" s="242"/>
      <c r="P105" s="242"/>
      <c r="Q105" s="242"/>
      <c r="R105" s="242"/>
      <c r="S105" s="242"/>
      <c r="T105" s="242"/>
    </row>
    <row r="106" spans="1:20">
      <c r="A106" s="241"/>
      <c r="B106" s="271" t="s">
        <v>317</v>
      </c>
      <c r="C106" s="448">
        <f t="shared" ref="C106:C113" si="14">SUM(D106:J106)</f>
        <v>16834077</v>
      </c>
      <c r="D106" s="272">
        <f t="shared" ref="D106:J107" si="15">D25*D56</f>
        <v>16269093</v>
      </c>
      <c r="E106" s="272">
        <f t="shared" si="15"/>
        <v>0</v>
      </c>
      <c r="F106" s="272">
        <f t="shared" si="15"/>
        <v>0</v>
      </c>
      <c r="G106" s="272">
        <f t="shared" si="15"/>
        <v>0</v>
      </c>
      <c r="H106" s="272">
        <f>H25*H56</f>
        <v>239400</v>
      </c>
      <c r="I106" s="272">
        <f>I25*I56</f>
        <v>9600</v>
      </c>
      <c r="J106" s="272">
        <f t="shared" si="15"/>
        <v>315984</v>
      </c>
      <c r="K106" s="242"/>
      <c r="L106" s="242"/>
      <c r="M106" s="242"/>
      <c r="N106" s="242"/>
      <c r="O106" s="242"/>
      <c r="P106" s="242"/>
      <c r="Q106" s="242"/>
      <c r="R106" s="242"/>
      <c r="S106" s="242"/>
      <c r="T106" s="242"/>
    </row>
    <row r="107" spans="1:20">
      <c r="A107" s="241"/>
      <c r="B107" s="271" t="s">
        <v>390</v>
      </c>
      <c r="C107" s="449">
        <f t="shared" si="14"/>
        <v>3298796.4898500005</v>
      </c>
      <c r="D107" s="250">
        <f>D26*D57</f>
        <v>0</v>
      </c>
      <c r="E107" s="250">
        <f>E26*E57</f>
        <v>3185824.64</v>
      </c>
      <c r="F107" s="250">
        <f t="shared" si="15"/>
        <v>81738.720000000001</v>
      </c>
      <c r="G107" s="250">
        <f t="shared" si="15"/>
        <v>0</v>
      </c>
      <c r="H107" s="250">
        <v>31233.129849999998</v>
      </c>
      <c r="I107" s="250">
        <f t="shared" si="15"/>
        <v>0</v>
      </c>
      <c r="J107" s="250">
        <f t="shared" si="15"/>
        <v>0</v>
      </c>
      <c r="K107" s="242"/>
      <c r="L107" s="242"/>
      <c r="M107" s="242"/>
      <c r="N107" s="242"/>
      <c r="O107" s="242"/>
      <c r="P107" s="242"/>
      <c r="Q107" s="242"/>
      <c r="R107" s="242"/>
      <c r="S107" s="242"/>
      <c r="T107" s="242"/>
    </row>
    <row r="108" spans="1:20">
      <c r="A108" s="241"/>
      <c r="B108" s="271" t="s">
        <v>297</v>
      </c>
      <c r="C108" s="449">
        <f t="shared" si="14"/>
        <v>27802531.419999998</v>
      </c>
      <c r="D108" s="250">
        <f>ROUND(D8*D59/100,2)</f>
        <v>26231134.829999998</v>
      </c>
      <c r="E108" s="250">
        <f t="shared" ref="D108:J112" si="16">ROUND(E8*E59/100,2)</f>
        <v>0</v>
      </c>
      <c r="F108" s="250">
        <f t="shared" si="16"/>
        <v>0</v>
      </c>
      <c r="G108" s="250">
        <f t="shared" si="16"/>
        <v>60102.39</v>
      </c>
      <c r="H108" s="250">
        <f t="shared" si="16"/>
        <v>795171.41</v>
      </c>
      <c r="I108" s="250">
        <f>ROUND(I8*I59/100,2)</f>
        <v>622419</v>
      </c>
      <c r="J108" s="250">
        <f>ROUND(J8*J59/100,2)</f>
        <v>93703.79</v>
      </c>
      <c r="K108" s="242"/>
      <c r="L108" s="242"/>
      <c r="M108" s="242"/>
      <c r="N108" s="242"/>
      <c r="O108" s="242"/>
      <c r="P108" s="242"/>
      <c r="Q108" s="242"/>
      <c r="R108" s="242"/>
      <c r="S108" s="242"/>
      <c r="T108" s="242"/>
    </row>
    <row r="109" spans="1:20">
      <c r="A109" s="241"/>
      <c r="B109" s="271" t="s">
        <v>298</v>
      </c>
      <c r="C109" s="449">
        <f t="shared" si="14"/>
        <v>23787322.119999997</v>
      </c>
      <c r="D109" s="250">
        <f t="shared" si="16"/>
        <v>17967569.52</v>
      </c>
      <c r="E109" s="250">
        <f t="shared" si="16"/>
        <v>4794182.45</v>
      </c>
      <c r="F109" s="250">
        <f t="shared" si="16"/>
        <v>58000.86</v>
      </c>
      <c r="G109" s="250">
        <f t="shared" si="16"/>
        <v>59218.27</v>
      </c>
      <c r="H109" s="250">
        <f t="shared" si="16"/>
        <v>616094.82999999996</v>
      </c>
      <c r="I109" s="250">
        <f t="shared" si="16"/>
        <v>292256.19</v>
      </c>
      <c r="J109" s="250">
        <f t="shared" si="16"/>
        <v>0</v>
      </c>
      <c r="K109" s="242"/>
      <c r="L109" s="242"/>
      <c r="M109" s="242"/>
      <c r="N109" s="242"/>
      <c r="O109" s="242"/>
      <c r="P109" s="242"/>
      <c r="Q109" s="242"/>
      <c r="R109" s="242"/>
      <c r="S109" s="242"/>
      <c r="T109" s="242"/>
    </row>
    <row r="110" spans="1:20">
      <c r="A110" s="241"/>
      <c r="B110" s="271" t="s">
        <v>299</v>
      </c>
      <c r="C110" s="449">
        <f t="shared" si="14"/>
        <v>7535839.9100000011</v>
      </c>
      <c r="D110" s="250">
        <f t="shared" si="16"/>
        <v>0</v>
      </c>
      <c r="E110" s="250">
        <f t="shared" si="16"/>
        <v>5858279.6900000004</v>
      </c>
      <c r="F110" s="250">
        <f t="shared" si="16"/>
        <v>695191.57</v>
      </c>
      <c r="G110" s="250">
        <f t="shared" si="16"/>
        <v>61815.79</v>
      </c>
      <c r="H110" s="250">
        <f t="shared" si="16"/>
        <v>863583.38</v>
      </c>
      <c r="I110" s="250">
        <f t="shared" si="16"/>
        <v>56969.48</v>
      </c>
      <c r="J110" s="250">
        <f t="shared" si="16"/>
        <v>0</v>
      </c>
      <c r="K110" s="242"/>
      <c r="L110" s="242"/>
      <c r="M110" s="242"/>
      <c r="N110" s="242"/>
      <c r="O110" s="242"/>
      <c r="P110" s="242"/>
      <c r="Q110" s="242"/>
      <c r="R110" s="242"/>
      <c r="S110" s="242"/>
      <c r="T110" s="242"/>
    </row>
    <row r="111" spans="1:20">
      <c r="A111" s="241"/>
      <c r="B111" s="271" t="s">
        <v>300</v>
      </c>
      <c r="C111" s="449">
        <f t="shared" si="14"/>
        <v>679400.83</v>
      </c>
      <c r="D111" s="250">
        <f t="shared" si="16"/>
        <v>0</v>
      </c>
      <c r="E111" s="250">
        <f t="shared" si="16"/>
        <v>0</v>
      </c>
      <c r="F111" s="250">
        <f t="shared" si="16"/>
        <v>308104.71000000002</v>
      </c>
      <c r="G111" s="250">
        <f t="shared" si="16"/>
        <v>14517.92</v>
      </c>
      <c r="H111" s="250">
        <f t="shared" si="16"/>
        <v>208746.57</v>
      </c>
      <c r="I111" s="250">
        <f t="shared" si="16"/>
        <v>148031.63</v>
      </c>
      <c r="J111" s="250">
        <f t="shared" si="16"/>
        <v>0</v>
      </c>
      <c r="K111" s="242"/>
      <c r="L111" s="242"/>
      <c r="M111" s="242"/>
      <c r="N111" s="242"/>
      <c r="O111" s="242"/>
      <c r="P111" s="242"/>
      <c r="Q111" s="242"/>
      <c r="R111" s="242"/>
      <c r="S111" s="242"/>
      <c r="T111" s="242"/>
    </row>
    <row r="112" spans="1:20">
      <c r="A112" s="241"/>
      <c r="B112" s="271" t="s">
        <v>301</v>
      </c>
      <c r="C112" s="449">
        <f t="shared" si="14"/>
        <v>221531.42</v>
      </c>
      <c r="D112" s="250">
        <f t="shared" si="16"/>
        <v>0</v>
      </c>
      <c r="E112" s="250">
        <f t="shared" si="16"/>
        <v>0</v>
      </c>
      <c r="F112" s="250">
        <f t="shared" si="16"/>
        <v>98385.38</v>
      </c>
      <c r="G112" s="250">
        <f t="shared" si="16"/>
        <v>0</v>
      </c>
      <c r="H112" s="250">
        <f t="shared" si="16"/>
        <v>74465.66</v>
      </c>
      <c r="I112" s="250">
        <f t="shared" si="16"/>
        <v>48680.38</v>
      </c>
      <c r="J112" s="250">
        <f t="shared" si="16"/>
        <v>0</v>
      </c>
      <c r="K112" s="242"/>
      <c r="L112" s="242"/>
      <c r="M112" s="242"/>
      <c r="N112" s="242"/>
      <c r="O112" s="242"/>
      <c r="P112" s="242"/>
      <c r="Q112" s="242"/>
      <c r="R112" s="242"/>
      <c r="S112" s="242"/>
      <c r="T112" s="242"/>
    </row>
    <row r="113" spans="1:20">
      <c r="A113" s="241"/>
      <c r="B113" s="271" t="s">
        <v>329</v>
      </c>
      <c r="C113" s="449">
        <f t="shared" si="14"/>
        <v>0</v>
      </c>
      <c r="D113" s="250"/>
      <c r="E113" s="250"/>
      <c r="F113" s="250"/>
      <c r="G113" s="250"/>
      <c r="H113" s="250"/>
      <c r="I113" s="250"/>
      <c r="J113" s="273">
        <v>0</v>
      </c>
      <c r="K113" s="242"/>
      <c r="L113" s="242"/>
      <c r="M113" s="242"/>
      <c r="N113" s="242"/>
      <c r="O113" s="242"/>
      <c r="P113" s="242"/>
      <c r="Q113" s="242"/>
      <c r="R113" s="242"/>
      <c r="S113" s="242"/>
      <c r="T113" s="242"/>
    </row>
    <row r="114" spans="1:20">
      <c r="A114" s="242"/>
      <c r="B114" s="242"/>
      <c r="C114" s="225"/>
      <c r="D114" s="225"/>
      <c r="E114" s="225"/>
      <c r="F114" s="225"/>
      <c r="G114" s="225"/>
      <c r="H114" s="226"/>
      <c r="I114" s="225"/>
      <c r="J114" s="226"/>
      <c r="K114" s="242"/>
      <c r="L114" s="242"/>
      <c r="M114" s="242"/>
      <c r="N114" s="242"/>
      <c r="O114" s="242"/>
      <c r="P114" s="242"/>
      <c r="Q114" s="242"/>
      <c r="R114" s="242"/>
      <c r="S114" s="242"/>
      <c r="T114" s="242"/>
    </row>
    <row r="115" spans="1:20">
      <c r="A115" s="241"/>
      <c r="B115" s="242" t="s">
        <v>302</v>
      </c>
      <c r="C115" s="450">
        <f>IF(ROUND(SUM(D115:J115),3)&lt;&gt;ROUND(SUM(C106:C113),3),#VALUE!,SUM(D115:J115))</f>
        <v>80159499.189849988</v>
      </c>
      <c r="D115" s="224">
        <f t="shared" ref="D115:I115" si="17">SUM(D106:D113)</f>
        <v>60467797.349999994</v>
      </c>
      <c r="E115" s="224">
        <f t="shared" si="17"/>
        <v>13838286.780000001</v>
      </c>
      <c r="F115" s="224">
        <f t="shared" si="17"/>
        <v>1241421.2399999998</v>
      </c>
      <c r="G115" s="224">
        <f t="shared" si="17"/>
        <v>195654.37000000002</v>
      </c>
      <c r="H115" s="224">
        <f>SUM(H106:H113)</f>
        <v>2828694.9798499998</v>
      </c>
      <c r="I115" s="224">
        <f t="shared" si="17"/>
        <v>1177956.6799999997</v>
      </c>
      <c r="J115" s="224">
        <f>SUM(J106:J113)</f>
        <v>409687.79</v>
      </c>
      <c r="K115" s="242"/>
      <c r="L115" s="242"/>
      <c r="M115" s="242"/>
      <c r="N115" s="242"/>
      <c r="O115" s="242"/>
      <c r="P115" s="242"/>
      <c r="Q115" s="242"/>
      <c r="R115" s="242"/>
      <c r="S115" s="242"/>
      <c r="T115" s="242"/>
    </row>
    <row r="116" spans="1:20">
      <c r="A116" s="242"/>
      <c r="B116" s="242" t="s">
        <v>312</v>
      </c>
      <c r="C116" s="451"/>
      <c r="D116" s="227"/>
      <c r="E116" s="227"/>
      <c r="F116" s="227"/>
      <c r="G116" s="227"/>
      <c r="H116" s="227"/>
      <c r="I116" s="227"/>
      <c r="J116" s="227"/>
      <c r="K116" s="242"/>
      <c r="L116" s="242"/>
      <c r="M116" s="242"/>
      <c r="N116" s="242"/>
      <c r="O116" s="242"/>
      <c r="P116" s="242"/>
      <c r="Q116" s="242"/>
      <c r="R116" s="242"/>
      <c r="S116" s="242"/>
      <c r="T116" s="242"/>
    </row>
    <row r="117" spans="1:20">
      <c r="A117" s="241"/>
      <c r="B117" s="242"/>
      <c r="C117" s="448"/>
      <c r="D117" s="270"/>
      <c r="E117" s="270"/>
      <c r="F117" s="270"/>
      <c r="G117" s="270"/>
      <c r="H117" s="270"/>
      <c r="I117" s="270"/>
      <c r="J117" s="270"/>
      <c r="K117" s="242"/>
      <c r="L117" s="242"/>
      <c r="M117" s="242"/>
      <c r="N117" s="242"/>
      <c r="O117" s="242"/>
      <c r="P117" s="242"/>
      <c r="Q117" s="242"/>
      <c r="R117" s="242"/>
      <c r="S117" s="242"/>
      <c r="T117" s="242"/>
    </row>
    <row r="118" spans="1:20">
      <c r="A118" s="241"/>
      <c r="B118" s="242" t="s">
        <v>302</v>
      </c>
      <c r="C118" s="448">
        <f>SUM(D118:J118)</f>
        <v>80159499.189849988</v>
      </c>
      <c r="D118" s="270">
        <f t="shared" ref="D118:J118" si="18">D115+D116</f>
        <v>60467797.349999994</v>
      </c>
      <c r="E118" s="270">
        <f t="shared" si="18"/>
        <v>13838286.780000001</v>
      </c>
      <c r="F118" s="270">
        <f t="shared" si="18"/>
        <v>1241421.2399999998</v>
      </c>
      <c r="G118" s="270">
        <f t="shared" si="18"/>
        <v>195654.37000000002</v>
      </c>
      <c r="H118" s="270">
        <f>H115+H116</f>
        <v>2828694.9798499998</v>
      </c>
      <c r="I118" s="270">
        <f t="shared" si="18"/>
        <v>1177956.6799999997</v>
      </c>
      <c r="J118" s="270">
        <f t="shared" si="18"/>
        <v>409687.79</v>
      </c>
      <c r="K118" s="242"/>
      <c r="L118" s="242"/>
      <c r="M118" s="242"/>
      <c r="N118" s="242"/>
      <c r="O118" s="242"/>
      <c r="P118" s="242"/>
      <c r="Q118" s="242"/>
      <c r="R118" s="242"/>
      <c r="S118" s="242"/>
      <c r="T118" s="242"/>
    </row>
    <row r="119" spans="1:20">
      <c r="A119" s="241"/>
      <c r="B119" s="242" t="s">
        <v>330</v>
      </c>
      <c r="C119" s="452">
        <f>SUM(D119:J119)</f>
        <v>0</v>
      </c>
      <c r="D119" s="274">
        <f>ROUND(D18*D65/100,2)</f>
        <v>0</v>
      </c>
      <c r="E119" s="274">
        <f>ROUND(E18*E65/100,2)</f>
        <v>0</v>
      </c>
      <c r="F119" s="274">
        <f>ROUND(F18*F65/100,2)</f>
        <v>0</v>
      </c>
      <c r="G119" s="274">
        <f t="shared" ref="G119:J119" si="19">ROUND(G18*G65/100,2)</f>
        <v>0</v>
      </c>
      <c r="H119" s="274">
        <f t="shared" si="19"/>
        <v>0</v>
      </c>
      <c r="I119" s="274">
        <f t="shared" si="19"/>
        <v>0</v>
      </c>
      <c r="J119" s="274">
        <f t="shared" si="19"/>
        <v>0</v>
      </c>
      <c r="K119" s="242"/>
      <c r="L119" s="242"/>
      <c r="M119" s="242"/>
      <c r="N119" s="242"/>
      <c r="O119" s="242"/>
      <c r="P119" s="242"/>
      <c r="Q119" s="242"/>
      <c r="R119" s="242"/>
      <c r="S119" s="242"/>
      <c r="T119" s="242"/>
    </row>
    <row r="120" spans="1:20">
      <c r="A120" s="241"/>
      <c r="B120" s="242"/>
      <c r="C120" s="453"/>
      <c r="D120" s="226"/>
      <c r="E120" s="226"/>
      <c r="F120" s="226"/>
      <c r="G120" s="226"/>
      <c r="H120" s="226"/>
      <c r="I120" s="226"/>
      <c r="J120" s="226"/>
      <c r="K120" s="242"/>
      <c r="L120" s="242"/>
      <c r="M120" s="242"/>
      <c r="N120" s="242"/>
      <c r="O120" s="242"/>
      <c r="P120" s="242"/>
      <c r="Q120" s="242"/>
      <c r="R120" s="242"/>
      <c r="S120" s="242"/>
      <c r="T120" s="242"/>
    </row>
    <row r="121" spans="1:20">
      <c r="A121" s="241"/>
      <c r="B121" s="248" t="s">
        <v>331</v>
      </c>
      <c r="C121" s="448">
        <f>IF(ROUND(C118+C119,3)&lt;&gt;ROUND(SUM(D121:J121),3),#VALUE!,SUM(D121:J121))</f>
        <v>80159499.189849988</v>
      </c>
      <c r="D121" s="270">
        <f t="shared" ref="D121:J121" si="20">D118+D119</f>
        <v>60467797.349999994</v>
      </c>
      <c r="E121" s="270">
        <f t="shared" si="20"/>
        <v>13838286.780000001</v>
      </c>
      <c r="F121" s="270">
        <f t="shared" si="20"/>
        <v>1241421.2399999998</v>
      </c>
      <c r="G121" s="270">
        <f t="shared" si="20"/>
        <v>195654.37000000002</v>
      </c>
      <c r="H121" s="270">
        <f>H118+H119</f>
        <v>2828694.9798499998</v>
      </c>
      <c r="I121" s="270">
        <f t="shared" si="20"/>
        <v>1177956.6799999997</v>
      </c>
      <c r="J121" s="270">
        <f t="shared" si="20"/>
        <v>409687.79</v>
      </c>
      <c r="K121" s="242"/>
      <c r="L121" s="242"/>
      <c r="M121" s="242"/>
      <c r="N121" s="242"/>
      <c r="O121" s="242"/>
      <c r="P121" s="242"/>
      <c r="Q121" s="242"/>
      <c r="R121" s="242"/>
      <c r="S121" s="242"/>
      <c r="T121" s="242"/>
    </row>
    <row r="122" spans="1:20">
      <c r="A122" s="241"/>
      <c r="B122" s="242"/>
      <c r="C122" s="242"/>
      <c r="D122" s="242"/>
      <c r="E122" s="242"/>
      <c r="F122" s="242"/>
      <c r="G122" s="242"/>
      <c r="H122" s="242"/>
      <c r="I122" s="242"/>
      <c r="J122" s="242"/>
      <c r="K122" s="242"/>
      <c r="L122" s="242"/>
      <c r="M122" s="242"/>
      <c r="N122" s="242"/>
      <c r="O122" s="242"/>
      <c r="P122" s="242"/>
      <c r="Q122" s="242"/>
      <c r="R122" s="242"/>
      <c r="S122" s="242"/>
      <c r="T122" s="242"/>
    </row>
    <row r="123" spans="1:20">
      <c r="A123" s="241"/>
      <c r="B123" s="242"/>
      <c r="C123" s="242"/>
      <c r="D123" s="242"/>
      <c r="E123" s="242"/>
      <c r="F123" s="242"/>
      <c r="G123" s="242"/>
      <c r="H123" s="242"/>
      <c r="I123" s="242"/>
      <c r="J123" s="242"/>
      <c r="K123" s="242"/>
      <c r="L123" s="242"/>
      <c r="M123" s="242"/>
      <c r="N123" s="242"/>
      <c r="O123" s="242"/>
      <c r="P123" s="242"/>
      <c r="Q123" s="242"/>
      <c r="R123" s="242"/>
      <c r="S123" s="242"/>
      <c r="T123" s="242"/>
    </row>
    <row r="124" spans="1:20">
      <c r="A124" s="241"/>
      <c r="B124" s="248" t="s">
        <v>332</v>
      </c>
      <c r="C124" s="270"/>
      <c r="D124" s="270"/>
      <c r="E124" s="270"/>
      <c r="F124" s="270"/>
      <c r="G124" s="270"/>
      <c r="H124" s="270"/>
      <c r="I124" s="270"/>
      <c r="J124" s="270"/>
      <c r="K124" s="242"/>
      <c r="L124" s="242"/>
      <c r="M124" s="242"/>
      <c r="N124" s="242"/>
      <c r="O124" s="242"/>
      <c r="P124" s="242"/>
      <c r="Q124" s="242"/>
      <c r="R124" s="242"/>
      <c r="S124" s="242"/>
      <c r="T124" s="242"/>
    </row>
    <row r="125" spans="1:20">
      <c r="A125" s="241"/>
      <c r="B125" s="228" t="s">
        <v>333</v>
      </c>
      <c r="C125" s="270"/>
      <c r="D125" s="270"/>
      <c r="E125" s="270"/>
      <c r="F125" s="270"/>
      <c r="G125" s="275"/>
      <c r="H125" s="275"/>
      <c r="I125" s="270"/>
      <c r="J125" s="270"/>
      <c r="K125" s="242"/>
      <c r="L125" s="242"/>
      <c r="M125" s="242"/>
      <c r="N125" s="242"/>
      <c r="O125" s="242"/>
      <c r="P125" s="242"/>
      <c r="Q125" s="242"/>
      <c r="R125" s="242"/>
      <c r="S125" s="242"/>
      <c r="T125" s="242"/>
    </row>
    <row r="126" spans="1:20">
      <c r="A126" s="276" t="s">
        <v>396</v>
      </c>
      <c r="B126" s="277" t="s">
        <v>335</v>
      </c>
      <c r="C126" s="454">
        <f>SUM(D126:J126)</f>
        <v>-52762</v>
      </c>
      <c r="D126" s="278">
        <v>46566</v>
      </c>
      <c r="E126" s="278">
        <v>-61385</v>
      </c>
      <c r="F126" s="278">
        <v>-37943</v>
      </c>
      <c r="G126" s="278"/>
      <c r="H126" s="278"/>
      <c r="I126" s="253"/>
      <c r="J126" s="253"/>
      <c r="K126" s="253"/>
      <c r="L126" s="253"/>
      <c r="M126" s="253"/>
      <c r="N126" s="253"/>
      <c r="O126" s="253"/>
      <c r="P126" s="253"/>
      <c r="Q126" s="253"/>
      <c r="R126" s="253"/>
      <c r="S126" s="253"/>
      <c r="T126" s="253"/>
    </row>
    <row r="127" spans="1:20">
      <c r="A127" s="241" t="s">
        <v>397</v>
      </c>
      <c r="B127" s="279" t="s">
        <v>337</v>
      </c>
      <c r="C127" s="448"/>
      <c r="D127" s="267">
        <f>D65</f>
        <v>42.686440889596241</v>
      </c>
      <c r="E127" s="267">
        <f>E65</f>
        <v>25.222723883794391</v>
      </c>
      <c r="F127" s="267">
        <f>F65</f>
        <v>23.573833270651612</v>
      </c>
      <c r="G127" s="267"/>
      <c r="H127" s="267"/>
      <c r="I127" s="267"/>
      <c r="J127" s="267"/>
      <c r="K127" s="267"/>
      <c r="L127" s="267"/>
      <c r="M127" s="267"/>
      <c r="N127" s="267"/>
      <c r="O127" s="267"/>
      <c r="P127" s="267"/>
      <c r="Q127" s="267"/>
      <c r="R127" s="267"/>
      <c r="S127" s="267"/>
      <c r="T127" s="267"/>
    </row>
    <row r="128" spans="1:20">
      <c r="A128" s="241"/>
      <c r="B128" s="280" t="s">
        <v>338</v>
      </c>
      <c r="C128" s="455">
        <f>SUM(D128:J128)</f>
        <v>-4550.2200000000012</v>
      </c>
      <c r="D128" s="226">
        <f>ROUND(D126*D127/100,2)</f>
        <v>19877.37</v>
      </c>
      <c r="E128" s="226">
        <f>ROUND(E126*E127/100,2)</f>
        <v>-15482.97</v>
      </c>
      <c r="F128" s="226">
        <f>ROUND(F126*F127/100,2)</f>
        <v>-8944.6200000000008</v>
      </c>
      <c r="G128" s="226"/>
      <c r="H128" s="226"/>
      <c r="I128" s="226"/>
      <c r="J128" s="226"/>
      <c r="K128" s="270"/>
      <c r="L128" s="270"/>
      <c r="M128" s="270"/>
      <c r="N128" s="270"/>
      <c r="O128" s="270"/>
      <c r="P128" s="270"/>
      <c r="Q128" s="270"/>
      <c r="R128" s="270"/>
      <c r="S128" s="270"/>
      <c r="T128" s="270"/>
    </row>
    <row r="129" spans="1:20">
      <c r="A129" s="241"/>
      <c r="B129" s="280"/>
      <c r="C129" s="455"/>
      <c r="D129" s="270"/>
      <c r="E129" s="270"/>
      <c r="F129" s="270"/>
      <c r="G129" s="270"/>
      <c r="H129" s="270"/>
      <c r="I129" s="270"/>
      <c r="J129" s="270"/>
      <c r="K129" s="270"/>
      <c r="L129" s="270"/>
      <c r="M129" s="270"/>
      <c r="N129" s="270"/>
      <c r="O129" s="270"/>
      <c r="P129" s="270"/>
      <c r="Q129" s="270"/>
      <c r="R129" s="270"/>
      <c r="S129" s="270"/>
      <c r="T129" s="270"/>
    </row>
    <row r="130" spans="1:20">
      <c r="A130" s="276" t="s">
        <v>334</v>
      </c>
      <c r="B130" s="277" t="s">
        <v>339</v>
      </c>
      <c r="C130" s="454">
        <f>SUM(D130:J130)</f>
        <v>0</v>
      </c>
      <c r="D130" s="456">
        <v>0</v>
      </c>
      <c r="E130" s="456">
        <v>0</v>
      </c>
      <c r="F130" s="281"/>
      <c r="G130" s="253"/>
      <c r="H130" s="253"/>
      <c r="I130" s="253"/>
      <c r="J130" s="253"/>
      <c r="K130" s="253"/>
      <c r="L130" s="253"/>
      <c r="M130" s="253"/>
      <c r="N130" s="253"/>
      <c r="O130" s="253"/>
      <c r="P130" s="253"/>
      <c r="Q130" s="253"/>
      <c r="R130" s="253"/>
      <c r="S130" s="253"/>
      <c r="T130" s="253"/>
    </row>
    <row r="131" spans="1:20">
      <c r="A131" s="241" t="s">
        <v>336</v>
      </c>
      <c r="B131" s="279" t="s">
        <v>340</v>
      </c>
      <c r="C131" s="455"/>
      <c r="D131" s="267">
        <f>D59</f>
        <v>38.685000000000002</v>
      </c>
      <c r="E131" s="267">
        <f>I230</f>
        <v>26.920020273377542</v>
      </c>
      <c r="F131" s="282"/>
      <c r="G131" s="267"/>
      <c r="H131" s="267"/>
      <c r="I131" s="267"/>
      <c r="J131" s="267"/>
      <c r="K131" s="267"/>
      <c r="L131" s="267"/>
      <c r="M131" s="267"/>
      <c r="N131" s="267"/>
      <c r="O131" s="267"/>
      <c r="P131" s="267"/>
      <c r="Q131" s="267"/>
      <c r="R131" s="267"/>
      <c r="S131" s="267"/>
      <c r="T131" s="267"/>
    </row>
    <row r="132" spans="1:20">
      <c r="A132" s="241"/>
      <c r="B132" s="280" t="s">
        <v>341</v>
      </c>
      <c r="C132" s="455">
        <f>SUM(D132:J132)</f>
        <v>0</v>
      </c>
      <c r="D132" s="226">
        <f>ROUND(D130*D131/100,2)</f>
        <v>0</v>
      </c>
      <c r="E132" s="226">
        <f>ROUND(E130*E131/100,2)</f>
        <v>0</v>
      </c>
      <c r="F132" s="226"/>
      <c r="G132" s="226"/>
      <c r="H132" s="226"/>
      <c r="I132" s="225"/>
      <c r="J132" s="226"/>
      <c r="K132" s="270"/>
      <c r="L132" s="270"/>
      <c r="M132" s="270"/>
      <c r="N132" s="270"/>
      <c r="O132" s="270"/>
      <c r="P132" s="270"/>
      <c r="Q132" s="270"/>
      <c r="R132" s="270"/>
      <c r="S132" s="270"/>
      <c r="T132" s="270"/>
    </row>
    <row r="133" spans="1:20">
      <c r="A133" s="241"/>
      <c r="B133" s="280"/>
      <c r="C133" s="455"/>
      <c r="D133" s="270"/>
      <c r="E133" s="270"/>
      <c r="F133" s="270"/>
      <c r="G133" s="270"/>
      <c r="H133" s="270"/>
      <c r="I133" s="242"/>
      <c r="J133" s="270"/>
      <c r="K133" s="270"/>
      <c r="L133" s="270"/>
      <c r="M133" s="270"/>
      <c r="N133" s="270"/>
      <c r="O133" s="270"/>
      <c r="P133" s="270"/>
      <c r="Q133" s="270"/>
      <c r="R133" s="270"/>
      <c r="S133" s="270"/>
      <c r="T133" s="270"/>
    </row>
    <row r="134" spans="1:20">
      <c r="A134" s="241"/>
      <c r="B134" s="277" t="s">
        <v>342</v>
      </c>
      <c r="C134" s="454">
        <f>IF(ROUND(SUM(D134:J134),3)&lt;&gt;ROUND(C126+C130,3),#VALUE!,SUM(D134:J134))</f>
        <v>-52762</v>
      </c>
      <c r="D134" s="454">
        <f>D126+D130</f>
        <v>46566</v>
      </c>
      <c r="E134" s="454">
        <f>E126+E130</f>
        <v>-61385</v>
      </c>
      <c r="F134" s="274">
        <f>F126+F130</f>
        <v>-37943</v>
      </c>
      <c r="G134" s="274"/>
      <c r="H134" s="274"/>
      <c r="I134" s="274"/>
      <c r="J134" s="274"/>
      <c r="K134" s="253"/>
      <c r="L134" s="253"/>
      <c r="M134" s="253"/>
      <c r="N134" s="253"/>
      <c r="O134" s="253"/>
      <c r="P134" s="253"/>
      <c r="Q134" s="253"/>
      <c r="R134" s="253"/>
      <c r="S134" s="253"/>
      <c r="T134" s="253"/>
    </row>
    <row r="135" spans="1:20">
      <c r="A135" s="241"/>
      <c r="B135" s="280" t="s">
        <v>343</v>
      </c>
      <c r="C135" s="455">
        <f>IF(ROUND(SUM(D135:J135),3)&lt;&gt;ROUND(C128+C132,3),#VALUE!,SUM(D135:J135))</f>
        <v>-4550.2200000000012</v>
      </c>
      <c r="D135" s="270">
        <f>D128+D132</f>
        <v>19877.37</v>
      </c>
      <c r="E135" s="270">
        <f>E128+E132</f>
        <v>-15482.97</v>
      </c>
      <c r="F135" s="270">
        <f>F128+F132</f>
        <v>-8944.6200000000008</v>
      </c>
      <c r="G135" s="270"/>
      <c r="H135" s="270"/>
      <c r="I135" s="270"/>
      <c r="J135" s="270"/>
      <c r="K135" s="270"/>
      <c r="L135" s="270"/>
      <c r="M135" s="270"/>
      <c r="N135" s="270"/>
      <c r="O135" s="270"/>
      <c r="P135" s="270"/>
      <c r="Q135" s="270"/>
      <c r="R135" s="270"/>
      <c r="S135" s="270"/>
      <c r="T135" s="270"/>
    </row>
    <row r="136" spans="1:20">
      <c r="A136" s="241"/>
      <c r="B136" s="228" t="s">
        <v>344</v>
      </c>
      <c r="C136" s="455"/>
      <c r="D136" s="270"/>
      <c r="E136" s="270"/>
      <c r="F136" s="270"/>
      <c r="G136" s="270"/>
      <c r="H136" s="270"/>
      <c r="I136" s="270"/>
      <c r="J136" s="270"/>
      <c r="K136" s="242"/>
      <c r="L136" s="242"/>
      <c r="M136" s="242"/>
      <c r="N136" s="242"/>
      <c r="O136" s="242"/>
      <c r="P136" s="242"/>
      <c r="Q136" s="242"/>
      <c r="R136" s="242"/>
      <c r="S136" s="242"/>
      <c r="T136" s="242"/>
    </row>
    <row r="137" spans="1:20">
      <c r="A137" s="276" t="s">
        <v>398</v>
      </c>
      <c r="B137" s="277" t="s">
        <v>339</v>
      </c>
      <c r="C137" s="454">
        <f>SUM(D137:J137)</f>
        <v>21269632</v>
      </c>
      <c r="D137" s="283">
        <v>15771884</v>
      </c>
      <c r="E137" s="283">
        <v>5203658</v>
      </c>
      <c r="F137" s="283">
        <v>294090</v>
      </c>
      <c r="G137" s="284"/>
      <c r="H137" s="274"/>
      <c r="I137" s="253"/>
      <c r="J137" s="253"/>
      <c r="K137" s="253"/>
      <c r="L137" s="253"/>
      <c r="M137" s="253"/>
      <c r="N137" s="253"/>
      <c r="O137" s="253"/>
      <c r="P137" s="253"/>
      <c r="Q137" s="253"/>
      <c r="R137" s="253"/>
      <c r="S137" s="253"/>
      <c r="T137" s="253"/>
    </row>
    <row r="138" spans="1:20">
      <c r="A138" s="241" t="s">
        <v>397</v>
      </c>
      <c r="B138" s="279" t="s">
        <v>340</v>
      </c>
      <c r="C138" s="455"/>
      <c r="D138" s="267">
        <f>I208</f>
        <v>43.532779364516053</v>
      </c>
      <c r="E138" s="267">
        <f>I230</f>
        <v>26.920020273377542</v>
      </c>
      <c r="F138" s="282">
        <f>I258</f>
        <v>17.641797164289827</v>
      </c>
      <c r="G138" s="267"/>
      <c r="H138" s="267"/>
      <c r="I138" s="267"/>
      <c r="J138" s="267"/>
      <c r="K138" s="267"/>
      <c r="L138" s="267"/>
      <c r="M138" s="267"/>
      <c r="N138" s="267"/>
      <c r="O138" s="267"/>
      <c r="P138" s="267"/>
      <c r="Q138" s="267"/>
      <c r="R138" s="267"/>
      <c r="S138" s="267"/>
      <c r="T138" s="267"/>
    </row>
    <row r="139" spans="1:20">
      <c r="A139" s="241"/>
      <c r="B139" s="280" t="s">
        <v>341</v>
      </c>
      <c r="C139" s="455">
        <f>SUM(D139:J139)</f>
        <v>8318648.0099999998</v>
      </c>
      <c r="D139" s="226">
        <f>ROUND(D137*D138/100,2)</f>
        <v>6865939.46</v>
      </c>
      <c r="E139" s="226">
        <f>ROUND(E137*E138/100,2)</f>
        <v>1400825.79</v>
      </c>
      <c r="F139" s="226">
        <f>ROUND(F137*F138/100,2)</f>
        <v>51882.76</v>
      </c>
      <c r="G139" s="226"/>
      <c r="H139" s="226"/>
      <c r="I139" s="226"/>
      <c r="J139" s="226"/>
      <c r="K139" s="270"/>
      <c r="L139" s="270"/>
      <c r="M139" s="270"/>
      <c r="N139" s="270"/>
      <c r="O139" s="270"/>
      <c r="P139" s="270"/>
      <c r="Q139" s="270"/>
      <c r="R139" s="270"/>
      <c r="S139" s="270"/>
      <c r="T139" s="270"/>
    </row>
    <row r="140" spans="1:20">
      <c r="A140" s="241"/>
      <c r="B140" s="280" t="s">
        <v>345</v>
      </c>
      <c r="C140" s="457"/>
      <c r="D140" s="229"/>
      <c r="E140" s="229"/>
      <c r="F140" s="229"/>
      <c r="G140" s="229"/>
      <c r="H140" s="229"/>
      <c r="I140" s="229"/>
      <c r="J140" s="229"/>
      <c r="K140" s="270"/>
      <c r="L140" s="270"/>
      <c r="M140" s="270"/>
      <c r="N140" s="270"/>
      <c r="O140" s="270"/>
      <c r="P140" s="270"/>
      <c r="Q140" s="270"/>
      <c r="R140" s="270"/>
      <c r="S140" s="270"/>
      <c r="T140" s="270"/>
    </row>
    <row r="141" spans="1:20">
      <c r="A141" s="241"/>
      <c r="B141" s="242"/>
      <c r="C141" s="455"/>
      <c r="D141" s="270"/>
      <c r="E141" s="270"/>
      <c r="F141" s="270"/>
      <c r="G141" s="270"/>
      <c r="H141" s="270"/>
      <c r="I141" s="270"/>
      <c r="J141" s="270"/>
      <c r="K141" s="242"/>
      <c r="L141" s="242"/>
      <c r="M141" s="242"/>
      <c r="N141" s="242"/>
      <c r="O141" s="242"/>
      <c r="P141" s="242"/>
      <c r="Q141" s="242"/>
      <c r="R141" s="242"/>
      <c r="S141" s="242"/>
      <c r="T141" s="242"/>
    </row>
    <row r="142" spans="1:20">
      <c r="A142" s="241"/>
      <c r="B142" s="242" t="s">
        <v>346</v>
      </c>
      <c r="C142" s="455">
        <f>IF(ROUND(SUM(D142:J142),3)&lt;&gt;ROUND(C135+C139+C140,3),#VALUE!,SUM(D142:J142))</f>
        <v>8314097.79</v>
      </c>
      <c r="D142" s="270">
        <f>D135+D139+D140</f>
        <v>6885816.8300000001</v>
      </c>
      <c r="E142" s="270">
        <f t="shared" ref="E142:J142" si="21">E135+E139+E140</f>
        <v>1385342.82</v>
      </c>
      <c r="F142" s="270">
        <f>F135+F139+F140</f>
        <v>42938.14</v>
      </c>
      <c r="G142" s="270">
        <f t="shared" si="21"/>
        <v>0</v>
      </c>
      <c r="H142" s="270">
        <f t="shared" si="21"/>
        <v>0</v>
      </c>
      <c r="I142" s="270">
        <f t="shared" si="21"/>
        <v>0</v>
      </c>
      <c r="J142" s="270">
        <f t="shared" si="21"/>
        <v>0</v>
      </c>
      <c r="K142" s="242"/>
      <c r="L142" s="242"/>
      <c r="M142" s="242"/>
      <c r="N142" s="242"/>
      <c r="O142" s="242"/>
      <c r="P142" s="242"/>
      <c r="Q142" s="242"/>
      <c r="R142" s="242"/>
      <c r="S142" s="242"/>
      <c r="T142" s="242"/>
    </row>
    <row r="143" spans="1:20">
      <c r="A143" s="241"/>
      <c r="B143" s="242" t="str">
        <f>B121</f>
        <v>TOTAL BASE TARIFF REVENUE</v>
      </c>
      <c r="C143" s="451">
        <f>SUM(D143:J143)</f>
        <v>80159499.189849988</v>
      </c>
      <c r="D143" s="227">
        <f t="shared" ref="D143:J143" si="22">D121</f>
        <v>60467797.349999994</v>
      </c>
      <c r="E143" s="227">
        <f t="shared" si="22"/>
        <v>13838286.780000001</v>
      </c>
      <c r="F143" s="227">
        <f t="shared" si="22"/>
        <v>1241421.2399999998</v>
      </c>
      <c r="G143" s="227">
        <f t="shared" si="22"/>
        <v>195654.37000000002</v>
      </c>
      <c r="H143" s="227">
        <f>H121</f>
        <v>2828694.9798499998</v>
      </c>
      <c r="I143" s="227">
        <f t="shared" si="22"/>
        <v>1177956.6799999997</v>
      </c>
      <c r="J143" s="227">
        <f t="shared" si="22"/>
        <v>409687.79</v>
      </c>
      <c r="K143" s="242"/>
      <c r="L143" s="242"/>
      <c r="M143" s="242"/>
      <c r="N143" s="242"/>
      <c r="O143" s="242"/>
      <c r="P143" s="242"/>
      <c r="Q143" s="242"/>
      <c r="R143" s="242"/>
      <c r="S143" s="242"/>
      <c r="T143" s="242"/>
    </row>
    <row r="144" spans="1:20">
      <c r="A144" s="241"/>
      <c r="B144" s="242"/>
      <c r="C144" s="448"/>
      <c r="D144" s="270"/>
      <c r="E144" s="270"/>
      <c r="F144" s="270"/>
      <c r="G144" s="270"/>
      <c r="H144" s="270"/>
      <c r="I144" s="270"/>
      <c r="J144" s="270"/>
      <c r="K144" s="242"/>
      <c r="L144" s="242"/>
      <c r="M144" s="242"/>
      <c r="N144" s="242"/>
      <c r="O144" s="242"/>
      <c r="P144" s="242"/>
      <c r="Q144" s="242"/>
      <c r="R144" s="242"/>
      <c r="S144" s="242"/>
      <c r="T144" s="242"/>
    </row>
    <row r="145" spans="1:20">
      <c r="A145" s="241"/>
      <c r="B145" s="242" t="s">
        <v>347</v>
      </c>
      <c r="C145" s="448">
        <f>IF(ROUND(SUM(D145:J145),3)&lt;&gt;ROUND(C142+C143,3),#VALUE!,SUM(D145:J145))</f>
        <v>88473596.979850009</v>
      </c>
      <c r="D145" s="270">
        <f t="shared" ref="D145:J145" si="23">D142+D143</f>
        <v>67353614.179999992</v>
      </c>
      <c r="E145" s="270">
        <f t="shared" si="23"/>
        <v>15223629.600000001</v>
      </c>
      <c r="F145" s="270">
        <f>F142+F143</f>
        <v>1284359.3799999997</v>
      </c>
      <c r="G145" s="270">
        <f t="shared" si="23"/>
        <v>195654.37000000002</v>
      </c>
      <c r="H145" s="270">
        <f>H142+H143</f>
        <v>2828694.9798499998</v>
      </c>
      <c r="I145" s="270">
        <f t="shared" si="23"/>
        <v>1177956.6799999997</v>
      </c>
      <c r="J145" s="270">
        <f t="shared" si="23"/>
        <v>409687.79</v>
      </c>
      <c r="K145" s="242"/>
      <c r="L145" s="242"/>
      <c r="M145" s="242"/>
      <c r="N145" s="242"/>
      <c r="O145" s="242"/>
      <c r="P145" s="242"/>
      <c r="Q145" s="242"/>
      <c r="R145" s="242"/>
      <c r="S145" s="242"/>
      <c r="T145" s="242"/>
    </row>
    <row r="146" spans="1:20">
      <c r="A146" s="241"/>
      <c r="B146" s="242"/>
      <c r="C146" s="448"/>
      <c r="D146" s="270"/>
      <c r="E146" s="270"/>
      <c r="F146" s="270"/>
      <c r="G146" s="270"/>
      <c r="H146" s="270"/>
      <c r="I146" s="270"/>
      <c r="J146" s="270"/>
      <c r="K146" s="242"/>
      <c r="L146" s="242"/>
      <c r="M146" s="242"/>
      <c r="N146" s="242"/>
      <c r="O146" s="242"/>
      <c r="P146" s="242"/>
      <c r="Q146" s="242"/>
      <c r="R146" s="242"/>
      <c r="S146" s="242"/>
      <c r="T146" s="242"/>
    </row>
    <row r="147" spans="1:20">
      <c r="A147" s="241"/>
      <c r="B147" s="242"/>
      <c r="C147" s="448"/>
      <c r="D147" s="270"/>
      <c r="E147" s="270"/>
      <c r="F147" s="270"/>
      <c r="G147" s="270"/>
      <c r="H147" s="270"/>
      <c r="I147" s="270"/>
      <c r="J147" s="270"/>
      <c r="K147" s="242"/>
      <c r="L147" s="242"/>
      <c r="M147" s="242"/>
      <c r="N147" s="242"/>
      <c r="O147" s="242"/>
      <c r="P147" s="242"/>
      <c r="Q147" s="242"/>
      <c r="R147" s="242"/>
      <c r="S147" s="242"/>
      <c r="T147" s="242"/>
    </row>
    <row r="148" spans="1:20">
      <c r="A148" s="241"/>
      <c r="B148" s="243"/>
      <c r="C148" s="270"/>
      <c r="D148" s="270"/>
      <c r="E148" s="270"/>
      <c r="F148" s="270"/>
      <c r="G148" s="270"/>
      <c r="H148" s="270"/>
      <c r="I148" s="270"/>
      <c r="J148" s="270"/>
      <c r="K148" s="243"/>
      <c r="L148" s="243"/>
      <c r="M148" s="243"/>
      <c r="N148" s="243"/>
      <c r="O148" s="243"/>
      <c r="P148" s="243"/>
      <c r="Q148" s="243"/>
      <c r="R148" s="243"/>
      <c r="S148" s="243"/>
      <c r="T148" s="243"/>
    </row>
    <row r="149" spans="1:20">
      <c r="A149" s="241"/>
      <c r="B149" s="243"/>
      <c r="C149" s="270"/>
      <c r="D149" s="270"/>
      <c r="E149" s="270"/>
      <c r="F149" s="270"/>
      <c r="G149" s="270"/>
      <c r="H149" s="270"/>
      <c r="I149" s="270"/>
      <c r="J149" s="243"/>
      <c r="K149" s="243"/>
      <c r="L149" s="243"/>
      <c r="M149" s="243"/>
      <c r="N149" s="243"/>
      <c r="O149" s="243"/>
      <c r="P149" s="243"/>
      <c r="Q149" s="243"/>
      <c r="R149" s="243"/>
      <c r="S149" s="243"/>
      <c r="T149" s="243"/>
    </row>
    <row r="150" spans="1:20">
      <c r="A150" s="241"/>
      <c r="B150" s="243"/>
      <c r="C150" s="270"/>
      <c r="D150" s="270"/>
      <c r="E150" s="270"/>
      <c r="F150" s="270"/>
      <c r="G150" s="270"/>
      <c r="H150" s="270"/>
      <c r="I150" s="270"/>
      <c r="J150" s="243" t="s">
        <v>279</v>
      </c>
      <c r="K150" s="243"/>
      <c r="L150" s="243"/>
      <c r="M150" s="243"/>
      <c r="N150" s="243"/>
      <c r="O150" s="243"/>
      <c r="P150" s="243"/>
      <c r="Q150" s="243"/>
      <c r="R150" s="243"/>
      <c r="S150" s="243"/>
      <c r="T150" s="243"/>
    </row>
    <row r="151" spans="1:20">
      <c r="A151" s="244" t="s">
        <v>280</v>
      </c>
      <c r="B151" s="243"/>
      <c r="C151" s="243" t="s">
        <v>281</v>
      </c>
      <c r="D151" s="243" t="s">
        <v>282</v>
      </c>
      <c r="E151" s="243" t="s">
        <v>283</v>
      </c>
      <c r="F151" s="243" t="s">
        <v>284</v>
      </c>
      <c r="G151" s="243" t="s">
        <v>285</v>
      </c>
      <c r="H151" s="243" t="s">
        <v>279</v>
      </c>
      <c r="I151" s="243" t="s">
        <v>279</v>
      </c>
      <c r="J151" s="216" t="s">
        <v>456</v>
      </c>
      <c r="K151" s="243"/>
      <c r="L151" s="243"/>
      <c r="M151" s="243"/>
      <c r="N151" s="243"/>
      <c r="O151" s="243"/>
      <c r="P151" s="243"/>
      <c r="Q151" s="243"/>
      <c r="R151" s="243"/>
      <c r="S151" s="243"/>
      <c r="T151" s="243"/>
    </row>
    <row r="152" spans="1:20">
      <c r="A152" s="244" t="s">
        <v>286</v>
      </c>
      <c r="B152" s="217"/>
      <c r="C152" s="217" t="s">
        <v>287</v>
      </c>
      <c r="D152" s="217" t="s">
        <v>288</v>
      </c>
      <c r="E152" s="217" t="s">
        <v>313</v>
      </c>
      <c r="F152" s="217" t="s">
        <v>314</v>
      </c>
      <c r="G152" s="217" t="s">
        <v>315</v>
      </c>
      <c r="H152" s="217" t="s">
        <v>292</v>
      </c>
      <c r="I152" s="217" t="s">
        <v>293</v>
      </c>
      <c r="J152" s="217" t="s">
        <v>294</v>
      </c>
      <c r="K152" s="243"/>
      <c r="L152" s="243"/>
      <c r="M152" s="243"/>
      <c r="N152" s="243"/>
      <c r="O152" s="243"/>
      <c r="P152" s="243"/>
      <c r="Q152" s="243"/>
      <c r="R152" s="243"/>
      <c r="S152" s="243"/>
      <c r="T152" s="243"/>
    </row>
    <row r="153" spans="1:20">
      <c r="A153" s="241"/>
      <c r="B153" s="218" t="s">
        <v>348</v>
      </c>
      <c r="C153" s="270"/>
      <c r="D153" s="270"/>
      <c r="E153" s="270"/>
      <c r="F153" s="270"/>
      <c r="G153" s="270"/>
      <c r="H153" s="270"/>
      <c r="I153" s="270"/>
      <c r="J153" s="270"/>
      <c r="K153" s="242"/>
      <c r="L153" s="242"/>
      <c r="M153" s="242"/>
      <c r="N153" s="242"/>
      <c r="O153" s="242"/>
      <c r="P153" s="242"/>
      <c r="Q153" s="242"/>
      <c r="R153" s="242"/>
      <c r="S153" s="242"/>
      <c r="T153" s="242"/>
    </row>
    <row r="154" spans="1:20">
      <c r="A154" s="241"/>
      <c r="B154" s="242" t="s">
        <v>328</v>
      </c>
      <c r="C154" s="270"/>
      <c r="D154" s="270"/>
      <c r="E154" s="270"/>
      <c r="F154" s="270"/>
      <c r="G154" s="270"/>
      <c r="H154" s="270"/>
      <c r="I154" s="270"/>
      <c r="J154" s="270"/>
      <c r="K154" s="242"/>
      <c r="L154" s="242"/>
      <c r="M154" s="242"/>
      <c r="N154" s="242"/>
      <c r="O154" s="242"/>
      <c r="P154" s="242"/>
      <c r="Q154" s="242"/>
      <c r="R154" s="242"/>
      <c r="S154" s="242"/>
      <c r="T154" s="242"/>
    </row>
    <row r="155" spans="1:20">
      <c r="A155" s="241"/>
      <c r="B155" s="271" t="s">
        <v>317</v>
      </c>
      <c r="C155" s="448">
        <f t="shared" ref="C155:C162" si="24">SUM(D155:J155)</f>
        <v>16834077</v>
      </c>
      <c r="D155" s="272">
        <f>D48*D74</f>
        <v>16269093</v>
      </c>
      <c r="E155" s="272">
        <f t="shared" ref="E155:J156" si="25">E48*E74</f>
        <v>0</v>
      </c>
      <c r="F155" s="272">
        <f t="shared" si="25"/>
        <v>0</v>
      </c>
      <c r="G155" s="272">
        <f t="shared" si="25"/>
        <v>0</v>
      </c>
      <c r="H155" s="272">
        <f t="shared" si="25"/>
        <v>239400</v>
      </c>
      <c r="I155" s="272">
        <f t="shared" si="25"/>
        <v>9600</v>
      </c>
      <c r="J155" s="272">
        <f t="shared" si="25"/>
        <v>315984</v>
      </c>
      <c r="K155" s="242"/>
      <c r="L155" s="242"/>
      <c r="M155" s="242"/>
      <c r="N155" s="242"/>
      <c r="O155" s="242"/>
      <c r="P155" s="242"/>
      <c r="Q155" s="242"/>
      <c r="R155" s="242"/>
      <c r="S155" s="242"/>
      <c r="T155" s="242"/>
    </row>
    <row r="156" spans="1:20">
      <c r="A156" s="241"/>
      <c r="B156" s="271" t="s">
        <v>390</v>
      </c>
      <c r="C156" s="449">
        <f t="shared" si="24"/>
        <v>3298796.4898500005</v>
      </c>
      <c r="D156" s="250">
        <f>D49*D75</f>
        <v>0</v>
      </c>
      <c r="E156" s="250">
        <f t="shared" si="25"/>
        <v>3185824.64</v>
      </c>
      <c r="F156" s="250">
        <f t="shared" si="25"/>
        <v>81738.720000000001</v>
      </c>
      <c r="G156" s="250">
        <f t="shared" si="25"/>
        <v>0</v>
      </c>
      <c r="H156" s="250">
        <v>31233.129849999998</v>
      </c>
      <c r="I156" s="250">
        <f t="shared" si="25"/>
        <v>0</v>
      </c>
      <c r="J156" s="250">
        <f t="shared" si="25"/>
        <v>0</v>
      </c>
      <c r="K156" s="242"/>
      <c r="L156" s="242"/>
      <c r="M156" s="242"/>
      <c r="N156" s="242"/>
      <c r="O156" s="242"/>
      <c r="P156" s="242"/>
      <c r="Q156" s="242"/>
      <c r="R156" s="242"/>
      <c r="S156" s="242"/>
      <c r="T156" s="242"/>
    </row>
    <row r="157" spans="1:20">
      <c r="A157" s="241"/>
      <c r="B157" s="271" t="s">
        <v>297</v>
      </c>
      <c r="C157" s="449">
        <f t="shared" si="24"/>
        <v>27802531.419999998</v>
      </c>
      <c r="D157" s="250">
        <f>ROUND(D31*D77/100,2)</f>
        <v>26231134.829999998</v>
      </c>
      <c r="E157" s="250">
        <f t="shared" ref="E157:J157" si="26">ROUND(E31*E77/100,2)</f>
        <v>0</v>
      </c>
      <c r="F157" s="250">
        <f t="shared" si="26"/>
        <v>0</v>
      </c>
      <c r="G157" s="250">
        <f t="shared" si="26"/>
        <v>60102.39</v>
      </c>
      <c r="H157" s="250">
        <f t="shared" si="26"/>
        <v>795171.41</v>
      </c>
      <c r="I157" s="250">
        <f t="shared" si="26"/>
        <v>622419</v>
      </c>
      <c r="J157" s="250">
        <f t="shared" si="26"/>
        <v>93703.79</v>
      </c>
      <c r="K157" s="242"/>
      <c r="L157" s="242"/>
      <c r="M157" s="242"/>
      <c r="N157" s="242"/>
      <c r="O157" s="242"/>
      <c r="P157" s="242"/>
      <c r="Q157" s="242"/>
      <c r="R157" s="242"/>
      <c r="S157" s="242"/>
      <c r="T157" s="242"/>
    </row>
    <row r="158" spans="1:20">
      <c r="A158" s="241"/>
      <c r="B158" s="271" t="s">
        <v>298</v>
      </c>
      <c r="C158" s="449">
        <f t="shared" si="24"/>
        <v>23787322.119999997</v>
      </c>
      <c r="D158" s="250">
        <f t="shared" ref="D158:J161" si="27">ROUND(D32*D78/100,2)</f>
        <v>17967569.52</v>
      </c>
      <c r="E158" s="250">
        <f t="shared" si="27"/>
        <v>4794182.45</v>
      </c>
      <c r="F158" s="250">
        <f t="shared" si="27"/>
        <v>58000.86</v>
      </c>
      <c r="G158" s="250">
        <f t="shared" si="27"/>
        <v>59218.27</v>
      </c>
      <c r="H158" s="250">
        <f t="shared" si="27"/>
        <v>616094.82999999996</v>
      </c>
      <c r="I158" s="250">
        <f t="shared" si="27"/>
        <v>292256.19</v>
      </c>
      <c r="J158" s="250">
        <f t="shared" si="27"/>
        <v>0</v>
      </c>
      <c r="K158" s="242"/>
      <c r="L158" s="242"/>
      <c r="M158" s="242"/>
      <c r="N158" s="242"/>
      <c r="O158" s="242"/>
      <c r="P158" s="242"/>
      <c r="Q158" s="242"/>
      <c r="R158" s="242"/>
      <c r="S158" s="242"/>
      <c r="T158" s="242"/>
    </row>
    <row r="159" spans="1:20">
      <c r="A159" s="241"/>
      <c r="B159" s="271" t="s">
        <v>299</v>
      </c>
      <c r="C159" s="449">
        <f t="shared" si="24"/>
        <v>7535839.9100000011</v>
      </c>
      <c r="D159" s="250">
        <f t="shared" si="27"/>
        <v>0</v>
      </c>
      <c r="E159" s="250">
        <f t="shared" si="27"/>
        <v>5858279.6900000004</v>
      </c>
      <c r="F159" s="250">
        <f t="shared" si="27"/>
        <v>695191.57</v>
      </c>
      <c r="G159" s="250">
        <f t="shared" si="27"/>
        <v>61815.79</v>
      </c>
      <c r="H159" s="250">
        <f t="shared" si="27"/>
        <v>863583.38</v>
      </c>
      <c r="I159" s="250">
        <f t="shared" si="27"/>
        <v>56969.48</v>
      </c>
      <c r="J159" s="250">
        <f t="shared" si="27"/>
        <v>0</v>
      </c>
      <c r="K159" s="242"/>
      <c r="L159" s="242"/>
      <c r="M159" s="242"/>
      <c r="N159" s="242"/>
      <c r="O159" s="242"/>
      <c r="P159" s="242"/>
      <c r="Q159" s="242"/>
      <c r="R159" s="242"/>
      <c r="S159" s="242"/>
      <c r="T159" s="242"/>
    </row>
    <row r="160" spans="1:20">
      <c r="A160" s="241"/>
      <c r="B160" s="271" t="s">
        <v>300</v>
      </c>
      <c r="C160" s="449">
        <f t="shared" si="24"/>
        <v>679400.83</v>
      </c>
      <c r="D160" s="250">
        <f t="shared" si="27"/>
        <v>0</v>
      </c>
      <c r="E160" s="250">
        <f t="shared" si="27"/>
        <v>0</v>
      </c>
      <c r="F160" s="250">
        <f t="shared" si="27"/>
        <v>308104.71000000002</v>
      </c>
      <c r="G160" s="250">
        <f t="shared" si="27"/>
        <v>14517.92</v>
      </c>
      <c r="H160" s="250">
        <f t="shared" si="27"/>
        <v>208746.57</v>
      </c>
      <c r="I160" s="250">
        <f t="shared" si="27"/>
        <v>148031.63</v>
      </c>
      <c r="J160" s="250">
        <f t="shared" si="27"/>
        <v>0</v>
      </c>
      <c r="K160" s="242"/>
      <c r="L160" s="242"/>
      <c r="M160" s="242"/>
      <c r="N160" s="242"/>
      <c r="O160" s="242"/>
      <c r="P160" s="242"/>
      <c r="Q160" s="242"/>
      <c r="R160" s="242"/>
      <c r="S160" s="242"/>
      <c r="T160" s="242"/>
    </row>
    <row r="161" spans="1:20">
      <c r="A161" s="241"/>
      <c r="B161" s="271" t="s">
        <v>301</v>
      </c>
      <c r="C161" s="449">
        <f t="shared" si="24"/>
        <v>221531.42</v>
      </c>
      <c r="D161" s="250">
        <f t="shared" si="27"/>
        <v>0</v>
      </c>
      <c r="E161" s="250">
        <f t="shared" si="27"/>
        <v>0</v>
      </c>
      <c r="F161" s="250">
        <f t="shared" si="27"/>
        <v>98385.38</v>
      </c>
      <c r="G161" s="250">
        <f t="shared" si="27"/>
        <v>0</v>
      </c>
      <c r="H161" s="250">
        <f t="shared" si="27"/>
        <v>74465.66</v>
      </c>
      <c r="I161" s="250">
        <f t="shared" si="27"/>
        <v>48680.38</v>
      </c>
      <c r="J161" s="250">
        <f t="shared" si="27"/>
        <v>0</v>
      </c>
      <c r="K161" s="242"/>
      <c r="L161" s="242"/>
      <c r="M161" s="242"/>
      <c r="N161" s="242"/>
      <c r="O161" s="242"/>
      <c r="P161" s="242"/>
      <c r="Q161" s="242"/>
      <c r="R161" s="242"/>
      <c r="S161" s="242"/>
      <c r="T161" s="242"/>
    </row>
    <row r="162" spans="1:20">
      <c r="A162" s="241"/>
      <c r="B162" s="271" t="s">
        <v>329</v>
      </c>
      <c r="C162" s="449">
        <f t="shared" si="24"/>
        <v>0</v>
      </c>
      <c r="D162" s="250"/>
      <c r="E162" s="250"/>
      <c r="F162" s="250"/>
      <c r="G162" s="250"/>
      <c r="H162" s="250"/>
      <c r="I162" s="250"/>
      <c r="J162" s="273">
        <v>0</v>
      </c>
      <c r="K162" s="242"/>
      <c r="L162" s="242"/>
      <c r="M162" s="242"/>
      <c r="N162" s="242"/>
      <c r="O162" s="242"/>
      <c r="P162" s="242"/>
      <c r="Q162" s="242"/>
      <c r="R162" s="242"/>
      <c r="S162" s="242"/>
      <c r="T162" s="242"/>
    </row>
    <row r="163" spans="1:20">
      <c r="A163" s="242"/>
      <c r="B163" s="242"/>
      <c r="C163" s="453"/>
      <c r="D163" s="225"/>
      <c r="E163" s="225"/>
      <c r="F163" s="225"/>
      <c r="G163" s="225"/>
      <c r="H163" s="225"/>
      <c r="I163" s="225"/>
      <c r="J163" s="225"/>
      <c r="K163" s="242"/>
      <c r="L163" s="242"/>
      <c r="M163" s="242"/>
      <c r="N163" s="242"/>
      <c r="O163" s="242"/>
      <c r="P163" s="242"/>
      <c r="Q163" s="242"/>
      <c r="R163" s="242"/>
      <c r="S163" s="242"/>
      <c r="T163" s="242"/>
    </row>
    <row r="164" spans="1:20">
      <c r="A164" s="241"/>
      <c r="B164" s="242" t="s">
        <v>302</v>
      </c>
      <c r="C164" s="448">
        <f>IF(ROUND(SUM(D164:J164),3)&lt;&gt;ROUND(SUM(C155:C162),3),#VALUE!,SUM(D164:J164))</f>
        <v>80159499.189849988</v>
      </c>
      <c r="D164" s="270">
        <f t="shared" ref="D164:J164" si="28">SUM(D155:D163)</f>
        <v>60467797.349999994</v>
      </c>
      <c r="E164" s="270">
        <f t="shared" si="28"/>
        <v>13838286.780000001</v>
      </c>
      <c r="F164" s="270">
        <f t="shared" si="28"/>
        <v>1241421.2399999998</v>
      </c>
      <c r="G164" s="270">
        <f t="shared" si="28"/>
        <v>195654.37000000002</v>
      </c>
      <c r="H164" s="270">
        <f>SUM(H155:H163)</f>
        <v>2828694.9798499998</v>
      </c>
      <c r="I164" s="270">
        <f t="shared" si="28"/>
        <v>1177956.6799999997</v>
      </c>
      <c r="J164" s="270">
        <f t="shared" si="28"/>
        <v>409687.79</v>
      </c>
      <c r="K164" s="242"/>
      <c r="L164" s="242"/>
      <c r="M164" s="242"/>
      <c r="N164" s="242"/>
      <c r="O164" s="242"/>
      <c r="P164" s="242"/>
      <c r="Q164" s="242"/>
      <c r="R164" s="242"/>
      <c r="S164" s="242"/>
      <c r="T164" s="242"/>
    </row>
    <row r="165" spans="1:20">
      <c r="A165" s="242"/>
      <c r="B165" s="242" t="s">
        <v>312</v>
      </c>
      <c r="C165" s="451"/>
      <c r="D165" s="227"/>
      <c r="E165" s="227"/>
      <c r="F165" s="227"/>
      <c r="G165" s="227"/>
      <c r="H165" s="227"/>
      <c r="I165" s="227"/>
      <c r="J165" s="227"/>
      <c r="K165" s="242"/>
      <c r="L165" s="242"/>
      <c r="M165" s="242"/>
      <c r="N165" s="242"/>
      <c r="O165" s="242"/>
      <c r="P165" s="242"/>
      <c r="Q165" s="242"/>
      <c r="R165" s="242"/>
      <c r="S165" s="242"/>
      <c r="T165" s="242"/>
    </row>
    <row r="166" spans="1:20">
      <c r="A166" s="241"/>
      <c r="B166" s="242"/>
      <c r="C166" s="448"/>
      <c r="D166" s="270"/>
      <c r="E166" s="270"/>
      <c r="F166" s="270"/>
      <c r="G166" s="270"/>
      <c r="H166" s="270"/>
      <c r="I166" s="270"/>
      <c r="J166" s="270"/>
      <c r="K166" s="242"/>
      <c r="L166" s="242"/>
      <c r="M166" s="242"/>
      <c r="N166" s="242"/>
      <c r="O166" s="242"/>
      <c r="P166" s="242"/>
      <c r="Q166" s="242"/>
      <c r="R166" s="242"/>
      <c r="S166" s="242"/>
      <c r="T166" s="242"/>
    </row>
    <row r="167" spans="1:20">
      <c r="A167" s="241"/>
      <c r="B167" s="242" t="s">
        <v>302</v>
      </c>
      <c r="C167" s="448">
        <f>SUM(D167:J167)</f>
        <v>80159499.189849988</v>
      </c>
      <c r="D167" s="270">
        <f t="shared" ref="D167:J167" si="29">D164+D165</f>
        <v>60467797.349999994</v>
      </c>
      <c r="E167" s="270">
        <f t="shared" si="29"/>
        <v>13838286.780000001</v>
      </c>
      <c r="F167" s="270">
        <f t="shared" si="29"/>
        <v>1241421.2399999998</v>
      </c>
      <c r="G167" s="270">
        <f t="shared" si="29"/>
        <v>195654.37000000002</v>
      </c>
      <c r="H167" s="270">
        <f>H164+H165</f>
        <v>2828694.9798499998</v>
      </c>
      <c r="I167" s="270">
        <f t="shared" si="29"/>
        <v>1177956.6799999997</v>
      </c>
      <c r="J167" s="270">
        <f t="shared" si="29"/>
        <v>409687.79</v>
      </c>
      <c r="K167" s="242"/>
      <c r="L167" s="242"/>
      <c r="M167" s="242"/>
      <c r="N167" s="242"/>
      <c r="O167" s="242"/>
      <c r="P167" s="242"/>
      <c r="Q167" s="242"/>
      <c r="R167" s="242"/>
      <c r="S167" s="242"/>
      <c r="T167" s="242"/>
    </row>
    <row r="168" spans="1:20">
      <c r="A168" s="241"/>
      <c r="B168" s="242" t="s">
        <v>330</v>
      </c>
      <c r="C168" s="451">
        <f>SUM(D168:J168)</f>
        <v>0</v>
      </c>
      <c r="D168" s="227">
        <f>ROUND(D41*D83/100,2)</f>
        <v>0</v>
      </c>
      <c r="E168" s="227">
        <f t="shared" ref="E168:J168" si="30">ROUND(E41*E83/100,2)</f>
        <v>0</v>
      </c>
      <c r="F168" s="227">
        <f t="shared" si="30"/>
        <v>0</v>
      </c>
      <c r="G168" s="227">
        <f t="shared" si="30"/>
        <v>0</v>
      </c>
      <c r="H168" s="227">
        <f t="shared" si="30"/>
        <v>0</v>
      </c>
      <c r="I168" s="227">
        <f t="shared" si="30"/>
        <v>0</v>
      </c>
      <c r="J168" s="227">
        <f t="shared" si="30"/>
        <v>0</v>
      </c>
      <c r="K168" s="242"/>
      <c r="L168" s="242"/>
      <c r="M168" s="242"/>
      <c r="N168" s="242"/>
      <c r="O168" s="242"/>
      <c r="P168" s="242"/>
      <c r="Q168" s="242"/>
      <c r="R168" s="242"/>
      <c r="S168" s="242"/>
      <c r="T168" s="242"/>
    </row>
    <row r="169" spans="1:20">
      <c r="A169" s="241"/>
      <c r="B169" s="242"/>
      <c r="C169" s="448"/>
      <c r="D169" s="270"/>
      <c r="E169" s="270"/>
      <c r="F169" s="270"/>
      <c r="G169" s="270"/>
      <c r="H169" s="270"/>
      <c r="I169" s="270"/>
      <c r="J169" s="270"/>
      <c r="K169" s="242"/>
      <c r="L169" s="242"/>
      <c r="M169" s="242"/>
      <c r="N169" s="242"/>
      <c r="O169" s="242"/>
      <c r="P169" s="242"/>
      <c r="Q169" s="242"/>
      <c r="R169" s="242"/>
      <c r="S169" s="242"/>
      <c r="T169" s="242"/>
    </row>
    <row r="170" spans="1:20">
      <c r="A170" s="241"/>
      <c r="B170" s="242" t="s">
        <v>331</v>
      </c>
      <c r="C170" s="448">
        <f>IF(ROUND(SUM(D170:J170),3)&lt;&gt;ROUND(C167+C168,3),#VALUE!,SUM(D170:J170))</f>
        <v>80159499.189849988</v>
      </c>
      <c r="D170" s="270">
        <f t="shared" ref="D170:J170" si="31">D167+D168</f>
        <v>60467797.349999994</v>
      </c>
      <c r="E170" s="270">
        <f t="shared" si="31"/>
        <v>13838286.780000001</v>
      </c>
      <c r="F170" s="270">
        <f t="shared" si="31"/>
        <v>1241421.2399999998</v>
      </c>
      <c r="G170" s="270">
        <f t="shared" si="31"/>
        <v>195654.37000000002</v>
      </c>
      <c r="H170" s="270">
        <f>H167+H168</f>
        <v>2828694.9798499998</v>
      </c>
      <c r="I170" s="270">
        <f t="shared" si="31"/>
        <v>1177956.6799999997</v>
      </c>
      <c r="J170" s="270">
        <f t="shared" si="31"/>
        <v>409687.79</v>
      </c>
      <c r="K170" s="242"/>
      <c r="L170" s="242"/>
      <c r="M170" s="242"/>
      <c r="N170" s="242"/>
      <c r="O170" s="242"/>
      <c r="P170" s="242"/>
      <c r="Q170" s="242"/>
      <c r="R170" s="242"/>
      <c r="S170" s="242"/>
      <c r="T170" s="242"/>
    </row>
    <row r="171" spans="1:20">
      <c r="A171" s="241"/>
      <c r="B171" s="242"/>
      <c r="C171" s="448"/>
      <c r="D171" s="270"/>
      <c r="E171" s="270"/>
      <c r="F171" s="270"/>
      <c r="G171" s="270"/>
      <c r="H171" s="270"/>
      <c r="I171" s="270"/>
      <c r="J171" s="270"/>
      <c r="K171" s="242"/>
      <c r="L171" s="242"/>
      <c r="M171" s="242"/>
      <c r="N171" s="242"/>
      <c r="O171" s="242"/>
      <c r="P171" s="242"/>
      <c r="Q171" s="242"/>
      <c r="R171" s="242"/>
      <c r="S171" s="242"/>
      <c r="T171" s="242"/>
    </row>
    <row r="172" spans="1:20">
      <c r="A172" s="241"/>
      <c r="B172" s="248" t="s">
        <v>332</v>
      </c>
      <c r="C172" s="270"/>
      <c r="D172" s="270"/>
      <c r="E172" s="270"/>
      <c r="F172" s="270"/>
      <c r="G172" s="270"/>
      <c r="H172" s="270"/>
      <c r="I172" s="270"/>
      <c r="J172" s="270"/>
      <c r="K172" s="242"/>
      <c r="L172" s="242"/>
      <c r="M172" s="242"/>
      <c r="N172" s="242"/>
      <c r="O172" s="242"/>
      <c r="P172" s="242"/>
      <c r="Q172" s="242"/>
      <c r="R172" s="242"/>
      <c r="S172" s="242"/>
      <c r="T172" s="242"/>
    </row>
    <row r="173" spans="1:20">
      <c r="A173" s="241"/>
      <c r="B173" s="228" t="s">
        <v>333</v>
      </c>
      <c r="C173" s="274"/>
      <c r="D173" s="274"/>
      <c r="E173" s="274"/>
      <c r="F173" s="274"/>
      <c r="G173" s="270"/>
      <c r="H173" s="270"/>
      <c r="I173" s="270"/>
      <c r="J173" s="270"/>
      <c r="K173" s="242"/>
      <c r="L173" s="242"/>
      <c r="M173" s="242"/>
      <c r="N173" s="242"/>
      <c r="O173" s="242"/>
      <c r="P173" s="242"/>
      <c r="Q173" s="242"/>
      <c r="R173" s="242"/>
      <c r="S173" s="242"/>
      <c r="T173" s="242"/>
    </row>
    <row r="174" spans="1:20">
      <c r="A174" s="253"/>
      <c r="B174" s="277" t="s">
        <v>349</v>
      </c>
      <c r="C174" s="274">
        <f>SUM(D174:J174)</f>
        <v>-52762</v>
      </c>
      <c r="D174" s="274">
        <f>D126</f>
        <v>46566</v>
      </c>
      <c r="E174" s="274">
        <f>E126</f>
        <v>-61385</v>
      </c>
      <c r="F174" s="274">
        <f>F126</f>
        <v>-37943</v>
      </c>
      <c r="G174" s="253"/>
      <c r="H174" s="253"/>
      <c r="I174" s="242"/>
      <c r="J174" s="253"/>
      <c r="K174" s="253"/>
      <c r="L174" s="253"/>
      <c r="M174" s="253"/>
      <c r="N174" s="253"/>
      <c r="O174" s="253"/>
      <c r="P174" s="253"/>
      <c r="Q174" s="253"/>
      <c r="R174" s="253"/>
      <c r="S174" s="253"/>
      <c r="T174" s="253"/>
    </row>
    <row r="175" spans="1:20">
      <c r="A175" s="241" t="s">
        <v>397</v>
      </c>
      <c r="B175" s="279" t="s">
        <v>350</v>
      </c>
      <c r="C175" s="267"/>
      <c r="D175" s="230">
        <f>D83</f>
        <v>42.686440889596241</v>
      </c>
      <c r="E175" s="230">
        <f>E83</f>
        <v>25.222723883794391</v>
      </c>
      <c r="F175" s="230">
        <f>F83</f>
        <v>23.573833270651612</v>
      </c>
      <c r="G175" s="230"/>
      <c r="H175" s="230"/>
      <c r="I175" s="219"/>
      <c r="J175" s="231"/>
      <c r="K175" s="267"/>
      <c r="L175" s="267"/>
      <c r="M175" s="267"/>
      <c r="N175" s="267"/>
      <c r="O175" s="267"/>
      <c r="P175" s="267"/>
      <c r="Q175" s="267"/>
      <c r="R175" s="267"/>
      <c r="S175" s="267"/>
      <c r="T175" s="267"/>
    </row>
    <row r="176" spans="1:20">
      <c r="A176" s="241"/>
      <c r="B176" s="280" t="s">
        <v>351</v>
      </c>
      <c r="C176" s="270">
        <f>SUM(D176:J176)</f>
        <v>-4550.2200000000012</v>
      </c>
      <c r="D176" s="270">
        <f>ROUND(D174*D175/100,2)</f>
        <v>19877.37</v>
      </c>
      <c r="E176" s="270">
        <f>ROUND(E174*E175/100,2)</f>
        <v>-15482.97</v>
      </c>
      <c r="F176" s="270">
        <f>ROUND(F174*F175/100,2)</f>
        <v>-8944.6200000000008</v>
      </c>
      <c r="G176" s="270"/>
      <c r="H176" s="270"/>
      <c r="I176" s="242"/>
      <c r="J176" s="270"/>
      <c r="K176" s="270"/>
      <c r="L176" s="270"/>
      <c r="M176" s="270"/>
      <c r="N176" s="270"/>
      <c r="O176" s="270"/>
      <c r="P176" s="270"/>
      <c r="Q176" s="270"/>
      <c r="R176" s="270"/>
      <c r="S176" s="270"/>
      <c r="T176" s="270"/>
    </row>
    <row r="177" spans="1:20">
      <c r="A177" s="241"/>
      <c r="B177" s="280"/>
      <c r="C177" s="270"/>
      <c r="D177" s="270"/>
      <c r="E177" s="270"/>
      <c r="F177" s="270"/>
      <c r="G177" s="270"/>
      <c r="H177" s="270"/>
      <c r="I177" s="242"/>
      <c r="J177" s="270"/>
      <c r="K177" s="270"/>
      <c r="L177" s="270"/>
      <c r="M177" s="270"/>
      <c r="N177" s="270"/>
      <c r="O177" s="270"/>
      <c r="P177" s="270"/>
      <c r="Q177" s="270"/>
      <c r="R177" s="270"/>
      <c r="S177" s="270"/>
      <c r="T177" s="270"/>
    </row>
    <row r="178" spans="1:20">
      <c r="A178" s="241"/>
      <c r="B178" s="277" t="s">
        <v>339</v>
      </c>
      <c r="C178" s="274">
        <f>SUM(D178:J178)</f>
        <v>0</v>
      </c>
      <c r="D178" s="274">
        <f>D130</f>
        <v>0</v>
      </c>
      <c r="E178" s="274">
        <f>E130</f>
        <v>0</v>
      </c>
      <c r="F178" s="274">
        <f>F130</f>
        <v>0</v>
      </c>
      <c r="G178" s="253"/>
      <c r="H178" s="253"/>
      <c r="I178" s="242"/>
      <c r="J178" s="253"/>
      <c r="K178" s="253"/>
      <c r="L178" s="253"/>
      <c r="M178" s="253"/>
      <c r="N178" s="253"/>
      <c r="O178" s="253"/>
      <c r="P178" s="253"/>
      <c r="Q178" s="253"/>
      <c r="R178" s="253"/>
      <c r="S178" s="253"/>
      <c r="T178" s="253"/>
    </row>
    <row r="179" spans="1:20">
      <c r="A179" s="241" t="s">
        <v>336</v>
      </c>
      <c r="B179" s="279" t="s">
        <v>340</v>
      </c>
      <c r="C179" s="267"/>
      <c r="D179" s="230">
        <f>D77</f>
        <v>38.685000000000002</v>
      </c>
      <c r="E179" s="230">
        <f>I240</f>
        <v>26.920020273377542</v>
      </c>
      <c r="F179" s="230">
        <f>F83</f>
        <v>23.573833270651612</v>
      </c>
      <c r="G179" s="230"/>
      <c r="H179" s="230"/>
      <c r="I179" s="219"/>
      <c r="J179" s="230"/>
      <c r="K179" s="267"/>
      <c r="L179" s="267"/>
      <c r="M179" s="267"/>
      <c r="N179" s="267"/>
      <c r="O179" s="267"/>
      <c r="P179" s="267"/>
      <c r="Q179" s="267"/>
      <c r="R179" s="267"/>
      <c r="S179" s="267"/>
      <c r="T179" s="267"/>
    </row>
    <row r="180" spans="1:20">
      <c r="A180" s="241"/>
      <c r="B180" s="280" t="s">
        <v>341</v>
      </c>
      <c r="C180" s="270">
        <f>SUM(D180:J180)</f>
        <v>0</v>
      </c>
      <c r="D180" s="270">
        <f>ROUND(D178*D179/100,2)</f>
        <v>0</v>
      </c>
      <c r="E180" s="270">
        <f>ROUND(E178*E179/100,2)</f>
        <v>0</v>
      </c>
      <c r="F180" s="270">
        <f>ROUND(F178*F179/100,2)</f>
        <v>0</v>
      </c>
      <c r="G180" s="270"/>
      <c r="H180" s="270"/>
      <c r="I180" s="242"/>
      <c r="J180" s="270"/>
      <c r="K180" s="270"/>
      <c r="L180" s="270"/>
      <c r="M180" s="270"/>
      <c r="N180" s="270"/>
      <c r="O180" s="270"/>
      <c r="P180" s="270"/>
      <c r="Q180" s="270"/>
      <c r="R180" s="270"/>
      <c r="S180" s="270"/>
      <c r="T180" s="270"/>
    </row>
    <row r="181" spans="1:20">
      <c r="A181" s="241"/>
      <c r="B181" s="280"/>
      <c r="C181" s="270"/>
      <c r="D181" s="270"/>
      <c r="E181" s="270"/>
      <c r="F181" s="270"/>
      <c r="G181" s="270"/>
      <c r="H181" s="270"/>
      <c r="I181" s="242"/>
      <c r="J181" s="270"/>
      <c r="K181" s="270"/>
      <c r="L181" s="270"/>
      <c r="M181" s="270"/>
      <c r="N181" s="270"/>
      <c r="O181" s="270"/>
      <c r="P181" s="270"/>
      <c r="Q181" s="270"/>
      <c r="R181" s="270"/>
      <c r="S181" s="270"/>
      <c r="T181" s="270"/>
    </row>
    <row r="182" spans="1:20">
      <c r="A182" s="241"/>
      <c r="B182" s="277" t="s">
        <v>342</v>
      </c>
      <c r="C182" s="274">
        <f>C174+C178</f>
        <v>-52762</v>
      </c>
      <c r="D182" s="274">
        <f>D174+D178</f>
        <v>46566</v>
      </c>
      <c r="E182" s="274">
        <f>E174+E178</f>
        <v>-61385</v>
      </c>
      <c r="F182" s="274">
        <f>F174+F178</f>
        <v>-37943</v>
      </c>
      <c r="G182" s="253"/>
      <c r="H182" s="253"/>
      <c r="I182" s="242"/>
      <c r="J182" s="253"/>
      <c r="K182" s="253"/>
      <c r="L182" s="253"/>
      <c r="M182" s="253"/>
      <c r="N182" s="253"/>
      <c r="O182" s="253"/>
      <c r="P182" s="253"/>
      <c r="Q182" s="253"/>
      <c r="R182" s="253"/>
      <c r="S182" s="253"/>
      <c r="T182" s="253"/>
    </row>
    <row r="183" spans="1:20">
      <c r="A183" s="241"/>
      <c r="B183" s="280" t="s">
        <v>343</v>
      </c>
      <c r="C183" s="270">
        <f>C176+C180</f>
        <v>-4550.2200000000012</v>
      </c>
      <c r="D183" s="270">
        <f>D176+D180</f>
        <v>19877.37</v>
      </c>
      <c r="E183" s="270">
        <f>E176+E180</f>
        <v>-15482.97</v>
      </c>
      <c r="F183" s="270">
        <f>F176+F180</f>
        <v>-8944.6200000000008</v>
      </c>
      <c r="G183" s="270"/>
      <c r="H183" s="270"/>
      <c r="I183" s="242"/>
      <c r="J183" s="270"/>
      <c r="K183" s="270"/>
      <c r="L183" s="270"/>
      <c r="M183" s="270"/>
      <c r="N183" s="270"/>
      <c r="O183" s="270"/>
      <c r="P183" s="270"/>
      <c r="Q183" s="270"/>
      <c r="R183" s="270"/>
      <c r="S183" s="270"/>
      <c r="T183" s="270"/>
    </row>
    <row r="184" spans="1:20">
      <c r="A184" s="241"/>
      <c r="B184" s="228" t="s">
        <v>344</v>
      </c>
      <c r="C184" s="270"/>
      <c r="D184" s="270"/>
      <c r="E184" s="270"/>
      <c r="F184" s="270"/>
      <c r="G184" s="270"/>
      <c r="H184" s="270"/>
      <c r="I184" s="242"/>
      <c r="J184" s="270"/>
      <c r="K184" s="242"/>
      <c r="L184" s="242"/>
      <c r="M184" s="242"/>
      <c r="N184" s="242"/>
      <c r="O184" s="242"/>
      <c r="P184" s="242"/>
      <c r="Q184" s="242"/>
      <c r="R184" s="242"/>
      <c r="S184" s="242"/>
      <c r="T184" s="242"/>
    </row>
    <row r="185" spans="1:20">
      <c r="A185" s="241"/>
      <c r="B185" s="277" t="s">
        <v>339</v>
      </c>
      <c r="C185" s="274">
        <f>SUM(D185:J185)</f>
        <v>21269632</v>
      </c>
      <c r="D185" s="274">
        <f>D137</f>
        <v>15771884</v>
      </c>
      <c r="E185" s="274">
        <f>E137</f>
        <v>5203658</v>
      </c>
      <c r="F185" s="274">
        <f>F137</f>
        <v>294090</v>
      </c>
      <c r="G185" s="253"/>
      <c r="H185" s="253"/>
      <c r="I185" s="242"/>
      <c r="J185" s="253"/>
      <c r="K185" s="253"/>
      <c r="L185" s="253"/>
      <c r="M185" s="253"/>
      <c r="N185" s="253"/>
      <c r="O185" s="253"/>
      <c r="P185" s="253"/>
      <c r="Q185" s="253"/>
      <c r="R185" s="253"/>
      <c r="S185" s="253"/>
      <c r="T185" s="253"/>
    </row>
    <row r="186" spans="1:20">
      <c r="A186" s="241" t="s">
        <v>397</v>
      </c>
      <c r="B186" s="279" t="s">
        <v>340</v>
      </c>
      <c r="C186" s="224"/>
      <c r="D186" s="230">
        <f>I217</f>
        <v>43.532779364516053</v>
      </c>
      <c r="E186" s="230">
        <f>I240</f>
        <v>26.920020273377542</v>
      </c>
      <c r="F186" s="230">
        <f>I270</f>
        <v>17.641797164289827</v>
      </c>
      <c r="G186" s="230"/>
      <c r="H186" s="230"/>
      <c r="I186" s="219"/>
      <c r="J186" s="230"/>
      <c r="K186" s="267"/>
      <c r="L186" s="267"/>
      <c r="M186" s="267"/>
      <c r="N186" s="267"/>
      <c r="O186" s="267"/>
      <c r="P186" s="267"/>
      <c r="Q186" s="267"/>
      <c r="R186" s="267"/>
      <c r="S186" s="267"/>
      <c r="T186" s="267"/>
    </row>
    <row r="187" spans="1:20">
      <c r="A187" s="241"/>
      <c r="B187" s="280" t="s">
        <v>341</v>
      </c>
      <c r="C187" s="270">
        <f>SUM(D187:J187)</f>
        <v>8318648.0099999998</v>
      </c>
      <c r="D187" s="270">
        <f>ROUND(D185*D186/100,2)</f>
        <v>6865939.46</v>
      </c>
      <c r="E187" s="270">
        <f>ROUND(E185*E186/100,2)</f>
        <v>1400825.79</v>
      </c>
      <c r="F187" s="270">
        <f>ROUND(F185*F186/100,2)</f>
        <v>51882.76</v>
      </c>
      <c r="G187" s="270"/>
      <c r="H187" s="270"/>
      <c r="I187" s="270"/>
      <c r="J187" s="270"/>
      <c r="K187" s="270"/>
      <c r="L187" s="270"/>
      <c r="M187" s="270"/>
      <c r="N187" s="270"/>
      <c r="O187" s="270"/>
      <c r="P187" s="270"/>
      <c r="Q187" s="270"/>
      <c r="R187" s="270"/>
      <c r="S187" s="270"/>
      <c r="T187" s="270"/>
    </row>
    <row r="188" spans="1:20">
      <c r="A188" s="241"/>
      <c r="B188" s="280" t="s">
        <v>345</v>
      </c>
      <c r="C188" s="229"/>
      <c r="D188" s="229"/>
      <c r="E188" s="229"/>
      <c r="F188" s="229"/>
      <c r="G188" s="229"/>
      <c r="H188" s="229"/>
      <c r="I188" s="229"/>
      <c r="J188" s="229"/>
      <c r="K188" s="270"/>
      <c r="L188" s="270"/>
      <c r="M188" s="270"/>
      <c r="N188" s="270"/>
      <c r="O188" s="270"/>
      <c r="P188" s="270"/>
      <c r="Q188" s="270"/>
      <c r="R188" s="270"/>
      <c r="S188" s="270"/>
      <c r="T188" s="270"/>
    </row>
    <row r="189" spans="1:20">
      <c r="A189" s="241"/>
      <c r="B189" s="242"/>
      <c r="C189" s="270"/>
      <c r="D189" s="270"/>
      <c r="E189" s="270"/>
      <c r="F189" s="270"/>
      <c r="G189" s="270"/>
      <c r="H189" s="270"/>
      <c r="I189" s="270"/>
      <c r="J189" s="270"/>
      <c r="K189" s="242"/>
      <c r="L189" s="242"/>
      <c r="M189" s="242"/>
      <c r="N189" s="242"/>
      <c r="O189" s="242"/>
      <c r="P189" s="242"/>
      <c r="Q189" s="242"/>
      <c r="R189" s="242"/>
      <c r="S189" s="242"/>
      <c r="T189" s="242"/>
    </row>
    <row r="190" spans="1:20">
      <c r="A190" s="241"/>
      <c r="B190" s="242" t="s">
        <v>346</v>
      </c>
      <c r="C190" s="270">
        <f>SUM(D190:J190)</f>
        <v>8314097.79</v>
      </c>
      <c r="D190" s="270">
        <f t="shared" ref="D190:J190" si="32">D187+D183</f>
        <v>6885816.8300000001</v>
      </c>
      <c r="E190" s="270">
        <f t="shared" si="32"/>
        <v>1385342.82</v>
      </c>
      <c r="F190" s="270">
        <f t="shared" si="32"/>
        <v>42938.14</v>
      </c>
      <c r="G190" s="270">
        <f t="shared" si="32"/>
        <v>0</v>
      </c>
      <c r="H190" s="270">
        <f>H187+H183</f>
        <v>0</v>
      </c>
      <c r="I190" s="270">
        <f t="shared" si="32"/>
        <v>0</v>
      </c>
      <c r="J190" s="270">
        <f t="shared" si="32"/>
        <v>0</v>
      </c>
      <c r="K190" s="242"/>
      <c r="L190" s="242"/>
      <c r="M190" s="242"/>
      <c r="N190" s="242"/>
      <c r="O190" s="242"/>
      <c r="P190" s="242"/>
      <c r="Q190" s="242"/>
      <c r="R190" s="242"/>
      <c r="S190" s="242"/>
      <c r="T190" s="242"/>
    </row>
    <row r="191" spans="1:20">
      <c r="A191" s="241"/>
      <c r="B191" s="242" t="str">
        <f>B170</f>
        <v>TOTAL BASE TARIFF REVENUE</v>
      </c>
      <c r="C191" s="227">
        <f>SUM(D191:J191)</f>
        <v>80159499.189849988</v>
      </c>
      <c r="D191" s="227">
        <f t="shared" ref="D191:J191" si="33">D170</f>
        <v>60467797.349999994</v>
      </c>
      <c r="E191" s="227">
        <f t="shared" si="33"/>
        <v>13838286.780000001</v>
      </c>
      <c r="F191" s="227">
        <f t="shared" si="33"/>
        <v>1241421.2399999998</v>
      </c>
      <c r="G191" s="227">
        <f t="shared" si="33"/>
        <v>195654.37000000002</v>
      </c>
      <c r="H191" s="227">
        <f>H170</f>
        <v>2828694.9798499998</v>
      </c>
      <c r="I191" s="227">
        <f t="shared" si="33"/>
        <v>1177956.6799999997</v>
      </c>
      <c r="J191" s="227">
        <f t="shared" si="33"/>
        <v>409687.79</v>
      </c>
      <c r="K191" s="242"/>
      <c r="L191" s="242"/>
      <c r="M191" s="242"/>
      <c r="N191" s="242"/>
      <c r="O191" s="242"/>
      <c r="P191" s="242"/>
      <c r="Q191" s="242"/>
      <c r="R191" s="242"/>
      <c r="S191" s="242"/>
      <c r="T191" s="242"/>
    </row>
    <row r="192" spans="1:20">
      <c r="A192" s="241"/>
      <c r="B192" s="242" t="s">
        <v>352</v>
      </c>
      <c r="C192" s="270">
        <f>SUM(D192:J192)</f>
        <v>88473596.979850009</v>
      </c>
      <c r="D192" s="270">
        <f t="shared" ref="D192:J192" si="34">D190+D191</f>
        <v>67353614.179999992</v>
      </c>
      <c r="E192" s="270">
        <f t="shared" si="34"/>
        <v>15223629.600000001</v>
      </c>
      <c r="F192" s="270">
        <f t="shared" si="34"/>
        <v>1284359.3799999997</v>
      </c>
      <c r="G192" s="270">
        <f t="shared" si="34"/>
        <v>195654.37000000002</v>
      </c>
      <c r="H192" s="270">
        <f>H190+H191</f>
        <v>2828694.9798499998</v>
      </c>
      <c r="I192" s="270">
        <f t="shared" si="34"/>
        <v>1177956.6799999997</v>
      </c>
      <c r="J192" s="270">
        <f t="shared" si="34"/>
        <v>409687.79</v>
      </c>
      <c r="K192" s="242"/>
      <c r="L192" s="242"/>
      <c r="M192" s="242"/>
      <c r="N192" s="242"/>
      <c r="O192" s="242"/>
      <c r="P192" s="242"/>
      <c r="Q192" s="242"/>
      <c r="R192" s="242"/>
      <c r="S192" s="242"/>
      <c r="T192" s="242"/>
    </row>
    <row r="193" spans="1:20">
      <c r="A193" s="241"/>
      <c r="B193" s="242" t="s">
        <v>347</v>
      </c>
      <c r="C193" s="229">
        <f>SUM(D193:J193)</f>
        <v>88473596.979850009</v>
      </c>
      <c r="D193" s="229">
        <f t="shared" ref="D193:J193" si="35">D145</f>
        <v>67353614.179999992</v>
      </c>
      <c r="E193" s="229">
        <f t="shared" si="35"/>
        <v>15223629.600000001</v>
      </c>
      <c r="F193" s="229">
        <f t="shared" si="35"/>
        <v>1284359.3799999997</v>
      </c>
      <c r="G193" s="229">
        <f t="shared" si="35"/>
        <v>195654.37000000002</v>
      </c>
      <c r="H193" s="229">
        <f>H145</f>
        <v>2828694.9798499998</v>
      </c>
      <c r="I193" s="229">
        <f t="shared" si="35"/>
        <v>1177956.6799999997</v>
      </c>
      <c r="J193" s="229">
        <f t="shared" si="35"/>
        <v>409687.79</v>
      </c>
      <c r="K193" s="242"/>
      <c r="L193" s="242"/>
      <c r="M193" s="242"/>
      <c r="N193" s="242"/>
      <c r="O193" s="242"/>
      <c r="P193" s="242"/>
      <c r="Q193" s="242"/>
      <c r="R193" s="242"/>
      <c r="S193" s="242"/>
      <c r="T193" s="242"/>
    </row>
    <row r="194" spans="1:20">
      <c r="A194" s="241"/>
      <c r="B194" s="242"/>
      <c r="C194" s="242"/>
      <c r="D194" s="242"/>
      <c r="E194" s="242"/>
      <c r="F194" s="242"/>
      <c r="G194" s="242"/>
      <c r="H194" s="242"/>
      <c r="I194" s="242"/>
      <c r="J194" s="242"/>
      <c r="K194" s="242"/>
      <c r="L194" s="242"/>
      <c r="M194" s="242"/>
      <c r="N194" s="242"/>
      <c r="O194" s="242"/>
      <c r="P194" s="242"/>
      <c r="Q194" s="242"/>
      <c r="R194" s="242"/>
      <c r="S194" s="242"/>
      <c r="T194" s="242"/>
    </row>
    <row r="195" spans="1:20">
      <c r="A195" s="285"/>
      <c r="B195" s="268" t="s">
        <v>353</v>
      </c>
      <c r="C195" s="286">
        <f>SUM(D195:J195)</f>
        <v>0</v>
      </c>
      <c r="D195" s="286">
        <f>D192-D193</f>
        <v>0</v>
      </c>
      <c r="E195" s="286">
        <f t="shared" ref="E195:J195" si="36">E192-E193</f>
        <v>0</v>
      </c>
      <c r="F195" s="286">
        <f t="shared" si="36"/>
        <v>0</v>
      </c>
      <c r="G195" s="286">
        <f t="shared" si="36"/>
        <v>0</v>
      </c>
      <c r="H195" s="286">
        <f>H192-H193</f>
        <v>0</v>
      </c>
      <c r="I195" s="286">
        <f t="shared" si="36"/>
        <v>0</v>
      </c>
      <c r="J195" s="286">
        <f t="shared" si="36"/>
        <v>0</v>
      </c>
      <c r="K195" s="268"/>
      <c r="L195" s="268"/>
      <c r="M195" s="268"/>
      <c r="N195" s="268"/>
      <c r="O195" s="268"/>
      <c r="P195" s="268"/>
      <c r="Q195" s="268"/>
      <c r="R195" s="268"/>
      <c r="S195" s="268"/>
      <c r="T195" s="268"/>
    </row>
    <row r="196" spans="1:20">
      <c r="A196" s="285"/>
      <c r="B196" s="268" t="s">
        <v>354</v>
      </c>
      <c r="C196" s="287">
        <f>C195/C193</f>
        <v>0</v>
      </c>
      <c r="D196" s="287">
        <f t="shared" ref="D196:J196" si="37">D195/D193</f>
        <v>0</v>
      </c>
      <c r="E196" s="287">
        <f t="shared" si="37"/>
        <v>0</v>
      </c>
      <c r="F196" s="287">
        <f>F195/F193</f>
        <v>0</v>
      </c>
      <c r="G196" s="287">
        <f t="shared" si="37"/>
        <v>0</v>
      </c>
      <c r="H196" s="287">
        <f t="shared" si="37"/>
        <v>0</v>
      </c>
      <c r="I196" s="287">
        <f t="shared" si="37"/>
        <v>0</v>
      </c>
      <c r="J196" s="287">
        <f t="shared" si="37"/>
        <v>0</v>
      </c>
      <c r="K196" s="268"/>
      <c r="L196" s="268"/>
      <c r="M196" s="268"/>
      <c r="N196" s="268"/>
      <c r="O196" s="268"/>
      <c r="P196" s="268"/>
      <c r="Q196" s="268"/>
      <c r="R196" s="268"/>
      <c r="S196" s="268"/>
      <c r="T196" s="268"/>
    </row>
    <row r="197" spans="1:20">
      <c r="A197" s="241"/>
      <c r="B197" s="243"/>
      <c r="C197" s="288"/>
      <c r="D197" s="288"/>
      <c r="E197" s="289"/>
      <c r="F197" s="289"/>
      <c r="G197" s="289"/>
      <c r="H197" s="289"/>
      <c r="I197" s="289"/>
      <c r="J197" s="289"/>
      <c r="K197" s="243"/>
      <c r="L197" s="243"/>
      <c r="M197" s="243"/>
      <c r="N197" s="243"/>
      <c r="O197" s="243"/>
      <c r="P197" s="243"/>
      <c r="Q197" s="243"/>
      <c r="R197" s="243"/>
      <c r="S197" s="243"/>
      <c r="T197" s="243"/>
    </row>
    <row r="198" spans="1:20">
      <c r="A198" s="241"/>
      <c r="B198" s="243"/>
      <c r="C198" s="288"/>
      <c r="D198" s="288"/>
      <c r="E198" s="288"/>
      <c r="F198" s="288"/>
      <c r="G198" s="288"/>
      <c r="H198" s="288"/>
      <c r="I198" s="288"/>
      <c r="J198" s="288"/>
      <c r="K198" s="243"/>
      <c r="L198" s="243"/>
      <c r="M198" s="243"/>
      <c r="N198" s="243"/>
      <c r="O198" s="243"/>
      <c r="P198" s="243"/>
      <c r="Q198" s="243"/>
      <c r="R198" s="243"/>
      <c r="S198" s="243"/>
      <c r="T198" s="243"/>
    </row>
    <row r="199" spans="1:20">
      <c r="A199" s="241"/>
      <c r="B199" s="243"/>
      <c r="C199" s="288"/>
      <c r="D199" s="288"/>
      <c r="E199" s="288"/>
      <c r="F199" s="288"/>
      <c r="G199" s="288"/>
      <c r="H199" s="288"/>
      <c r="I199" s="288"/>
      <c r="J199" s="288"/>
      <c r="K199" s="243"/>
      <c r="L199" s="243"/>
      <c r="M199" s="243"/>
      <c r="N199" s="243"/>
      <c r="O199" s="243"/>
      <c r="P199" s="243"/>
      <c r="Q199" s="243"/>
      <c r="R199" s="243"/>
      <c r="S199" s="243"/>
      <c r="T199" s="243"/>
    </row>
    <row r="200" spans="1:20">
      <c r="A200" s="244" t="s">
        <v>280</v>
      </c>
      <c r="B200" s="243"/>
      <c r="C200" s="243" t="s">
        <v>281</v>
      </c>
      <c r="D200" s="243" t="s">
        <v>287</v>
      </c>
      <c r="E200" s="243" t="s">
        <v>287</v>
      </c>
      <c r="F200" s="243" t="s">
        <v>355</v>
      </c>
      <c r="G200" s="243" t="s">
        <v>355</v>
      </c>
      <c r="H200" s="243" t="s">
        <v>356</v>
      </c>
      <c r="I200" s="243" t="s">
        <v>356</v>
      </c>
      <c r="J200" s="243"/>
      <c r="K200" s="243"/>
      <c r="L200" s="243"/>
      <c r="M200" s="243"/>
      <c r="N200" s="243"/>
      <c r="O200" s="243"/>
      <c r="P200" s="243"/>
      <c r="Q200" s="243"/>
      <c r="R200" s="243"/>
      <c r="S200" s="243"/>
      <c r="T200" s="243"/>
    </row>
    <row r="201" spans="1:20">
      <c r="A201" s="244" t="s">
        <v>286</v>
      </c>
      <c r="B201" s="243"/>
      <c r="C201" s="217" t="s">
        <v>357</v>
      </c>
      <c r="D201" s="217" t="s">
        <v>296</v>
      </c>
      <c r="E201" s="217" t="s">
        <v>358</v>
      </c>
      <c r="F201" s="217" t="s">
        <v>359</v>
      </c>
      <c r="G201" s="217" t="s">
        <v>358</v>
      </c>
      <c r="H201" s="217" t="s">
        <v>296</v>
      </c>
      <c r="I201" s="217" t="s">
        <v>358</v>
      </c>
      <c r="J201" s="243"/>
      <c r="K201" s="243"/>
      <c r="L201" s="243"/>
      <c r="M201" s="243"/>
      <c r="N201" s="243"/>
      <c r="O201" s="243"/>
      <c r="P201" s="243"/>
      <c r="Q201" s="243"/>
      <c r="R201" s="243"/>
      <c r="S201" s="243"/>
      <c r="T201" s="243"/>
    </row>
    <row r="202" spans="1:20">
      <c r="A202" s="241"/>
      <c r="B202" s="290" t="s">
        <v>360</v>
      </c>
      <c r="C202" s="242"/>
      <c r="D202" s="242"/>
      <c r="E202" s="242"/>
      <c r="F202" s="242"/>
      <c r="G202" s="242"/>
      <c r="H202" s="242"/>
      <c r="I202" s="242"/>
      <c r="J202" s="242"/>
      <c r="K202" s="242"/>
      <c r="L202" s="242"/>
      <c r="M202" s="242"/>
      <c r="N202" s="242"/>
      <c r="O202" s="242"/>
      <c r="P202" s="242"/>
      <c r="Q202" s="242"/>
      <c r="R202" s="242"/>
      <c r="S202" s="242"/>
      <c r="T202" s="242"/>
    </row>
    <row r="203" spans="1:20">
      <c r="A203" s="241"/>
      <c r="B203" s="242" t="s">
        <v>288</v>
      </c>
      <c r="C203" s="242"/>
      <c r="D203" s="242"/>
      <c r="E203" s="242"/>
      <c r="F203" s="242"/>
      <c r="G203" s="242"/>
      <c r="H203" s="242"/>
      <c r="I203" s="242"/>
      <c r="J203" s="242"/>
      <c r="K203" s="242"/>
      <c r="L203" s="242"/>
      <c r="M203" s="242"/>
      <c r="N203" s="242"/>
      <c r="O203" s="242"/>
      <c r="P203" s="242"/>
      <c r="Q203" s="242"/>
      <c r="R203" s="242"/>
      <c r="S203" s="242"/>
      <c r="T203" s="242"/>
    </row>
    <row r="204" spans="1:20">
      <c r="A204" s="241"/>
      <c r="B204" s="271" t="s">
        <v>361</v>
      </c>
      <c r="C204" s="267">
        <f>D59</f>
        <v>38.685000000000002</v>
      </c>
      <c r="D204" s="253">
        <f>D8</f>
        <v>67806991.939127892</v>
      </c>
      <c r="E204" s="270">
        <f>C204*D204/100</f>
        <v>26231134.831651624</v>
      </c>
      <c r="F204" s="291">
        <f>MIN(D204,F207)</f>
        <v>18076770</v>
      </c>
      <c r="G204" s="270">
        <f>F204*C204/100</f>
        <v>6992998.4745000005</v>
      </c>
      <c r="H204" s="253">
        <f>D204-F204</f>
        <v>49730221.939127892</v>
      </c>
      <c r="I204" s="270">
        <f>H204*C204/100</f>
        <v>19238136.357151624</v>
      </c>
      <c r="J204" s="242"/>
      <c r="K204" s="458">
        <f>H204/H207</f>
        <v>0.58187171256545966</v>
      </c>
      <c r="L204" s="242"/>
      <c r="M204" s="242"/>
      <c r="N204" s="242"/>
      <c r="O204" s="242"/>
      <c r="P204" s="242"/>
      <c r="Q204" s="242"/>
      <c r="R204" s="242"/>
      <c r="S204" s="242"/>
      <c r="T204" s="242"/>
    </row>
    <row r="205" spans="1:20">
      <c r="A205" s="241"/>
      <c r="B205" s="271" t="s">
        <v>362</v>
      </c>
      <c r="C205" s="267">
        <f>D60</f>
        <v>50.279000000000003</v>
      </c>
      <c r="D205" s="253">
        <f>D9</f>
        <v>35735733.640442103</v>
      </c>
      <c r="E205" s="224">
        <f>C205*D205/100</f>
        <v>17967569.517077886</v>
      </c>
      <c r="F205" s="232">
        <f>MIN(F207-F204,D205)</f>
        <v>0</v>
      </c>
      <c r="G205" s="224">
        <f>F205*C205/100</f>
        <v>0</v>
      </c>
      <c r="H205" s="253">
        <f>D205-F205</f>
        <v>35735733.640442103</v>
      </c>
      <c r="I205" s="270">
        <f>H205*C205/100</f>
        <v>17967569.517077886</v>
      </c>
      <c r="J205" s="242"/>
      <c r="K205" s="458">
        <f>H205/H207</f>
        <v>0.41812828743454039</v>
      </c>
      <c r="L205" s="242"/>
      <c r="M205" s="242"/>
      <c r="N205" s="242"/>
      <c r="O205" s="242"/>
      <c r="P205" s="242"/>
      <c r="Q205" s="242"/>
      <c r="R205" s="242"/>
      <c r="S205" s="242"/>
      <c r="T205" s="242"/>
    </row>
    <row r="206" spans="1:20">
      <c r="A206" s="241"/>
      <c r="B206" s="242"/>
      <c r="C206" s="242"/>
      <c r="D206" s="225"/>
      <c r="E206" s="225"/>
      <c r="F206" s="225"/>
      <c r="G206" s="225"/>
      <c r="H206" s="225"/>
      <c r="I206" s="226"/>
      <c r="J206" s="242"/>
      <c r="K206" s="242"/>
      <c r="L206" s="242"/>
      <c r="M206" s="242"/>
      <c r="N206" s="242"/>
      <c r="O206" s="242"/>
      <c r="P206" s="242"/>
      <c r="Q206" s="242"/>
      <c r="R206" s="242"/>
      <c r="S206" s="242"/>
      <c r="T206" s="242"/>
    </row>
    <row r="207" spans="1:20">
      <c r="A207" s="241"/>
      <c r="B207" s="242" t="s">
        <v>287</v>
      </c>
      <c r="C207" s="242"/>
      <c r="D207" s="253">
        <f>D204+D205</f>
        <v>103542725.57957</v>
      </c>
      <c r="E207" s="270">
        <f>E204+E205</f>
        <v>44198704.348729506</v>
      </c>
      <c r="F207" s="292">
        <f>10*D25</f>
        <v>18076770</v>
      </c>
      <c r="G207" s="270">
        <f>G204+G205</f>
        <v>6992998.4745000005</v>
      </c>
      <c r="H207" s="253">
        <f>H204+H205</f>
        <v>85465955.579569995</v>
      </c>
      <c r="I207" s="270">
        <f>I204+I205</f>
        <v>37205705.874229506</v>
      </c>
      <c r="J207" s="242"/>
      <c r="K207" s="242"/>
      <c r="L207" s="242"/>
      <c r="M207" s="242"/>
      <c r="N207" s="242"/>
      <c r="O207" s="242"/>
      <c r="P207" s="242"/>
      <c r="Q207" s="242"/>
      <c r="R207" s="242"/>
      <c r="S207" s="242"/>
      <c r="T207" s="242"/>
    </row>
    <row r="208" spans="1:20">
      <c r="A208" s="241"/>
      <c r="B208" s="242" t="s">
        <v>363</v>
      </c>
      <c r="C208" s="242"/>
      <c r="D208" s="242"/>
      <c r="E208" s="267">
        <f t="shared" ref="E208" si="38">E207/D207*100</f>
        <v>42.686440888369226</v>
      </c>
      <c r="F208" s="267"/>
      <c r="G208" s="267">
        <f>G207/F207*100</f>
        <v>38.685000000000002</v>
      </c>
      <c r="H208" s="242"/>
      <c r="I208" s="267">
        <f>I207/H207*100</f>
        <v>43.532779364516053</v>
      </c>
      <c r="J208" s="242"/>
      <c r="K208" s="242"/>
      <c r="L208" s="242"/>
      <c r="M208" s="242"/>
      <c r="N208" s="242"/>
      <c r="O208" s="242"/>
      <c r="P208" s="242"/>
      <c r="Q208" s="242"/>
      <c r="R208" s="242"/>
      <c r="S208" s="242"/>
      <c r="T208" s="242"/>
    </row>
    <row r="209" spans="1:20">
      <c r="A209" s="241"/>
      <c r="B209" s="242"/>
      <c r="C209" s="242"/>
      <c r="D209" s="242"/>
      <c r="E209" s="242"/>
      <c r="F209" s="242"/>
      <c r="G209" s="242"/>
      <c r="H209" s="242"/>
      <c r="I209" s="242"/>
      <c r="J209" s="242"/>
      <c r="K209" s="242"/>
      <c r="L209" s="242"/>
      <c r="M209" s="242"/>
      <c r="N209" s="242"/>
      <c r="O209" s="242"/>
      <c r="P209" s="242"/>
      <c r="Q209" s="242"/>
      <c r="R209" s="242"/>
      <c r="S209" s="242"/>
      <c r="T209" s="242"/>
    </row>
    <row r="210" spans="1:20">
      <c r="A210" s="241"/>
      <c r="B210" s="242"/>
      <c r="C210" s="242"/>
      <c r="D210" s="242"/>
      <c r="E210" s="242"/>
      <c r="F210" s="242"/>
      <c r="G210" s="242"/>
      <c r="H210" s="242"/>
      <c r="I210" s="242"/>
      <c r="J210" s="242"/>
      <c r="K210" s="242"/>
      <c r="L210" s="242"/>
      <c r="M210" s="242"/>
      <c r="N210" s="242"/>
      <c r="O210" s="242"/>
      <c r="P210" s="242"/>
      <c r="Q210" s="242"/>
      <c r="R210" s="242"/>
      <c r="S210" s="242"/>
      <c r="T210" s="242"/>
    </row>
    <row r="211" spans="1:20" ht="13.15" hidden="1" customHeight="1">
      <c r="A211" s="241"/>
      <c r="B211" s="290" t="s">
        <v>364</v>
      </c>
      <c r="C211" s="242"/>
      <c r="D211" s="242"/>
      <c r="E211" s="242"/>
      <c r="F211" s="242"/>
      <c r="G211" s="242"/>
      <c r="H211" s="242"/>
      <c r="I211" s="242"/>
      <c r="J211" s="242"/>
      <c r="K211" s="242"/>
      <c r="L211" s="242"/>
      <c r="M211" s="242"/>
      <c r="N211" s="242"/>
      <c r="O211" s="242"/>
      <c r="P211" s="242"/>
      <c r="Q211" s="242"/>
      <c r="R211" s="242"/>
      <c r="S211" s="242"/>
      <c r="T211" s="242"/>
    </row>
    <row r="212" spans="1:20" ht="13.15" hidden="1" customHeight="1">
      <c r="A212" s="241"/>
      <c r="B212" s="242" t="s">
        <v>288</v>
      </c>
      <c r="C212" s="242"/>
      <c r="D212" s="242"/>
      <c r="E212" s="242"/>
      <c r="F212" s="242"/>
      <c r="G212" s="242"/>
      <c r="H212" s="242"/>
      <c r="I212" s="242"/>
      <c r="J212" s="242"/>
      <c r="K212" s="242"/>
      <c r="L212" s="242"/>
      <c r="M212" s="242"/>
      <c r="N212" s="242"/>
      <c r="O212" s="242"/>
      <c r="P212" s="242"/>
      <c r="Q212" s="242"/>
      <c r="R212" s="242"/>
      <c r="S212" s="242"/>
      <c r="T212" s="242"/>
    </row>
    <row r="213" spans="1:20" ht="13.15" hidden="1" customHeight="1">
      <c r="A213" s="241"/>
      <c r="B213" s="271" t="s">
        <v>361</v>
      </c>
      <c r="C213" s="267">
        <f>D77</f>
        <v>38.685000000000002</v>
      </c>
      <c r="D213" s="253">
        <f>D8</f>
        <v>67806991.939127892</v>
      </c>
      <c r="E213" s="270">
        <f>C213*D213/100</f>
        <v>26231134.831651624</v>
      </c>
      <c r="F213" s="291">
        <f>MIN(D213,F216)</f>
        <v>18076770</v>
      </c>
      <c r="G213" s="270">
        <f>F213*C213/100</f>
        <v>6992998.4745000005</v>
      </c>
      <c r="H213" s="253">
        <f>D213-F213</f>
        <v>49730221.939127892</v>
      </c>
      <c r="I213" s="270">
        <f>H213*C213/100</f>
        <v>19238136.357151624</v>
      </c>
      <c r="J213" s="242"/>
      <c r="K213" s="242"/>
      <c r="L213" s="242"/>
      <c r="M213" s="242"/>
      <c r="N213" s="242"/>
      <c r="O213" s="242"/>
      <c r="P213" s="242"/>
      <c r="Q213" s="242"/>
      <c r="R213" s="242"/>
      <c r="S213" s="242"/>
      <c r="T213" s="242"/>
    </row>
    <row r="214" spans="1:20" ht="13.15" hidden="1" customHeight="1">
      <c r="A214" s="241"/>
      <c r="B214" s="271" t="s">
        <v>362</v>
      </c>
      <c r="C214" s="267">
        <f>D78</f>
        <v>50.279000000000003</v>
      </c>
      <c r="D214" s="223">
        <f>D9</f>
        <v>35735733.640442103</v>
      </c>
      <c r="E214" s="224">
        <f>C214*D214/100</f>
        <v>17967569.517077886</v>
      </c>
      <c r="F214" s="232">
        <f>MIN(F216-F213,D214)</f>
        <v>0</v>
      </c>
      <c r="G214" s="224">
        <f>F214*C214/100</f>
        <v>0</v>
      </c>
      <c r="H214" s="253">
        <f>D214-F214</f>
        <v>35735733.640442103</v>
      </c>
      <c r="I214" s="270">
        <f>H214*C214/100</f>
        <v>17967569.517077886</v>
      </c>
      <c r="J214" s="242"/>
      <c r="K214" s="242"/>
      <c r="L214" s="242"/>
      <c r="M214" s="242"/>
      <c r="N214" s="242"/>
      <c r="O214" s="242"/>
      <c r="P214" s="242"/>
      <c r="Q214" s="242"/>
      <c r="R214" s="242"/>
      <c r="S214" s="242"/>
      <c r="T214" s="242"/>
    </row>
    <row r="215" spans="1:20" ht="13.15" hidden="1" customHeight="1">
      <c r="A215" s="241"/>
      <c r="B215" s="242"/>
      <c r="C215" s="242"/>
      <c r="D215" s="225"/>
      <c r="E215" s="225"/>
      <c r="F215" s="225"/>
      <c r="G215" s="225"/>
      <c r="H215" s="225"/>
      <c r="I215" s="225"/>
      <c r="J215" s="242"/>
      <c r="K215" s="242"/>
      <c r="L215" s="242"/>
      <c r="M215" s="242"/>
      <c r="N215" s="242"/>
      <c r="O215" s="242"/>
      <c r="P215" s="242"/>
      <c r="Q215" s="242"/>
      <c r="R215" s="242"/>
      <c r="S215" s="242"/>
      <c r="T215" s="242"/>
    </row>
    <row r="216" spans="1:20" ht="13.15" hidden="1" customHeight="1">
      <c r="A216" s="241"/>
      <c r="B216" s="242" t="s">
        <v>287</v>
      </c>
      <c r="C216" s="242"/>
      <c r="D216" s="253">
        <f>D213+D214</f>
        <v>103542725.57957</v>
      </c>
      <c r="E216" s="270">
        <f>E213+E214</f>
        <v>44198704.348729506</v>
      </c>
      <c r="F216" s="274">
        <f>F207</f>
        <v>18076770</v>
      </c>
      <c r="G216" s="270">
        <f>G213+G214</f>
        <v>6992998.4745000005</v>
      </c>
      <c r="H216" s="253">
        <f>H213+H214</f>
        <v>85465955.579569995</v>
      </c>
      <c r="I216" s="253">
        <f>I212+I213+I214</f>
        <v>37205705.874229506</v>
      </c>
      <c r="J216" s="242"/>
      <c r="K216" s="242"/>
      <c r="L216" s="242"/>
      <c r="M216" s="242"/>
      <c r="N216" s="242"/>
      <c r="O216" s="242"/>
      <c r="P216" s="242"/>
      <c r="Q216" s="242"/>
      <c r="R216" s="242"/>
      <c r="S216" s="242"/>
      <c r="T216" s="242"/>
    </row>
    <row r="217" spans="1:20" ht="13.15" hidden="1" customHeight="1">
      <c r="A217" s="241"/>
      <c r="B217" s="242" t="s">
        <v>363</v>
      </c>
      <c r="C217" s="242"/>
      <c r="D217" s="242"/>
      <c r="E217" s="267">
        <f t="shared" ref="E217" si="39">E216/D216*100</f>
        <v>42.686440888369226</v>
      </c>
      <c r="F217" s="267"/>
      <c r="G217" s="267">
        <f>G216/F216*100</f>
        <v>38.685000000000002</v>
      </c>
      <c r="H217" s="242"/>
      <c r="I217" s="267">
        <f>I216/H216*100</f>
        <v>43.532779364516053</v>
      </c>
      <c r="J217" s="242"/>
      <c r="K217" s="242"/>
      <c r="L217" s="242"/>
      <c r="M217" s="242"/>
      <c r="N217" s="242"/>
      <c r="O217" s="242"/>
      <c r="P217" s="242"/>
      <c r="Q217" s="242"/>
      <c r="R217" s="242"/>
      <c r="S217" s="242"/>
      <c r="T217" s="242"/>
    </row>
    <row r="218" spans="1:20" ht="13.15" hidden="1" customHeight="1">
      <c r="A218" s="241"/>
      <c r="B218" s="242"/>
      <c r="C218" s="242"/>
      <c r="D218" s="242"/>
      <c r="E218" s="242"/>
      <c r="F218" s="242"/>
      <c r="G218" s="242"/>
      <c r="H218" s="242"/>
      <c r="I218" s="242"/>
      <c r="J218" s="242"/>
      <c r="K218" s="242"/>
      <c r="L218" s="242"/>
      <c r="M218" s="242"/>
      <c r="N218" s="242"/>
      <c r="O218" s="242"/>
      <c r="P218" s="242"/>
      <c r="Q218" s="242"/>
      <c r="R218" s="242"/>
      <c r="S218" s="242"/>
      <c r="T218" s="242"/>
    </row>
    <row r="219" spans="1:20" ht="13.15" hidden="1" customHeight="1">
      <c r="A219" s="241"/>
      <c r="B219" s="242"/>
      <c r="C219" s="242"/>
      <c r="D219" s="242"/>
      <c r="E219" s="242"/>
      <c r="F219" s="242"/>
      <c r="G219" s="242"/>
      <c r="H219" s="242"/>
      <c r="I219" s="242"/>
      <c r="J219" s="242"/>
      <c r="K219" s="242"/>
      <c r="L219" s="242"/>
      <c r="M219" s="242"/>
      <c r="N219" s="242"/>
      <c r="O219" s="242"/>
      <c r="P219" s="242"/>
      <c r="Q219" s="242"/>
      <c r="R219" s="242"/>
      <c r="S219" s="242"/>
      <c r="T219" s="242"/>
    </row>
    <row r="220" spans="1:20">
      <c r="A220" s="241"/>
      <c r="B220" s="269" t="s">
        <v>399</v>
      </c>
      <c r="C220" s="242"/>
      <c r="D220" s="242"/>
      <c r="E220" s="242"/>
      <c r="F220" s="242"/>
      <c r="G220" s="242"/>
      <c r="H220" s="242"/>
      <c r="I220" s="242"/>
      <c r="J220" s="242"/>
      <c r="K220" s="242"/>
      <c r="L220" s="242"/>
      <c r="M220" s="242"/>
      <c r="N220" s="242"/>
      <c r="O220" s="242"/>
      <c r="P220" s="242"/>
      <c r="Q220" s="242"/>
      <c r="R220" s="242"/>
      <c r="S220" s="242"/>
      <c r="T220" s="242"/>
    </row>
    <row r="221" spans="1:20">
      <c r="A221" s="241"/>
      <c r="B221" s="459" t="str">
        <f>"10 X "&amp;TEXT(D25,"#,##0")&amp;" = "&amp;TEXT(F207,"#,##0")</f>
        <v>10 X 1,807,677 = 18,076,770</v>
      </c>
      <c r="C221" s="242"/>
      <c r="D221" s="242"/>
      <c r="E221" s="242"/>
      <c r="F221" s="242"/>
      <c r="G221" s="242"/>
      <c r="H221" s="242"/>
      <c r="I221" s="242"/>
      <c r="J221" s="242"/>
      <c r="K221" s="242"/>
      <c r="L221" s="242"/>
      <c r="M221" s="242"/>
      <c r="N221" s="242"/>
      <c r="O221" s="242"/>
      <c r="P221" s="242"/>
      <c r="Q221" s="242"/>
      <c r="R221" s="242"/>
      <c r="S221" s="242"/>
      <c r="T221" s="242"/>
    </row>
    <row r="222" spans="1:20">
      <c r="A222" s="241"/>
      <c r="B222" s="242"/>
      <c r="C222" s="242"/>
      <c r="D222" s="242"/>
      <c r="E222" s="242"/>
      <c r="F222" s="242"/>
      <c r="G222" s="242"/>
      <c r="H222" s="242"/>
      <c r="I222" s="242"/>
      <c r="J222" s="242"/>
      <c r="K222" s="242"/>
      <c r="L222" s="242"/>
      <c r="M222" s="242"/>
      <c r="N222" s="242"/>
      <c r="O222" s="242"/>
      <c r="P222" s="242"/>
      <c r="Q222" s="242"/>
      <c r="R222" s="242"/>
      <c r="S222" s="242"/>
      <c r="T222" s="242"/>
    </row>
    <row r="223" spans="1:20">
      <c r="A223" s="241"/>
      <c r="B223" s="290" t="s">
        <v>360</v>
      </c>
      <c r="C223" s="242"/>
      <c r="D223" s="242"/>
      <c r="E223" s="242"/>
      <c r="F223" s="242"/>
      <c r="G223" s="242"/>
      <c r="H223" s="242"/>
      <c r="I223" s="242"/>
      <c r="J223" s="242"/>
      <c r="K223" s="242"/>
      <c r="L223" s="242"/>
      <c r="M223" s="242"/>
      <c r="N223" s="242"/>
      <c r="O223" s="242"/>
      <c r="P223" s="242"/>
      <c r="Q223" s="242"/>
      <c r="R223" s="242"/>
      <c r="S223" s="242"/>
      <c r="T223" s="242"/>
    </row>
    <row r="224" spans="1:20">
      <c r="A224" s="241"/>
      <c r="B224" s="242" t="s">
        <v>313</v>
      </c>
      <c r="C224" s="242"/>
      <c r="D224" s="242"/>
      <c r="E224" s="242"/>
      <c r="F224" s="242"/>
      <c r="G224" s="242"/>
      <c r="H224" s="242"/>
      <c r="I224" s="242"/>
      <c r="J224" s="242"/>
      <c r="K224" s="242"/>
      <c r="L224" s="242"/>
      <c r="M224" s="242"/>
      <c r="N224" s="242"/>
      <c r="O224" s="242"/>
      <c r="P224" s="242"/>
      <c r="Q224" s="242"/>
      <c r="R224" s="242"/>
      <c r="S224" s="242"/>
      <c r="T224" s="242"/>
    </row>
    <row r="225" spans="1:20">
      <c r="A225" s="241"/>
      <c r="B225" s="271" t="s">
        <v>365</v>
      </c>
      <c r="C225" s="267">
        <f>E59</f>
        <v>0</v>
      </c>
      <c r="D225" s="253">
        <f>E8</f>
        <v>5565790.9656917732</v>
      </c>
      <c r="E225" s="270">
        <f>C225*D225/100</f>
        <v>0</v>
      </c>
      <c r="F225" s="291">
        <f>MIN(D225,F229)</f>
        <v>5565790.9656917732</v>
      </c>
      <c r="G225" s="270">
        <f>F225*C225/100</f>
        <v>0</v>
      </c>
      <c r="H225" s="253">
        <f>D225-F225</f>
        <v>0</v>
      </c>
      <c r="I225" s="270">
        <f>H225*C225/100</f>
        <v>0</v>
      </c>
      <c r="J225" s="242"/>
      <c r="K225" s="242"/>
      <c r="L225" s="242"/>
      <c r="M225" s="242"/>
      <c r="N225" s="242"/>
      <c r="O225" s="242"/>
      <c r="P225" s="242"/>
      <c r="Q225" s="242"/>
      <c r="R225" s="242"/>
      <c r="S225" s="242"/>
      <c r="T225" s="242"/>
    </row>
    <row r="226" spans="1:20">
      <c r="A226" s="241"/>
      <c r="B226" s="271" t="s">
        <v>366</v>
      </c>
      <c r="C226" s="267">
        <f>E60</f>
        <v>34.033999999999999</v>
      </c>
      <c r="D226" s="253">
        <f>E9</f>
        <v>14086450.181255519</v>
      </c>
      <c r="E226" s="270">
        <f>C226*D226/100</f>
        <v>4794182.4546885034</v>
      </c>
      <c r="F226" s="291">
        <f>MIN(F229-F225,D226)</f>
        <v>10985171.034308227</v>
      </c>
      <c r="G226" s="270">
        <f>F226*C226/100</f>
        <v>3738693.1098164618</v>
      </c>
      <c r="H226" s="253">
        <f>D226-F226</f>
        <v>3101279.1469472926</v>
      </c>
      <c r="I226" s="270">
        <f>H226*C226/100</f>
        <v>1055489.3448720416</v>
      </c>
      <c r="J226" s="242"/>
      <c r="K226" s="242"/>
      <c r="L226" s="242"/>
      <c r="M226" s="242"/>
      <c r="N226" s="242"/>
      <c r="O226" s="242"/>
      <c r="P226" s="242"/>
      <c r="Q226" s="242"/>
      <c r="R226" s="242"/>
      <c r="S226" s="242"/>
      <c r="T226" s="242"/>
    </row>
    <row r="227" spans="1:20">
      <c r="A227" s="241"/>
      <c r="B227" s="271" t="s">
        <v>367</v>
      </c>
      <c r="C227" s="267">
        <f>E61</f>
        <v>25.943000000000001</v>
      </c>
      <c r="D227" s="223">
        <f>E10</f>
        <v>22581350.233102709</v>
      </c>
      <c r="E227" s="224">
        <f>C227*D227/100</f>
        <v>5858279.690973836</v>
      </c>
      <c r="F227" s="232">
        <f>MIN(F229-F225-F226,D227)</f>
        <v>0</v>
      </c>
      <c r="G227" s="224">
        <f>F227*C227/100</f>
        <v>0</v>
      </c>
      <c r="H227" s="253">
        <f>D227-F227</f>
        <v>22581350.233102709</v>
      </c>
      <c r="I227" s="270">
        <f>H227*C227/100</f>
        <v>5858279.690973836</v>
      </c>
      <c r="J227" s="242"/>
      <c r="K227" s="242"/>
      <c r="L227" s="242"/>
      <c r="M227" s="242"/>
      <c r="N227" s="242"/>
      <c r="O227" s="242"/>
      <c r="P227" s="242"/>
      <c r="Q227" s="242"/>
      <c r="R227" s="242"/>
      <c r="S227" s="242"/>
      <c r="T227" s="242"/>
    </row>
    <row r="228" spans="1:20">
      <c r="A228" s="241"/>
      <c r="B228" s="242"/>
      <c r="C228" s="242"/>
      <c r="D228" s="225"/>
      <c r="E228" s="225"/>
      <c r="F228" s="225"/>
      <c r="G228" s="225"/>
      <c r="H228" s="225"/>
      <c r="I228" s="226"/>
      <c r="J228" s="242"/>
      <c r="K228" s="242"/>
      <c r="L228" s="242"/>
      <c r="M228" s="242"/>
      <c r="N228" s="242"/>
      <c r="O228" s="242"/>
      <c r="P228" s="242"/>
      <c r="Q228" s="242"/>
      <c r="R228" s="242"/>
      <c r="S228" s="242"/>
      <c r="T228" s="242"/>
    </row>
    <row r="229" spans="1:20">
      <c r="A229" s="241"/>
      <c r="B229" s="242" t="s">
        <v>287</v>
      </c>
      <c r="C229" s="242"/>
      <c r="D229" s="253">
        <f>D225+D226+D227</f>
        <v>42233591.380050004</v>
      </c>
      <c r="E229" s="270">
        <f>E225+E226+E227</f>
        <v>10652462.145662339</v>
      </c>
      <c r="F229" s="292">
        <f>527*E26</f>
        <v>16550962</v>
      </c>
      <c r="G229" s="270">
        <f>G225+G226+G227</f>
        <v>3738693.1098164618</v>
      </c>
      <c r="H229" s="253">
        <f>H225+H226+H227</f>
        <v>25682629.380050004</v>
      </c>
      <c r="I229" s="270">
        <f>I225+I226+I227</f>
        <v>6913769.0358458776</v>
      </c>
      <c r="J229" s="242"/>
      <c r="K229" s="242"/>
      <c r="L229" s="242"/>
      <c r="M229" s="242"/>
      <c r="N229" s="242"/>
      <c r="O229" s="242"/>
      <c r="P229" s="242"/>
      <c r="Q229" s="242"/>
      <c r="R229" s="242"/>
      <c r="S229" s="242"/>
      <c r="T229" s="242"/>
    </row>
    <row r="230" spans="1:20">
      <c r="A230" s="241"/>
      <c r="B230" s="242" t="s">
        <v>363</v>
      </c>
      <c r="C230" s="242"/>
      <c r="D230" s="242"/>
      <c r="E230" s="267">
        <f t="shared" ref="E230" si="40">E229/D229*100</f>
        <v>25.222723897201583</v>
      </c>
      <c r="F230" s="267"/>
      <c r="G230" s="267">
        <f>G229/F229*100</f>
        <v>22.588977666775271</v>
      </c>
      <c r="H230" s="242"/>
      <c r="I230" s="267">
        <f>I229/H229*100</f>
        <v>26.920020273377542</v>
      </c>
      <c r="J230" s="242"/>
      <c r="K230" s="242"/>
      <c r="L230" s="242"/>
      <c r="M230" s="242"/>
      <c r="N230" s="242"/>
      <c r="O230" s="242"/>
      <c r="P230" s="242"/>
      <c r="Q230" s="242"/>
      <c r="R230" s="242"/>
      <c r="S230" s="242"/>
      <c r="T230" s="242"/>
    </row>
    <row r="231" spans="1:20">
      <c r="A231" s="241"/>
      <c r="B231" s="242"/>
      <c r="C231" s="242"/>
      <c r="D231" s="242"/>
      <c r="E231" s="242"/>
      <c r="F231" s="242"/>
      <c r="G231" s="242"/>
      <c r="H231" s="242"/>
      <c r="I231" s="242"/>
      <c r="J231" s="242"/>
      <c r="K231" s="242"/>
      <c r="L231" s="242"/>
      <c r="M231" s="242"/>
      <c r="N231" s="242"/>
      <c r="O231" s="242"/>
      <c r="P231" s="242"/>
      <c r="Q231" s="242"/>
      <c r="R231" s="242"/>
      <c r="S231" s="242"/>
      <c r="T231" s="242"/>
    </row>
    <row r="232" spans="1:20">
      <c r="A232" s="241"/>
      <c r="B232" s="242"/>
      <c r="C232" s="242"/>
      <c r="D232" s="242"/>
      <c r="E232" s="242"/>
      <c r="F232" s="242"/>
      <c r="G232" s="242"/>
      <c r="H232" s="242"/>
      <c r="I232" s="242"/>
      <c r="J232" s="242"/>
      <c r="K232" s="242"/>
      <c r="L232" s="242"/>
      <c r="M232" s="242"/>
      <c r="N232" s="242"/>
      <c r="O232" s="242"/>
      <c r="P232" s="242"/>
      <c r="Q232" s="242"/>
      <c r="R232" s="242"/>
      <c r="S232" s="242"/>
      <c r="T232" s="242"/>
    </row>
    <row r="233" spans="1:20" ht="13.15" hidden="1" customHeight="1">
      <c r="A233" s="241"/>
      <c r="B233" s="290" t="s">
        <v>364</v>
      </c>
      <c r="C233" s="242"/>
      <c r="D233" s="242"/>
      <c r="E233" s="242"/>
      <c r="F233" s="242"/>
      <c r="G233" s="242"/>
      <c r="H233" s="242"/>
      <c r="I233" s="242"/>
      <c r="J233" s="242"/>
      <c r="K233" s="242"/>
      <c r="L233" s="242"/>
      <c r="M233" s="242"/>
      <c r="N233" s="242"/>
      <c r="O233" s="242"/>
      <c r="P233" s="242"/>
      <c r="Q233" s="242"/>
      <c r="R233" s="242"/>
      <c r="S233" s="242"/>
      <c r="T233" s="242"/>
    </row>
    <row r="234" spans="1:20" ht="13.15" hidden="1" customHeight="1">
      <c r="A234" s="241"/>
      <c r="B234" s="242" t="s">
        <v>313</v>
      </c>
      <c r="C234" s="242"/>
      <c r="D234" s="242"/>
      <c r="E234" s="242"/>
      <c r="F234" s="242"/>
      <c r="G234" s="242"/>
      <c r="H234" s="242"/>
      <c r="I234" s="242"/>
      <c r="J234" s="242"/>
      <c r="K234" s="242"/>
      <c r="L234" s="242"/>
      <c r="M234" s="242"/>
      <c r="N234" s="242"/>
      <c r="O234" s="242"/>
      <c r="P234" s="242"/>
      <c r="Q234" s="242"/>
      <c r="R234" s="242"/>
      <c r="S234" s="242"/>
      <c r="T234" s="242"/>
    </row>
    <row r="235" spans="1:20" ht="13.15" hidden="1" customHeight="1">
      <c r="A235" s="241"/>
      <c r="B235" s="271" t="s">
        <v>365</v>
      </c>
      <c r="C235" s="267">
        <f>E77</f>
        <v>0</v>
      </c>
      <c r="D235" s="253">
        <f>E31</f>
        <v>5565790.9656917732</v>
      </c>
      <c r="E235" s="270">
        <f>C235*D235/100</f>
        <v>0</v>
      </c>
      <c r="F235" s="291">
        <f>MIN(D235,F239)</f>
        <v>5565790.9656917732</v>
      </c>
      <c r="G235" s="270">
        <f>F235*C235/100</f>
        <v>0</v>
      </c>
      <c r="H235" s="253">
        <f>D235-F235</f>
        <v>0</v>
      </c>
      <c r="I235" s="270">
        <f>H235*C235/100</f>
        <v>0</v>
      </c>
      <c r="J235" s="242"/>
      <c r="K235" s="242"/>
      <c r="L235" s="242"/>
      <c r="M235" s="242"/>
      <c r="N235" s="242"/>
      <c r="O235" s="242"/>
      <c r="P235" s="242"/>
      <c r="Q235" s="242"/>
      <c r="R235" s="242"/>
      <c r="S235" s="242"/>
      <c r="T235" s="242"/>
    </row>
    <row r="236" spans="1:20" ht="13.15" hidden="1" customHeight="1">
      <c r="A236" s="241"/>
      <c r="B236" s="271" t="s">
        <v>366</v>
      </c>
      <c r="C236" s="267">
        <f>E78</f>
        <v>34.033999999999999</v>
      </c>
      <c r="D236" s="253">
        <f>E32</f>
        <v>14086450.181255519</v>
      </c>
      <c r="E236" s="270">
        <f>C236*D236/100</f>
        <v>4794182.4546885034</v>
      </c>
      <c r="F236" s="291">
        <f>MIN(F239-F235,D236)</f>
        <v>10985171.034308227</v>
      </c>
      <c r="G236" s="270">
        <f>F236*C236/100</f>
        <v>3738693.1098164618</v>
      </c>
      <c r="H236" s="253">
        <f>D236-F236</f>
        <v>3101279.1469472926</v>
      </c>
      <c r="I236" s="270">
        <f>H236*C236/100</f>
        <v>1055489.3448720416</v>
      </c>
      <c r="J236" s="242"/>
      <c r="K236" s="242"/>
      <c r="L236" s="242"/>
      <c r="M236" s="242"/>
      <c r="N236" s="242"/>
      <c r="O236" s="242"/>
      <c r="P236" s="242"/>
      <c r="Q236" s="242"/>
      <c r="R236" s="242"/>
      <c r="S236" s="242"/>
      <c r="T236" s="242"/>
    </row>
    <row r="237" spans="1:20" ht="13.15" hidden="1" customHeight="1">
      <c r="A237" s="241"/>
      <c r="B237" s="271" t="s">
        <v>367</v>
      </c>
      <c r="C237" s="267">
        <f>E79</f>
        <v>25.943000000000001</v>
      </c>
      <c r="D237" s="223">
        <f>E33</f>
        <v>22581350.233102709</v>
      </c>
      <c r="E237" s="224">
        <f>C237*D237/100</f>
        <v>5858279.690973836</v>
      </c>
      <c r="F237" s="232">
        <f>MIN(F239-F235-F236,D237)</f>
        <v>0</v>
      </c>
      <c r="G237" s="224">
        <f>F237*C237/100</f>
        <v>0</v>
      </c>
      <c r="H237" s="253">
        <f>D237-F237</f>
        <v>22581350.233102709</v>
      </c>
      <c r="I237" s="270">
        <f>H237*C237/100</f>
        <v>5858279.690973836</v>
      </c>
      <c r="J237" s="242"/>
      <c r="K237" s="242"/>
      <c r="L237" s="242"/>
      <c r="M237" s="242"/>
      <c r="N237" s="242"/>
      <c r="O237" s="242"/>
      <c r="P237" s="242"/>
      <c r="Q237" s="242"/>
      <c r="R237" s="242"/>
      <c r="S237" s="242"/>
      <c r="T237" s="242"/>
    </row>
    <row r="238" spans="1:20" ht="13.15" hidden="1" customHeight="1">
      <c r="A238" s="241"/>
      <c r="B238" s="242"/>
      <c r="C238" s="242"/>
      <c r="D238" s="225"/>
      <c r="E238" s="225"/>
      <c r="F238" s="225"/>
      <c r="G238" s="225"/>
      <c r="H238" s="225"/>
      <c r="I238" s="225"/>
      <c r="J238" s="242"/>
      <c r="K238" s="242"/>
      <c r="L238" s="242"/>
      <c r="M238" s="242"/>
      <c r="N238" s="242"/>
      <c r="O238" s="242"/>
      <c r="P238" s="242"/>
      <c r="Q238" s="242"/>
      <c r="R238" s="242"/>
      <c r="S238" s="242"/>
      <c r="T238" s="242"/>
    </row>
    <row r="239" spans="1:20" ht="13.15" hidden="1" customHeight="1">
      <c r="A239" s="241"/>
      <c r="B239" s="242" t="s">
        <v>287</v>
      </c>
      <c r="C239" s="242"/>
      <c r="D239" s="253">
        <f>D235+D236+D237</f>
        <v>42233591.380050004</v>
      </c>
      <c r="E239" s="270">
        <f>E235+E236+E237</f>
        <v>10652462.145662339</v>
      </c>
      <c r="F239" s="274">
        <f>F229</f>
        <v>16550962</v>
      </c>
      <c r="G239" s="270">
        <f>G235+G236+G237</f>
        <v>3738693.1098164618</v>
      </c>
      <c r="H239" s="253">
        <f>H235+H236+H237</f>
        <v>25682629.380050004</v>
      </c>
      <c r="I239" s="253">
        <f>I234+I235+I236+I237</f>
        <v>6913769.0358458776</v>
      </c>
      <c r="J239" s="242"/>
      <c r="K239" s="242"/>
      <c r="L239" s="242"/>
      <c r="M239" s="242"/>
      <c r="N239" s="242"/>
      <c r="O239" s="242"/>
      <c r="P239" s="242"/>
      <c r="Q239" s="242"/>
      <c r="R239" s="242"/>
      <c r="S239" s="242"/>
      <c r="T239" s="242"/>
    </row>
    <row r="240" spans="1:20" ht="13.15" hidden="1" customHeight="1">
      <c r="A240" s="241"/>
      <c r="B240" s="242" t="s">
        <v>363</v>
      </c>
      <c r="C240" s="242"/>
      <c r="D240" s="242"/>
      <c r="E240" s="267">
        <f t="shared" ref="E240" si="41">E239/D239*100</f>
        <v>25.222723897201583</v>
      </c>
      <c r="F240" s="267"/>
      <c r="G240" s="267">
        <f>G239/F239*100</f>
        <v>22.588977666775271</v>
      </c>
      <c r="H240" s="242"/>
      <c r="I240" s="267">
        <f>I239/H239*100</f>
        <v>26.920020273377542</v>
      </c>
      <c r="J240" s="242"/>
      <c r="K240" s="242"/>
      <c r="L240" s="242"/>
      <c r="M240" s="242"/>
      <c r="N240" s="242"/>
      <c r="O240" s="242"/>
      <c r="P240" s="242"/>
      <c r="Q240" s="242"/>
      <c r="R240" s="242"/>
      <c r="S240" s="242"/>
      <c r="T240" s="242"/>
    </row>
    <row r="241" spans="1:20" ht="13.15" hidden="1" customHeight="1">
      <c r="A241" s="241"/>
      <c r="B241" s="242"/>
      <c r="C241" s="242"/>
      <c r="D241" s="242"/>
      <c r="E241" s="242"/>
      <c r="F241" s="242"/>
      <c r="G241" s="242"/>
      <c r="H241" s="242"/>
      <c r="I241" s="242"/>
      <c r="J241" s="242"/>
      <c r="K241" s="242"/>
      <c r="L241" s="242"/>
      <c r="M241" s="242"/>
      <c r="N241" s="242"/>
      <c r="O241" s="242"/>
      <c r="P241" s="242"/>
      <c r="Q241" s="242"/>
      <c r="R241" s="242"/>
      <c r="S241" s="242"/>
      <c r="T241" s="242"/>
    </row>
    <row r="242" spans="1:20" ht="13.15" hidden="1" customHeight="1">
      <c r="A242" s="241"/>
      <c r="B242" s="242"/>
      <c r="C242" s="242"/>
      <c r="D242" s="242"/>
      <c r="E242" s="242"/>
      <c r="F242" s="242"/>
      <c r="G242" s="242"/>
      <c r="H242" s="242"/>
      <c r="I242" s="242"/>
      <c r="J242" s="242"/>
      <c r="K242" s="242"/>
      <c r="L242" s="242"/>
      <c r="M242" s="242"/>
      <c r="N242" s="242"/>
      <c r="O242" s="242"/>
      <c r="P242" s="242"/>
      <c r="Q242" s="242"/>
      <c r="R242" s="242"/>
      <c r="S242" s="242"/>
      <c r="T242" s="242"/>
    </row>
    <row r="243" spans="1:20">
      <c r="A243" s="241"/>
      <c r="B243" s="269" t="s">
        <v>400</v>
      </c>
      <c r="C243" s="242"/>
      <c r="D243" s="242"/>
      <c r="E243" s="242"/>
      <c r="F243" s="242"/>
      <c r="G243" s="242"/>
      <c r="H243" s="242"/>
      <c r="I243" s="242"/>
      <c r="J243" s="242"/>
      <c r="K243" s="242"/>
      <c r="L243" s="242"/>
      <c r="M243" s="242"/>
      <c r="N243" s="242"/>
      <c r="O243" s="242"/>
      <c r="P243" s="242"/>
      <c r="Q243" s="242"/>
      <c r="R243" s="242"/>
      <c r="S243" s="242"/>
      <c r="T243" s="242"/>
    </row>
    <row r="244" spans="1:20">
      <c r="A244" s="241"/>
      <c r="B244" s="459" t="str">
        <f>"527 X "&amp;TEXT(E26,"#,##0")&amp;" = "&amp;TEXT(F229,"#,##0")</f>
        <v>527 X 31,406 = 16,550,962</v>
      </c>
      <c r="C244" s="242"/>
      <c r="D244" s="242"/>
      <c r="E244" s="242"/>
      <c r="F244" s="242"/>
      <c r="G244" s="242"/>
      <c r="H244" s="242"/>
      <c r="I244" s="242"/>
      <c r="J244" s="242"/>
      <c r="K244" s="242"/>
      <c r="L244" s="242"/>
      <c r="M244" s="242"/>
      <c r="N244" s="242"/>
      <c r="O244" s="242"/>
      <c r="P244" s="242"/>
      <c r="Q244" s="242"/>
      <c r="R244" s="242"/>
      <c r="S244" s="242"/>
      <c r="T244" s="242"/>
    </row>
    <row r="245" spans="1:20">
      <c r="A245" s="241"/>
      <c r="B245" s="242"/>
      <c r="C245" s="242"/>
      <c r="D245" s="242"/>
      <c r="E245" s="242"/>
      <c r="F245" s="242"/>
      <c r="G245" s="242"/>
      <c r="H245" s="242"/>
      <c r="I245" s="242"/>
      <c r="J245" s="242"/>
      <c r="K245" s="242"/>
      <c r="L245" s="242"/>
      <c r="M245" s="242"/>
      <c r="N245" s="242"/>
      <c r="O245" s="242"/>
      <c r="P245" s="242"/>
      <c r="Q245" s="242"/>
      <c r="R245" s="242"/>
      <c r="S245" s="242"/>
      <c r="T245" s="242"/>
    </row>
    <row r="246" spans="1:20">
      <c r="A246" s="244" t="s">
        <v>280</v>
      </c>
      <c r="B246" s="243"/>
      <c r="C246" s="243" t="s">
        <v>281</v>
      </c>
      <c r="D246" s="243" t="s">
        <v>287</v>
      </c>
      <c r="E246" s="243" t="s">
        <v>287</v>
      </c>
      <c r="F246" s="243" t="s">
        <v>355</v>
      </c>
      <c r="G246" s="243" t="s">
        <v>355</v>
      </c>
      <c r="H246" s="243" t="s">
        <v>356</v>
      </c>
      <c r="I246" s="243" t="s">
        <v>356</v>
      </c>
      <c r="J246" s="242"/>
      <c r="K246" s="242"/>
      <c r="L246" s="242"/>
      <c r="M246" s="242"/>
      <c r="N246" s="242"/>
      <c r="O246" s="242"/>
      <c r="P246" s="242"/>
      <c r="Q246" s="242"/>
      <c r="R246" s="242"/>
      <c r="S246" s="242"/>
      <c r="T246" s="242"/>
    </row>
    <row r="247" spans="1:20">
      <c r="A247" s="244" t="s">
        <v>286</v>
      </c>
      <c r="B247" s="243"/>
      <c r="C247" s="217" t="s">
        <v>357</v>
      </c>
      <c r="D247" s="217" t="s">
        <v>296</v>
      </c>
      <c r="E247" s="217" t="s">
        <v>358</v>
      </c>
      <c r="F247" s="217" t="s">
        <v>359</v>
      </c>
      <c r="G247" s="217" t="s">
        <v>358</v>
      </c>
      <c r="H247" s="217" t="s">
        <v>296</v>
      </c>
      <c r="I247" s="217" t="s">
        <v>358</v>
      </c>
      <c r="J247" s="242"/>
      <c r="K247" s="242"/>
      <c r="L247" s="242"/>
      <c r="M247" s="242"/>
      <c r="N247" s="242"/>
      <c r="O247" s="242"/>
      <c r="P247" s="242"/>
      <c r="Q247" s="242"/>
      <c r="R247" s="242"/>
      <c r="S247" s="242"/>
      <c r="T247" s="242"/>
    </row>
    <row r="248" spans="1:20">
      <c r="A248" s="241"/>
      <c r="B248" s="242"/>
      <c r="C248" s="242"/>
      <c r="D248" s="242"/>
      <c r="E248" s="242"/>
      <c r="F248" s="242"/>
      <c r="G248" s="242"/>
      <c r="H248" s="242"/>
      <c r="I248" s="242"/>
      <c r="J248" s="242"/>
      <c r="K248" s="242"/>
      <c r="L248" s="242"/>
      <c r="M248" s="242"/>
      <c r="N248" s="242"/>
      <c r="O248" s="242"/>
      <c r="P248" s="242"/>
      <c r="Q248" s="242"/>
      <c r="R248" s="242"/>
      <c r="S248" s="242"/>
      <c r="T248" s="242"/>
    </row>
    <row r="249" spans="1:20">
      <c r="A249" s="241"/>
      <c r="B249" s="290" t="s">
        <v>360</v>
      </c>
      <c r="C249" s="242"/>
      <c r="D249" s="242"/>
      <c r="E249" s="242"/>
      <c r="F249" s="242"/>
      <c r="G249" s="242"/>
      <c r="H249" s="242"/>
      <c r="I249" s="242"/>
      <c r="J249" s="242"/>
      <c r="K249" s="242"/>
      <c r="L249" s="242"/>
      <c r="M249" s="242"/>
      <c r="N249" s="242"/>
      <c r="O249" s="242"/>
      <c r="P249" s="242"/>
      <c r="Q249" s="242"/>
      <c r="R249" s="242"/>
      <c r="S249" s="242"/>
      <c r="T249" s="242"/>
    </row>
    <row r="250" spans="1:20">
      <c r="A250" s="241"/>
      <c r="B250" s="242" t="s">
        <v>314</v>
      </c>
      <c r="C250" s="242"/>
      <c r="D250" s="242"/>
      <c r="E250" s="242"/>
      <c r="F250" s="242"/>
      <c r="G250" s="242"/>
      <c r="H250" s="242"/>
      <c r="I250" s="242"/>
      <c r="J250" s="242"/>
      <c r="K250" s="242"/>
      <c r="L250" s="242"/>
      <c r="M250" s="242"/>
      <c r="N250" s="242"/>
      <c r="O250" s="242"/>
      <c r="P250" s="242"/>
      <c r="Q250" s="242"/>
      <c r="R250" s="242"/>
      <c r="S250" s="242"/>
      <c r="T250" s="242"/>
    </row>
    <row r="251" spans="1:20">
      <c r="A251" s="241"/>
      <c r="B251" s="271" t="s">
        <v>368</v>
      </c>
      <c r="C251" s="267">
        <f>F59</f>
        <v>0</v>
      </c>
      <c r="D251" s="253">
        <f>F31</f>
        <v>163400.02515121619</v>
      </c>
      <c r="E251" s="270">
        <f>C251*D251/100</f>
        <v>0</v>
      </c>
      <c r="F251" s="291">
        <f>MIN(D251,F257)</f>
        <v>163400.02515121619</v>
      </c>
      <c r="G251" s="270">
        <f>F251*C251/100</f>
        <v>0</v>
      </c>
      <c r="H251" s="253">
        <f>D251-F251</f>
        <v>0</v>
      </c>
      <c r="I251" s="270">
        <f>H251*C251/100</f>
        <v>0</v>
      </c>
      <c r="J251" s="242"/>
      <c r="K251" s="242"/>
      <c r="L251" s="242"/>
      <c r="M251" s="242"/>
      <c r="N251" s="242"/>
      <c r="O251" s="242"/>
      <c r="P251" s="242"/>
      <c r="Q251" s="242"/>
      <c r="R251" s="242"/>
      <c r="S251" s="242"/>
      <c r="T251" s="242"/>
    </row>
    <row r="252" spans="1:20">
      <c r="A252" s="241"/>
      <c r="B252" s="271" t="s">
        <v>369</v>
      </c>
      <c r="C252" s="267">
        <f t="shared" ref="C252:C255" si="42">F60</f>
        <v>35.67</v>
      </c>
      <c r="D252" s="253">
        <f t="shared" ref="D252:D255" si="43">F32</f>
        <v>162604.02518546203</v>
      </c>
      <c r="E252" s="270">
        <f>C252*D252/100</f>
        <v>58000.855783654311</v>
      </c>
      <c r="F252" s="291">
        <f>MIN(F257-F251,D252)</f>
        <v>162604.02518546203</v>
      </c>
      <c r="G252" s="270">
        <f>F252*C252/100</f>
        <v>58000.855783654311</v>
      </c>
      <c r="H252" s="253">
        <f>D252-F252</f>
        <v>0</v>
      </c>
      <c r="I252" s="270">
        <f>H252*C252/100</f>
        <v>0</v>
      </c>
      <c r="J252" s="242"/>
      <c r="K252" s="242"/>
      <c r="L252" s="242"/>
      <c r="M252" s="242"/>
      <c r="N252" s="242"/>
      <c r="O252" s="242"/>
      <c r="P252" s="242"/>
      <c r="Q252" s="242"/>
      <c r="R252" s="242"/>
      <c r="S252" s="242"/>
      <c r="T252" s="242"/>
    </row>
    <row r="253" spans="1:20">
      <c r="A253" s="241"/>
      <c r="B253" s="271" t="s">
        <v>370</v>
      </c>
      <c r="C253" s="267">
        <f t="shared" si="42"/>
        <v>27.396999999999998</v>
      </c>
      <c r="D253" s="253">
        <f t="shared" si="43"/>
        <v>2537473.3382703764</v>
      </c>
      <c r="E253" s="224">
        <f>C253*D253/100</f>
        <v>695191.57048593508</v>
      </c>
      <c r="F253" s="232">
        <f>MIN(F257-F251-F252,D253)</f>
        <v>2537473.3382703764</v>
      </c>
      <c r="G253" s="224">
        <f>F253*C253/100</f>
        <v>695191.57048593508</v>
      </c>
      <c r="H253" s="253">
        <f>D253-F253</f>
        <v>0</v>
      </c>
      <c r="I253" s="270">
        <f>H253*C253/100</f>
        <v>0</v>
      </c>
      <c r="J253" s="242"/>
      <c r="K253" s="242"/>
      <c r="L253" s="242"/>
      <c r="M253" s="242"/>
      <c r="N253" s="242"/>
      <c r="O253" s="242"/>
      <c r="P253" s="242"/>
      <c r="Q253" s="242"/>
      <c r="R253" s="242"/>
      <c r="S253" s="242"/>
      <c r="T253" s="242"/>
    </row>
    <row r="254" spans="1:20">
      <c r="A254" s="241"/>
      <c r="B254" s="271" t="s">
        <v>371</v>
      </c>
      <c r="C254" s="267">
        <f t="shared" si="42"/>
        <v>22.202000000000002</v>
      </c>
      <c r="D254" s="253">
        <f t="shared" si="43"/>
        <v>1387734.0110500145</v>
      </c>
      <c r="E254" s="224">
        <f t="shared" ref="E254:E255" si="44">C254*D254/100</f>
        <v>308104.70513332426</v>
      </c>
      <c r="F254" s="232">
        <f>MIN(F257-F251-F252-F253,D254)</f>
        <v>960370.61139294505</v>
      </c>
      <c r="G254" s="224">
        <f t="shared" ref="G254:G255" si="45">F254*C254/100</f>
        <v>213221.48314146168</v>
      </c>
      <c r="H254" s="253">
        <f t="shared" ref="H254:H255" si="46">D254-F254</f>
        <v>427363.39965706947</v>
      </c>
      <c r="I254" s="270">
        <f t="shared" ref="I254:I255" si="47">H254*C254/100</f>
        <v>94883.221991862578</v>
      </c>
      <c r="J254" s="242"/>
      <c r="K254" s="242"/>
      <c r="L254" s="242"/>
      <c r="M254" s="242"/>
      <c r="N254" s="242"/>
      <c r="O254" s="242"/>
      <c r="P254" s="242"/>
      <c r="Q254" s="242"/>
      <c r="R254" s="242"/>
      <c r="S254" s="242"/>
      <c r="T254" s="242"/>
    </row>
    <row r="255" spans="1:20">
      <c r="A255" s="241"/>
      <c r="B255" s="271" t="s">
        <v>372</v>
      </c>
      <c r="C255" s="267">
        <f t="shared" si="42"/>
        <v>14.725</v>
      </c>
      <c r="D255" s="253">
        <f t="shared" si="43"/>
        <v>668151.97534293041</v>
      </c>
      <c r="E255" s="224">
        <f t="shared" si="44"/>
        <v>98385.378369246493</v>
      </c>
      <c r="F255" s="232">
        <f>MIN(F257-F251-F252-F253-F254,D255)</f>
        <v>0</v>
      </c>
      <c r="G255" s="224">
        <f t="shared" si="45"/>
        <v>0</v>
      </c>
      <c r="H255" s="253">
        <f t="shared" si="46"/>
        <v>668151.97534293041</v>
      </c>
      <c r="I255" s="270">
        <f t="shared" si="47"/>
        <v>98385.378369246493</v>
      </c>
      <c r="J255" s="242"/>
      <c r="K255" s="242"/>
      <c r="L255" s="242"/>
      <c r="M255" s="242"/>
      <c r="N255" s="242"/>
      <c r="O255" s="242"/>
      <c r="P255" s="242"/>
      <c r="Q255" s="242"/>
      <c r="R255" s="242"/>
      <c r="S255" s="242"/>
      <c r="T255" s="242"/>
    </row>
    <row r="256" spans="1:20">
      <c r="A256" s="241"/>
      <c r="B256" s="242"/>
      <c r="C256" s="242"/>
      <c r="D256" s="225"/>
      <c r="E256" s="225"/>
      <c r="F256" s="225"/>
      <c r="G256" s="225"/>
      <c r="H256" s="225"/>
      <c r="I256" s="226"/>
      <c r="J256" s="242"/>
      <c r="K256" s="242"/>
      <c r="L256" s="242"/>
      <c r="M256" s="242"/>
      <c r="N256" s="242"/>
      <c r="O256" s="242"/>
      <c r="P256" s="242"/>
      <c r="Q256" s="242"/>
      <c r="R256" s="242"/>
      <c r="S256" s="242"/>
      <c r="T256" s="242"/>
    </row>
    <row r="257" spans="1:20">
      <c r="A257" s="241"/>
      <c r="B257" s="242" t="s">
        <v>287</v>
      </c>
      <c r="C257" s="242"/>
      <c r="D257" s="253">
        <f>D251+D252+D253+D254+D255</f>
        <v>4919363.3749999991</v>
      </c>
      <c r="E257" s="270">
        <f>E251+E252+E253+E254+E255</f>
        <v>1159682.5097721601</v>
      </c>
      <c r="F257" s="292">
        <f>11802*F26</f>
        <v>3823848</v>
      </c>
      <c r="G257" s="270">
        <f>G251+G252+G253</f>
        <v>753192.42626958934</v>
      </c>
      <c r="H257" s="253">
        <f>H251+H252+H253+H254+H255</f>
        <v>1095515.375</v>
      </c>
      <c r="I257" s="270">
        <f>I251+I252+I253+I254+I255</f>
        <v>193268.60036110907</v>
      </c>
      <c r="J257" s="242"/>
      <c r="K257" s="242"/>
      <c r="L257" s="242"/>
      <c r="M257" s="242"/>
      <c r="N257" s="242"/>
      <c r="O257" s="242"/>
      <c r="P257" s="242"/>
      <c r="Q257" s="242"/>
      <c r="R257" s="242"/>
      <c r="S257" s="242"/>
      <c r="T257" s="242"/>
    </row>
    <row r="258" spans="1:20">
      <c r="A258" s="241"/>
      <c r="B258" s="242" t="s">
        <v>363</v>
      </c>
      <c r="C258" s="242"/>
      <c r="D258" s="242"/>
      <c r="E258" s="267">
        <f t="shared" ref="E258" si="48">E257/D257*100</f>
        <v>23.573833062741791</v>
      </c>
      <c r="F258" s="267"/>
      <c r="G258" s="267">
        <f>G257/F257*100</f>
        <v>19.697237606452696</v>
      </c>
      <c r="H258" s="242"/>
      <c r="I258" s="267">
        <f>I257/H257*100</f>
        <v>17.641797164289827</v>
      </c>
      <c r="J258" s="242"/>
      <c r="K258" s="242"/>
      <c r="L258" s="242"/>
      <c r="M258" s="242"/>
      <c r="N258" s="242"/>
      <c r="O258" s="242"/>
      <c r="P258" s="242"/>
      <c r="Q258" s="242"/>
      <c r="R258" s="242"/>
      <c r="S258" s="242"/>
      <c r="T258" s="242"/>
    </row>
    <row r="259" spans="1:20">
      <c r="A259" s="241"/>
      <c r="B259" s="242"/>
      <c r="C259" s="242"/>
      <c r="D259" s="242"/>
      <c r="E259" s="242"/>
      <c r="F259" s="242"/>
      <c r="G259" s="242"/>
      <c r="H259" s="242"/>
      <c r="I259" s="242"/>
      <c r="J259" s="242"/>
      <c r="K259" s="242"/>
      <c r="L259" s="242"/>
      <c r="M259" s="242"/>
      <c r="N259" s="242"/>
      <c r="O259" s="242"/>
      <c r="P259" s="242"/>
      <c r="Q259" s="242"/>
      <c r="R259" s="242"/>
      <c r="S259" s="242"/>
      <c r="T259" s="242"/>
    </row>
    <row r="260" spans="1:20">
      <c r="A260" s="241"/>
      <c r="B260" s="242"/>
      <c r="C260" s="242"/>
      <c r="D260" s="242"/>
      <c r="E260" s="242"/>
      <c r="F260" s="242"/>
      <c r="G260" s="242"/>
      <c r="H260" s="242"/>
      <c r="I260" s="242"/>
      <c r="J260" s="242"/>
      <c r="K260" s="242"/>
      <c r="L260" s="242"/>
      <c r="M260" s="242"/>
      <c r="N260" s="242"/>
      <c r="O260" s="242"/>
      <c r="P260" s="242"/>
      <c r="Q260" s="242"/>
      <c r="R260" s="242"/>
      <c r="S260" s="242"/>
      <c r="T260" s="242"/>
    </row>
    <row r="261" spans="1:20" ht="13.15" hidden="1" customHeight="1">
      <c r="A261" s="241"/>
      <c r="B261" s="290" t="s">
        <v>364</v>
      </c>
      <c r="C261" s="242"/>
      <c r="D261" s="242"/>
      <c r="E261" s="242"/>
      <c r="F261" s="242"/>
      <c r="G261" s="242"/>
      <c r="H261" s="242"/>
      <c r="I261" s="242"/>
      <c r="J261" s="242"/>
      <c r="K261" s="242"/>
      <c r="L261" s="242"/>
      <c r="M261" s="242"/>
      <c r="N261" s="242"/>
      <c r="O261" s="242"/>
      <c r="P261" s="242"/>
      <c r="Q261" s="242"/>
      <c r="R261" s="242"/>
      <c r="S261" s="242"/>
      <c r="T261" s="242"/>
    </row>
    <row r="262" spans="1:20" ht="13.15" hidden="1" customHeight="1">
      <c r="A262" s="241"/>
      <c r="B262" s="242" t="s">
        <v>314</v>
      </c>
      <c r="C262" s="242"/>
      <c r="D262" s="242"/>
      <c r="E262" s="242"/>
      <c r="F262" s="242"/>
      <c r="G262" s="242"/>
      <c r="H262" s="242"/>
      <c r="I262" s="242"/>
      <c r="J262" s="242"/>
      <c r="K262" s="242"/>
      <c r="L262" s="242"/>
      <c r="M262" s="242"/>
      <c r="N262" s="242"/>
      <c r="O262" s="242"/>
      <c r="P262" s="242"/>
      <c r="Q262" s="242"/>
      <c r="R262" s="242"/>
      <c r="S262" s="242"/>
      <c r="T262" s="242"/>
    </row>
    <row r="263" spans="1:20" ht="13.15" hidden="1" customHeight="1">
      <c r="A263" s="241"/>
      <c r="B263" s="271" t="s">
        <v>368</v>
      </c>
      <c r="C263" s="267">
        <f>F77</f>
        <v>0</v>
      </c>
      <c r="D263" s="253">
        <f>F31</f>
        <v>163400.02515121619</v>
      </c>
      <c r="E263" s="270">
        <f>C263*D263/100</f>
        <v>0</v>
      </c>
      <c r="F263" s="291">
        <f>MIN(D263,F269)</f>
        <v>163400.02515121619</v>
      </c>
      <c r="G263" s="270">
        <f>F263*C263/100</f>
        <v>0</v>
      </c>
      <c r="H263" s="253">
        <f>D263-F263</f>
        <v>0</v>
      </c>
      <c r="I263" s="270">
        <f>H263*C263/100</f>
        <v>0</v>
      </c>
      <c r="J263" s="242"/>
      <c r="K263" s="242"/>
      <c r="L263" s="242"/>
      <c r="M263" s="242"/>
      <c r="N263" s="242"/>
      <c r="O263" s="242"/>
      <c r="P263" s="242"/>
      <c r="Q263" s="242"/>
      <c r="R263" s="242"/>
      <c r="S263" s="242"/>
      <c r="T263" s="242"/>
    </row>
    <row r="264" spans="1:20" ht="13.15" hidden="1" customHeight="1">
      <c r="A264" s="241"/>
      <c r="B264" s="271" t="s">
        <v>369</v>
      </c>
      <c r="C264" s="267">
        <f t="shared" ref="C264:C267" si="49">F78</f>
        <v>35.67</v>
      </c>
      <c r="D264" s="253">
        <f t="shared" ref="D264:D267" si="50">F32</f>
        <v>162604.02518546203</v>
      </c>
      <c r="E264" s="270">
        <f t="shared" ref="E264:E267" si="51">C264*D264/100</f>
        <v>58000.855783654311</v>
      </c>
      <c r="F264" s="291">
        <f>MIN(F269-F263,D264)</f>
        <v>162604.02518546203</v>
      </c>
      <c r="G264" s="270">
        <f>F264*C264/100</f>
        <v>58000.855783654311</v>
      </c>
      <c r="H264" s="253">
        <f t="shared" ref="H264:H267" si="52">D264-F264</f>
        <v>0</v>
      </c>
      <c r="I264" s="270">
        <f t="shared" ref="I264:I267" si="53">H264*C264/100</f>
        <v>0</v>
      </c>
      <c r="J264" s="242"/>
      <c r="K264" s="242"/>
      <c r="L264" s="242"/>
      <c r="M264" s="242"/>
      <c r="N264" s="242"/>
      <c r="O264" s="242"/>
      <c r="P264" s="242"/>
      <c r="Q264" s="242"/>
      <c r="R264" s="242"/>
      <c r="S264" s="242"/>
      <c r="T264" s="242"/>
    </row>
    <row r="265" spans="1:20" ht="13.15" hidden="1" customHeight="1">
      <c r="A265" s="241"/>
      <c r="B265" s="271" t="s">
        <v>370</v>
      </c>
      <c r="C265" s="267">
        <f t="shared" si="49"/>
        <v>27.396999999999998</v>
      </c>
      <c r="D265" s="253">
        <f t="shared" si="50"/>
        <v>2537473.3382703764</v>
      </c>
      <c r="E265" s="270">
        <f t="shared" si="51"/>
        <v>695191.57048593508</v>
      </c>
      <c r="F265" s="232">
        <f>MIN(F269-F263-F264,D265)</f>
        <v>2537473.3382703764</v>
      </c>
      <c r="G265" s="224">
        <f>F265*C265/100</f>
        <v>695191.57048593508</v>
      </c>
      <c r="H265" s="253">
        <f t="shared" si="52"/>
        <v>0</v>
      </c>
      <c r="I265" s="270">
        <f t="shared" si="53"/>
        <v>0</v>
      </c>
      <c r="J265" s="242"/>
      <c r="K265" s="242"/>
      <c r="L265" s="242"/>
      <c r="M265" s="242"/>
      <c r="N265" s="242"/>
      <c r="O265" s="242"/>
      <c r="P265" s="242"/>
      <c r="Q265" s="242"/>
      <c r="R265" s="242"/>
      <c r="S265" s="242"/>
      <c r="T265" s="242"/>
    </row>
    <row r="266" spans="1:20" ht="13.15" hidden="1" customHeight="1">
      <c r="A266" s="241"/>
      <c r="B266" s="271" t="s">
        <v>371</v>
      </c>
      <c r="C266" s="267">
        <f t="shared" si="49"/>
        <v>22.202000000000002</v>
      </c>
      <c r="D266" s="253">
        <f t="shared" si="50"/>
        <v>1387734.0110500145</v>
      </c>
      <c r="E266" s="270">
        <f t="shared" si="51"/>
        <v>308104.70513332426</v>
      </c>
      <c r="F266" s="232">
        <f>MIN(F269-F263-F264-F265,D266)</f>
        <v>960370.61139294505</v>
      </c>
      <c r="G266" s="224">
        <f t="shared" ref="G266:G267" si="54">F266*C266/100</f>
        <v>213221.48314146168</v>
      </c>
      <c r="H266" s="253">
        <f t="shared" si="52"/>
        <v>427363.39965706947</v>
      </c>
      <c r="I266" s="270">
        <f t="shared" si="53"/>
        <v>94883.221991862578</v>
      </c>
      <c r="J266" s="242"/>
      <c r="K266" s="242"/>
      <c r="L266" s="242"/>
      <c r="M266" s="242"/>
      <c r="N266" s="242"/>
      <c r="O266" s="242"/>
      <c r="P266" s="242"/>
      <c r="Q266" s="242"/>
      <c r="R266" s="242"/>
      <c r="S266" s="242"/>
      <c r="T266" s="242"/>
    </row>
    <row r="267" spans="1:20" ht="13.15" hidden="1" customHeight="1">
      <c r="A267" s="241"/>
      <c r="B267" s="271" t="s">
        <v>372</v>
      </c>
      <c r="C267" s="267">
        <f t="shared" si="49"/>
        <v>14.725</v>
      </c>
      <c r="D267" s="253">
        <f t="shared" si="50"/>
        <v>668151.97534293041</v>
      </c>
      <c r="E267" s="270">
        <f t="shared" si="51"/>
        <v>98385.378369246493</v>
      </c>
      <c r="F267" s="232">
        <f>MIN(F269-F263-F264-F265-F266,D267)</f>
        <v>0</v>
      </c>
      <c r="G267" s="224">
        <f t="shared" si="54"/>
        <v>0</v>
      </c>
      <c r="H267" s="253">
        <f t="shared" si="52"/>
        <v>668151.97534293041</v>
      </c>
      <c r="I267" s="270">
        <f t="shared" si="53"/>
        <v>98385.378369246493</v>
      </c>
      <c r="J267" s="242"/>
      <c r="K267" s="242"/>
      <c r="L267" s="242"/>
      <c r="M267" s="242"/>
      <c r="N267" s="242"/>
      <c r="O267" s="242"/>
      <c r="P267" s="242"/>
      <c r="Q267" s="242"/>
      <c r="R267" s="242"/>
      <c r="S267" s="242"/>
      <c r="T267" s="242"/>
    </row>
    <row r="268" spans="1:20" ht="13.15" hidden="1" customHeight="1">
      <c r="A268" s="241"/>
      <c r="B268" s="242"/>
      <c r="C268" s="242"/>
      <c r="D268" s="225"/>
      <c r="E268" s="225"/>
      <c r="F268" s="225"/>
      <c r="G268" s="225"/>
      <c r="H268" s="225"/>
      <c r="I268" s="225"/>
      <c r="J268" s="242"/>
      <c r="K268" s="242"/>
      <c r="L268" s="242"/>
      <c r="M268" s="242"/>
      <c r="N268" s="242"/>
      <c r="O268" s="242"/>
      <c r="P268" s="242"/>
      <c r="Q268" s="242"/>
      <c r="R268" s="242"/>
      <c r="S268" s="242"/>
      <c r="T268" s="242"/>
    </row>
    <row r="269" spans="1:20" ht="13.15" hidden="1" customHeight="1">
      <c r="A269" s="241"/>
      <c r="B269" s="242" t="s">
        <v>287</v>
      </c>
      <c r="C269" s="242"/>
      <c r="D269" s="253">
        <f>D263+D264+D265+D266+D267</f>
        <v>4919363.3749999991</v>
      </c>
      <c r="E269" s="270">
        <f>E263+E264+E265+E266+E267</f>
        <v>1159682.5097721601</v>
      </c>
      <c r="F269" s="274">
        <f>F257</f>
        <v>3823848</v>
      </c>
      <c r="G269" s="270">
        <f>G263+G264+G265+G266+G267</f>
        <v>966413.90941105108</v>
      </c>
      <c r="H269" s="253">
        <f>H263+H264+H265+H266+H267</f>
        <v>1095515.375</v>
      </c>
      <c r="I269" s="253">
        <f>I262+I263+I264+I265+I266+I267</f>
        <v>193268.60036110907</v>
      </c>
      <c r="J269" s="242"/>
      <c r="K269" s="242"/>
      <c r="L269" s="242"/>
      <c r="M269" s="242"/>
      <c r="N269" s="242"/>
      <c r="O269" s="242"/>
      <c r="P269" s="242"/>
      <c r="Q269" s="242"/>
      <c r="R269" s="242"/>
      <c r="S269" s="242"/>
      <c r="T269" s="242"/>
    </row>
    <row r="270" spans="1:20" ht="13.15" hidden="1" customHeight="1">
      <c r="A270" s="241"/>
      <c r="B270" s="242" t="s">
        <v>363</v>
      </c>
      <c r="C270" s="242"/>
      <c r="D270" s="242"/>
      <c r="E270" s="267">
        <f>E269/D269*100</f>
        <v>23.573833062741791</v>
      </c>
      <c r="F270" s="267"/>
      <c r="G270" s="267">
        <f>G269/F269*100</f>
        <v>25.273334855649367</v>
      </c>
      <c r="H270" s="242"/>
      <c r="I270" s="267">
        <f>I269/H269*100</f>
        <v>17.641797164289827</v>
      </c>
      <c r="J270" s="242"/>
      <c r="K270" s="242"/>
      <c r="L270" s="242"/>
      <c r="M270" s="242"/>
      <c r="N270" s="242"/>
      <c r="O270" s="242"/>
      <c r="P270" s="242"/>
      <c r="Q270" s="242"/>
      <c r="R270" s="242"/>
      <c r="S270" s="242"/>
      <c r="T270" s="242"/>
    </row>
    <row r="271" spans="1:20" ht="13.15" hidden="1" customHeight="1">
      <c r="A271" s="241"/>
      <c r="B271" s="242"/>
      <c r="C271" s="242"/>
      <c r="D271" s="242"/>
      <c r="E271" s="242"/>
      <c r="F271" s="242"/>
      <c r="G271" s="242"/>
      <c r="H271" s="242"/>
      <c r="I271" s="242"/>
      <c r="J271" s="242"/>
      <c r="K271" s="242"/>
      <c r="L271" s="242"/>
      <c r="M271" s="242"/>
      <c r="N271" s="242"/>
      <c r="O271" s="242"/>
      <c r="P271" s="242"/>
      <c r="Q271" s="242"/>
      <c r="R271" s="242"/>
      <c r="S271" s="242"/>
      <c r="T271" s="242"/>
    </row>
    <row r="272" spans="1:20">
      <c r="A272" s="241"/>
      <c r="B272" s="269" t="s">
        <v>401</v>
      </c>
      <c r="C272" s="242"/>
      <c r="D272" s="242"/>
      <c r="E272" s="242"/>
      <c r="F272" s="242"/>
      <c r="G272" s="242"/>
      <c r="H272" s="242"/>
      <c r="I272" s="242"/>
      <c r="J272" s="242"/>
      <c r="K272" s="242"/>
      <c r="L272" s="242"/>
      <c r="M272" s="242"/>
      <c r="N272" s="242"/>
      <c r="O272" s="242"/>
      <c r="P272" s="242"/>
      <c r="Q272" s="242"/>
      <c r="R272" s="242"/>
      <c r="S272" s="242"/>
      <c r="T272" s="242"/>
    </row>
    <row r="273" spans="1:20">
      <c r="A273" s="241"/>
      <c r="B273" s="459" t="str">
        <f>"11,802 X "&amp;TEXT(F26,"#,##0")&amp;" = "&amp;TEXT(F257,"#,##0")</f>
        <v>11,802 X 324 = 3,823,848</v>
      </c>
      <c r="C273" s="242"/>
      <c r="D273" s="242"/>
      <c r="E273" s="242"/>
      <c r="F273" s="242"/>
      <c r="G273" s="242"/>
      <c r="H273" s="242"/>
      <c r="I273" s="242"/>
      <c r="J273" s="242"/>
      <c r="K273" s="242"/>
      <c r="L273" s="242"/>
      <c r="M273" s="242"/>
      <c r="N273" s="242"/>
      <c r="O273" s="242"/>
      <c r="P273" s="242"/>
      <c r="Q273" s="242"/>
      <c r="R273" s="242"/>
      <c r="S273" s="242"/>
      <c r="T273" s="242"/>
    </row>
    <row r="274" spans="1:20">
      <c r="A274" s="241"/>
      <c r="B274" s="242"/>
      <c r="C274" s="242"/>
      <c r="D274" s="242"/>
      <c r="E274" s="242"/>
      <c r="F274" s="242"/>
      <c r="G274" s="242"/>
      <c r="H274" s="242"/>
      <c r="I274" s="242"/>
      <c r="J274" s="242"/>
      <c r="K274" s="242"/>
      <c r="L274" s="242"/>
      <c r="M274" s="242"/>
      <c r="N274" s="242"/>
      <c r="O274" s="242"/>
      <c r="P274" s="242"/>
      <c r="Q274" s="242"/>
      <c r="R274" s="242"/>
      <c r="S274" s="242"/>
      <c r="T274" s="242"/>
    </row>
    <row r="275" spans="1:20">
      <c r="A275" s="241"/>
      <c r="B275" s="242"/>
      <c r="C275" s="242"/>
      <c r="D275" s="242"/>
      <c r="E275" s="242"/>
      <c r="F275" s="242"/>
      <c r="G275" s="242"/>
      <c r="H275" s="242"/>
      <c r="I275" s="242"/>
      <c r="J275" s="242"/>
      <c r="K275" s="242"/>
      <c r="L275" s="242"/>
      <c r="M275" s="242"/>
      <c r="N275" s="242"/>
      <c r="O275" s="242"/>
      <c r="P275" s="242"/>
      <c r="Q275" s="242"/>
      <c r="R275" s="242"/>
      <c r="S275" s="242"/>
      <c r="T275" s="242"/>
    </row>
    <row r="276" spans="1:20">
      <c r="A276" s="241"/>
      <c r="B276" s="242"/>
      <c r="C276" s="242"/>
      <c r="D276" s="293">
        <f>D195/D48</f>
        <v>0</v>
      </c>
      <c r="E276" s="293">
        <f>E195/E49</f>
        <v>0</v>
      </c>
      <c r="F276" s="293">
        <f>F195/F49</f>
        <v>0</v>
      </c>
      <c r="G276" s="293">
        <f>G195/G48</f>
        <v>0</v>
      </c>
      <c r="H276" s="293">
        <f>H195/H48</f>
        <v>0</v>
      </c>
      <c r="I276" s="270"/>
      <c r="J276" s="242"/>
      <c r="K276" s="242"/>
      <c r="L276" s="242"/>
      <c r="M276" s="242"/>
      <c r="N276" s="242"/>
      <c r="O276" s="242"/>
      <c r="P276" s="242"/>
      <c r="Q276" s="242"/>
      <c r="R276" s="242"/>
      <c r="S276" s="242"/>
      <c r="T276" s="242"/>
    </row>
    <row r="277" spans="1:20">
      <c r="A277" s="241"/>
      <c r="B277" s="242"/>
      <c r="C277" s="242"/>
      <c r="D277" s="253">
        <f t="shared" ref="D277" si="55">D46/D48</f>
        <v>66.030145639718825</v>
      </c>
      <c r="E277" s="253">
        <f>E46/E49</f>
        <v>1508.4972419298861</v>
      </c>
      <c r="F277" s="253">
        <f>F46/F49</f>
        <v>15973.797453703701</v>
      </c>
      <c r="G277" s="253">
        <f>G46/G48</f>
        <v>38817.375</v>
      </c>
      <c r="H277" s="253">
        <f>H46/H48</f>
        <v>65269.403508771931</v>
      </c>
      <c r="I277" s="242"/>
      <c r="J277" s="242"/>
      <c r="K277" s="242"/>
      <c r="L277" s="242"/>
      <c r="M277" s="242"/>
      <c r="N277" s="242"/>
      <c r="O277" s="242"/>
      <c r="P277" s="242"/>
      <c r="Q277" s="242"/>
      <c r="R277" s="242"/>
      <c r="S277" s="242"/>
      <c r="T277" s="242"/>
    </row>
    <row r="278" spans="1:20">
      <c r="A278" s="241"/>
      <c r="B278" s="242"/>
      <c r="C278" s="242"/>
      <c r="D278" s="242"/>
      <c r="E278" s="242"/>
      <c r="F278" s="242"/>
      <c r="G278" s="242"/>
      <c r="H278" s="242"/>
      <c r="I278" s="242"/>
      <c r="J278" s="242"/>
      <c r="K278" s="242"/>
      <c r="L278" s="242"/>
      <c r="M278" s="242"/>
      <c r="N278" s="242"/>
      <c r="O278" s="242"/>
      <c r="P278" s="242"/>
      <c r="Q278" s="242"/>
      <c r="R278" s="242"/>
      <c r="S278" s="242"/>
      <c r="T278" s="242"/>
    </row>
    <row r="279" spans="1:20">
      <c r="A279" s="241"/>
      <c r="B279" s="242"/>
      <c r="C279" s="242"/>
      <c r="D279" s="242"/>
      <c r="E279" s="242"/>
      <c r="F279" s="242"/>
      <c r="G279" s="242"/>
      <c r="H279" s="242"/>
      <c r="I279" s="242"/>
      <c r="J279" s="242"/>
      <c r="K279" s="242"/>
      <c r="L279" s="242"/>
      <c r="M279" s="242"/>
      <c r="N279" s="242"/>
      <c r="O279" s="242"/>
      <c r="P279" s="242"/>
      <c r="Q279" s="242"/>
      <c r="R279" s="242"/>
      <c r="S279" s="242"/>
      <c r="T279" s="242"/>
    </row>
    <row r="280" spans="1:20">
      <c r="A280" s="241"/>
      <c r="B280" s="242"/>
      <c r="C280" s="242"/>
      <c r="D280" s="460"/>
      <c r="E280" s="242"/>
      <c r="F280" s="242"/>
      <c r="G280" s="242"/>
      <c r="H280" s="242"/>
      <c r="I280" s="242"/>
      <c r="J280" s="242"/>
      <c r="K280" s="242"/>
      <c r="L280" s="242"/>
      <c r="M280" s="242"/>
      <c r="N280" s="242"/>
      <c r="O280" s="242"/>
      <c r="P280" s="242"/>
      <c r="Q280" s="242"/>
      <c r="R280" s="242"/>
      <c r="S280" s="242"/>
      <c r="T280" s="242"/>
    </row>
    <row r="281" spans="1:20">
      <c r="A281" s="241"/>
      <c r="B281" s="242"/>
      <c r="C281" s="242"/>
      <c r="D281" s="242"/>
      <c r="E281" s="242"/>
      <c r="F281" s="242"/>
      <c r="G281" s="242"/>
      <c r="H281" s="242"/>
      <c r="I281" s="242"/>
      <c r="J281" s="242"/>
      <c r="K281" s="242"/>
      <c r="L281" s="242"/>
      <c r="M281" s="242"/>
      <c r="N281" s="242"/>
      <c r="O281" s="242"/>
      <c r="P281" s="242"/>
      <c r="Q281" s="242"/>
      <c r="R281" s="242"/>
      <c r="S281" s="242"/>
      <c r="T281" s="242"/>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F60"/>
  <sheetViews>
    <sheetView workbookViewId="0">
      <selection activeCell="D5" sqref="D5"/>
    </sheetView>
  </sheetViews>
  <sheetFormatPr defaultRowHeight="12.75"/>
  <cols>
    <col min="2" max="2" width="4.7109375" customWidth="1"/>
    <col min="4" max="4" width="13.28515625" customWidth="1"/>
    <col min="5" max="5" width="14.140625" customWidth="1"/>
    <col min="6" max="6" width="14.85546875" customWidth="1"/>
    <col min="7" max="7" width="11.140625" customWidth="1"/>
    <col min="8" max="8" width="10.28515625" customWidth="1"/>
    <col min="9" max="9" width="11.42578125" customWidth="1"/>
    <col min="10" max="32" width="11.42578125" bestFit="1" customWidth="1"/>
  </cols>
  <sheetData>
    <row r="1" spans="1:32">
      <c r="A1" s="70" t="s">
        <v>463</v>
      </c>
      <c r="G1" s="70" t="s">
        <v>185</v>
      </c>
    </row>
    <row r="3" spans="1:32">
      <c r="D3" s="461">
        <v>2017</v>
      </c>
      <c r="E3" s="461" t="s">
        <v>464</v>
      </c>
      <c r="I3" s="462">
        <v>42736</v>
      </c>
      <c r="J3" s="462">
        <v>42767</v>
      </c>
      <c r="K3" s="462">
        <v>42795</v>
      </c>
      <c r="L3" s="462">
        <v>42826</v>
      </c>
      <c r="M3" s="462">
        <v>42856</v>
      </c>
      <c r="N3" s="462">
        <v>42887</v>
      </c>
      <c r="O3" s="462">
        <v>42917</v>
      </c>
      <c r="P3" s="462">
        <v>42948</v>
      </c>
      <c r="Q3" s="462">
        <v>42979</v>
      </c>
      <c r="R3" s="462">
        <v>43009</v>
      </c>
      <c r="S3" s="462">
        <v>43040</v>
      </c>
      <c r="T3" s="462">
        <v>43070</v>
      </c>
      <c r="U3" s="462">
        <v>43101</v>
      </c>
      <c r="V3" s="462">
        <v>43132</v>
      </c>
      <c r="W3" s="462">
        <v>43160</v>
      </c>
      <c r="X3" s="462">
        <v>43191</v>
      </c>
      <c r="Y3" s="462">
        <v>43221</v>
      </c>
      <c r="Z3" s="462">
        <v>43252</v>
      </c>
      <c r="AA3" s="462">
        <v>43282</v>
      </c>
      <c r="AB3" s="462">
        <v>43313</v>
      </c>
      <c r="AC3" s="462">
        <v>43344</v>
      </c>
      <c r="AD3" s="462">
        <v>43374</v>
      </c>
      <c r="AE3" s="462">
        <v>43405</v>
      </c>
      <c r="AF3" s="462">
        <v>43435</v>
      </c>
    </row>
    <row r="4" spans="1:32">
      <c r="A4" s="70" t="s">
        <v>465</v>
      </c>
      <c r="D4" s="41" t="s">
        <v>466</v>
      </c>
      <c r="E4" s="41" t="s">
        <v>466</v>
      </c>
    </row>
    <row r="5" spans="1:32">
      <c r="A5" t="s">
        <v>162</v>
      </c>
      <c r="D5" s="366">
        <f>SUM(I5:T5)</f>
        <v>120603006.37423767</v>
      </c>
      <c r="E5" s="366">
        <f>SUM(O5:Z5)</f>
        <v>121367845.59522887</v>
      </c>
      <c r="G5" s="41" t="s">
        <v>467</v>
      </c>
      <c r="I5" s="93">
        <v>20539153.954293981</v>
      </c>
      <c r="J5" s="93">
        <v>16920096.895452436</v>
      </c>
      <c r="K5" s="93">
        <v>14522526.748795167</v>
      </c>
      <c r="L5" s="93">
        <v>9197313.5402993709</v>
      </c>
      <c r="M5" s="93">
        <v>5222946.6935753692</v>
      </c>
      <c r="N5" s="93">
        <v>3187789.7966954801</v>
      </c>
      <c r="O5" s="93">
        <v>2446827.8052194281</v>
      </c>
      <c r="P5" s="93">
        <v>2382505.8500252739</v>
      </c>
      <c r="Q5" s="93">
        <v>2726187.3413235671</v>
      </c>
      <c r="R5" s="93">
        <v>7813140.1060121823</v>
      </c>
      <c r="S5" s="93">
        <v>14724702.558143053</v>
      </c>
      <c r="T5" s="93">
        <v>20919815.084402364</v>
      </c>
      <c r="U5" s="93">
        <v>20754124.23687312</v>
      </c>
      <c r="V5" s="93">
        <v>17083215.099112578</v>
      </c>
      <c r="W5" s="93">
        <v>14672743.703363501</v>
      </c>
      <c r="X5" s="93">
        <v>9302012.469644621</v>
      </c>
      <c r="Y5" s="93">
        <v>5272642.0737331426</v>
      </c>
      <c r="Z5" s="93">
        <v>3269929.2673760266</v>
      </c>
      <c r="AA5" s="93">
        <v>2503113.7464417168</v>
      </c>
      <c r="AB5" s="93">
        <v>2373579.958731045</v>
      </c>
      <c r="AC5" s="93">
        <v>2777697.0830165404</v>
      </c>
      <c r="AD5" s="93">
        <v>7900999.9505975991</v>
      </c>
      <c r="AE5" s="93">
        <v>14811734.101325907</v>
      </c>
      <c r="AF5" s="93">
        <v>21128562.449937433</v>
      </c>
    </row>
    <row r="6" spans="1:32">
      <c r="A6" t="s">
        <v>163</v>
      </c>
      <c r="D6" s="366">
        <f t="shared" ref="D6:D23" si="0">SUM(I6:T6)</f>
        <v>48898711.491567887</v>
      </c>
      <c r="E6" s="366">
        <f t="shared" ref="E6:E23" si="1">SUM(O6:Z6)</f>
        <v>49340681.409045003</v>
      </c>
      <c r="G6" s="40" t="s">
        <v>468</v>
      </c>
      <c r="I6" s="93">
        <v>7383061.609425419</v>
      </c>
      <c r="J6" s="93">
        <v>6130099.3895974224</v>
      </c>
      <c r="K6" s="93">
        <v>5375184.3984122081</v>
      </c>
      <c r="L6" s="93">
        <v>3553706.5548426686</v>
      </c>
      <c r="M6" s="93">
        <v>2210765.6797165624</v>
      </c>
      <c r="N6" s="93">
        <v>1611502.9447466936</v>
      </c>
      <c r="O6" s="93">
        <v>1307545.0171005109</v>
      </c>
      <c r="P6" s="93">
        <v>1370674.1112940607</v>
      </c>
      <c r="Q6" s="93">
        <v>1743524.0743583071</v>
      </c>
      <c r="R6" s="93">
        <v>4156430.0978646073</v>
      </c>
      <c r="S6" s="93">
        <v>6271826.3113280721</v>
      </c>
      <c r="T6" s="93">
        <v>7784391.3028813526</v>
      </c>
      <c r="U6" s="93">
        <v>7522685.4006127045</v>
      </c>
      <c r="V6" s="93">
        <v>6254332.8744894061</v>
      </c>
      <c r="W6" s="93">
        <v>5467385.6317083649</v>
      </c>
      <c r="X6" s="93">
        <v>3620529.9241601545</v>
      </c>
      <c r="Y6" s="93">
        <v>2240995.8953844355</v>
      </c>
      <c r="Z6" s="93">
        <v>1600360.7678630196</v>
      </c>
      <c r="AA6" s="93">
        <v>1290293.6456406808</v>
      </c>
      <c r="AB6" s="93">
        <v>1338607.2989859472</v>
      </c>
      <c r="AC6" s="93">
        <v>1698706.3898111377</v>
      </c>
      <c r="AD6" s="93">
        <v>4158338.3477812991</v>
      </c>
      <c r="AE6" s="93">
        <v>6341332.5565068396</v>
      </c>
      <c r="AF6" s="93">
        <v>7895347.1964500844</v>
      </c>
    </row>
    <row r="7" spans="1:32">
      <c r="A7" t="s">
        <v>164</v>
      </c>
      <c r="D7" s="366">
        <f t="shared" si="0"/>
        <v>5913944.7947011888</v>
      </c>
      <c r="E7" s="366">
        <f t="shared" si="1"/>
        <v>5903971.1833627746</v>
      </c>
      <c r="G7" s="40" t="s">
        <v>469</v>
      </c>
      <c r="I7" s="93">
        <v>640881.00277145219</v>
      </c>
      <c r="J7" s="93">
        <v>557961.31656436168</v>
      </c>
      <c r="K7" s="93">
        <v>523118.45108857285</v>
      </c>
      <c r="L7" s="93">
        <v>393503.3534489731</v>
      </c>
      <c r="M7" s="93">
        <v>315534.04494058399</v>
      </c>
      <c r="N7" s="93">
        <v>318649.56690693222</v>
      </c>
      <c r="O7" s="93">
        <v>319707.83948716987</v>
      </c>
      <c r="P7" s="93">
        <v>369882.16347352543</v>
      </c>
      <c r="Q7" s="93">
        <v>389233.82574263983</v>
      </c>
      <c r="R7" s="93">
        <v>677692.02061458037</v>
      </c>
      <c r="S7" s="93">
        <v>717900.68829194573</v>
      </c>
      <c r="T7" s="93">
        <v>689880.52137045178</v>
      </c>
      <c r="U7" s="93">
        <v>638378.54659301334</v>
      </c>
      <c r="V7" s="93">
        <v>555845.69403725909</v>
      </c>
      <c r="W7" s="93">
        <v>520168.75648937997</v>
      </c>
      <c r="X7" s="93">
        <v>392982.40505712363</v>
      </c>
      <c r="Y7" s="93">
        <v>315637.02750747011</v>
      </c>
      <c r="Z7" s="93">
        <v>316661.69469821517</v>
      </c>
      <c r="AA7" s="93">
        <v>325350.89886638295</v>
      </c>
      <c r="AB7" s="93">
        <v>380933.90608100279</v>
      </c>
      <c r="AC7" s="93">
        <v>394066.09947298694</v>
      </c>
      <c r="AD7" s="93">
        <v>686800.68773480505</v>
      </c>
      <c r="AE7" s="93">
        <v>721070.3845688086</v>
      </c>
      <c r="AF7" s="93">
        <v>689139.26396589819</v>
      </c>
    </row>
    <row r="8" spans="1:32">
      <c r="A8" t="s">
        <v>165</v>
      </c>
      <c r="D8" s="366">
        <f t="shared" si="0"/>
        <v>955018.70616187633</v>
      </c>
      <c r="E8" s="366">
        <f t="shared" si="1"/>
        <v>953451.69759650994</v>
      </c>
      <c r="G8" s="40" t="s">
        <v>470</v>
      </c>
      <c r="I8" s="93">
        <v>127430.85075436343</v>
      </c>
      <c r="J8" s="93">
        <v>118117.06639951833</v>
      </c>
      <c r="K8" s="93">
        <v>108158.86870162336</v>
      </c>
      <c r="L8" s="93">
        <v>79591.339825851595</v>
      </c>
      <c r="M8" s="93">
        <v>60682.968490124033</v>
      </c>
      <c r="N8" s="93">
        <v>50564.661817979671</v>
      </c>
      <c r="O8" s="93">
        <v>41734.407792386133</v>
      </c>
      <c r="P8" s="93">
        <v>28985.907454890894</v>
      </c>
      <c r="Q8" s="93">
        <v>29010.983689920045</v>
      </c>
      <c r="R8" s="93">
        <v>69528.032706353464</v>
      </c>
      <c r="S8" s="93">
        <v>104236.86697702721</v>
      </c>
      <c r="T8" s="93">
        <v>136976.75155183821</v>
      </c>
      <c r="U8" s="93">
        <v>127051.02711070004</v>
      </c>
      <c r="V8" s="93">
        <v>117864.10210448205</v>
      </c>
      <c r="W8" s="93">
        <v>107748.35418732991</v>
      </c>
      <c r="X8" s="93">
        <v>79563.372560549586</v>
      </c>
      <c r="Y8" s="93">
        <v>60657.15287015168</v>
      </c>
      <c r="Z8" s="93">
        <v>50094.738590880777</v>
      </c>
      <c r="AA8" s="93">
        <v>42246.792070750947</v>
      </c>
      <c r="AB8" s="93">
        <v>29682.219806336463</v>
      </c>
      <c r="AC8" s="93">
        <v>29238.230315005323</v>
      </c>
      <c r="AD8" s="93">
        <v>70302.277301777867</v>
      </c>
      <c r="AE8" s="93">
        <v>104676.95885491413</v>
      </c>
      <c r="AF8" s="93">
        <v>136965.28740546544</v>
      </c>
    </row>
    <row r="9" spans="1:32">
      <c r="A9" t="s">
        <v>166</v>
      </c>
      <c r="D9" s="366">
        <f t="shared" si="0"/>
        <v>29395863.973832738</v>
      </c>
      <c r="E9" s="366">
        <f t="shared" si="1"/>
        <v>29444696.720373489</v>
      </c>
      <c r="G9" s="40" t="s">
        <v>471</v>
      </c>
      <c r="I9" s="93">
        <v>3231444.7220111163</v>
      </c>
      <c r="J9" s="93">
        <v>3503435.2838310488</v>
      </c>
      <c r="K9" s="93">
        <v>2915517.9211498541</v>
      </c>
      <c r="L9" s="93">
        <v>2936559.7151487572</v>
      </c>
      <c r="M9" s="93">
        <v>2400940.3557914756</v>
      </c>
      <c r="N9" s="93">
        <v>2084993.7921222211</v>
      </c>
      <c r="O9" s="93">
        <v>1810389.4969431651</v>
      </c>
      <c r="P9" s="93">
        <v>1622602.8393433923</v>
      </c>
      <c r="Q9" s="93">
        <v>1713150.749634997</v>
      </c>
      <c r="R9" s="93">
        <v>1871149.8910683426</v>
      </c>
      <c r="S9" s="93">
        <v>2563087.1091650268</v>
      </c>
      <c r="T9" s="93">
        <v>2742592.0976233408</v>
      </c>
      <c r="U9" s="93">
        <v>3242869.0157049587</v>
      </c>
      <c r="V9" s="93">
        <v>3514583.4739140309</v>
      </c>
      <c r="W9" s="93">
        <v>2923818.0635665972</v>
      </c>
      <c r="X9" s="93">
        <v>2942858.1490322985</v>
      </c>
      <c r="Y9" s="93">
        <v>2406604.3096446763</v>
      </c>
      <c r="Z9" s="93">
        <v>2090991.5247326605</v>
      </c>
      <c r="AA9" s="93">
        <v>1816495.9640500718</v>
      </c>
      <c r="AB9" s="93">
        <v>1628630.3952178734</v>
      </c>
      <c r="AC9" s="93">
        <v>1718964.4747314525</v>
      </c>
      <c r="AD9" s="93">
        <v>1876669.546750033</v>
      </c>
      <c r="AE9" s="93">
        <v>2568299.1839612834</v>
      </c>
      <c r="AF9" s="93">
        <v>2747308.7423071396</v>
      </c>
    </row>
    <row r="10" spans="1:32">
      <c r="A10" t="s">
        <v>167</v>
      </c>
      <c r="D10" s="366">
        <f t="shared" si="0"/>
        <v>47979303</v>
      </c>
      <c r="E10" s="366">
        <f t="shared" si="1"/>
        <v>48255353</v>
      </c>
      <c r="G10" s="40" t="s">
        <v>472</v>
      </c>
      <c r="I10" s="93">
        <v>4709037</v>
      </c>
      <c r="J10" s="93">
        <v>4797603</v>
      </c>
      <c r="K10" s="93">
        <v>4318999</v>
      </c>
      <c r="L10" s="93">
        <v>4344578</v>
      </c>
      <c r="M10" s="93">
        <v>3924903</v>
      </c>
      <c r="N10" s="93">
        <v>3598917</v>
      </c>
      <c r="O10" s="93">
        <v>3491074</v>
      </c>
      <c r="P10" s="93">
        <v>3320518</v>
      </c>
      <c r="Q10" s="93">
        <v>3456088</v>
      </c>
      <c r="R10" s="93">
        <v>3520570</v>
      </c>
      <c r="S10" s="93">
        <v>4094156</v>
      </c>
      <c r="T10" s="93">
        <v>4402860</v>
      </c>
      <c r="U10" s="93">
        <v>4756082</v>
      </c>
      <c r="V10" s="93">
        <v>4844249</v>
      </c>
      <c r="W10" s="93">
        <v>4365230</v>
      </c>
      <c r="X10" s="93">
        <v>4390387</v>
      </c>
      <c r="Y10" s="93">
        <v>3970281</v>
      </c>
      <c r="Z10" s="93">
        <v>3643858</v>
      </c>
      <c r="AA10" s="93">
        <v>3535571</v>
      </c>
      <c r="AB10" s="93">
        <v>3364569</v>
      </c>
      <c r="AC10" s="93">
        <v>3499689</v>
      </c>
      <c r="AD10" s="93">
        <v>3563718</v>
      </c>
      <c r="AE10" s="93">
        <v>4136850</v>
      </c>
      <c r="AF10" s="93">
        <v>4445098</v>
      </c>
    </row>
    <row r="11" spans="1:32">
      <c r="A11" t="s">
        <v>168</v>
      </c>
      <c r="D11" s="366">
        <f t="shared" si="0"/>
        <v>57044106.281610668</v>
      </c>
      <c r="E11" s="366">
        <f t="shared" si="1"/>
        <v>57404816.427227564</v>
      </c>
      <c r="G11" s="40" t="s">
        <v>473</v>
      </c>
      <c r="I11" s="93">
        <v>9514101.8628793154</v>
      </c>
      <c r="J11" s="93">
        <v>7470783.9988181628</v>
      </c>
      <c r="K11" s="93">
        <v>6713112.4783820938</v>
      </c>
      <c r="L11" s="93">
        <v>4377953.8286019424</v>
      </c>
      <c r="M11" s="93">
        <v>2578716.322836482</v>
      </c>
      <c r="N11" s="93">
        <v>1683683.7165846773</v>
      </c>
      <c r="O11" s="93">
        <v>1285116.0492077025</v>
      </c>
      <c r="P11" s="93">
        <v>1131484.6330529049</v>
      </c>
      <c r="Q11" s="93">
        <v>1387722.2079799729</v>
      </c>
      <c r="R11" s="93">
        <v>3902014.6364317299</v>
      </c>
      <c r="S11" s="93">
        <v>7102395.034131947</v>
      </c>
      <c r="T11" s="93">
        <v>9897021.5127037335</v>
      </c>
      <c r="U11" s="93">
        <v>9601079.9958335701</v>
      </c>
      <c r="V11" s="93">
        <v>7555586.6243921099</v>
      </c>
      <c r="W11" s="93">
        <v>6805345.4533831188</v>
      </c>
      <c r="X11" s="93">
        <v>4424089.5788743403</v>
      </c>
      <c r="Y11" s="93">
        <v>2619044.2233345704</v>
      </c>
      <c r="Z11" s="93">
        <v>1693916.4779018601</v>
      </c>
      <c r="AA11" s="93">
        <v>1281908.3137982571</v>
      </c>
      <c r="AB11" s="93">
        <v>1171502.2398351245</v>
      </c>
      <c r="AC11" s="93">
        <v>1410804.4840321864</v>
      </c>
      <c r="AD11" s="93">
        <v>3941352.3632103554</v>
      </c>
      <c r="AE11" s="93">
        <v>7242990.7587261163</v>
      </c>
      <c r="AF11" s="93">
        <v>10022464.361667098</v>
      </c>
    </row>
    <row r="12" spans="1:32">
      <c r="A12" t="s">
        <v>169</v>
      </c>
      <c r="D12" s="366">
        <f t="shared" si="0"/>
        <v>23989902.607913066</v>
      </c>
      <c r="E12" s="366">
        <f t="shared" si="1"/>
        <v>24089091.446008727</v>
      </c>
      <c r="G12" s="40" t="s">
        <v>474</v>
      </c>
      <c r="I12" s="93">
        <v>3177387.3558333493</v>
      </c>
      <c r="J12" s="93">
        <v>2598963.3698299034</v>
      </c>
      <c r="K12" s="93">
        <v>2414659.9665864157</v>
      </c>
      <c r="L12" s="93">
        <v>1614066.3043475256</v>
      </c>
      <c r="M12" s="93">
        <v>1086473.1683608806</v>
      </c>
      <c r="N12" s="93">
        <v>1028882.4749946276</v>
      </c>
      <c r="O12" s="93">
        <v>1067414.7582913586</v>
      </c>
      <c r="P12" s="93">
        <v>1171435.0649503814</v>
      </c>
      <c r="Q12" s="93">
        <v>1143524.5452730181</v>
      </c>
      <c r="R12" s="93">
        <v>2185333.0333718611</v>
      </c>
      <c r="S12" s="93">
        <v>2989575.3726550182</v>
      </c>
      <c r="T12" s="93">
        <v>3512187.1934187273</v>
      </c>
      <c r="U12" s="93">
        <v>3219918.3889102633</v>
      </c>
      <c r="V12" s="93">
        <v>2623582.3626994411</v>
      </c>
      <c r="W12" s="93">
        <v>2428046.7583606453</v>
      </c>
      <c r="X12" s="93">
        <v>1618846.4989778216</v>
      </c>
      <c r="Y12" s="93">
        <v>1094588.6871612589</v>
      </c>
      <c r="Z12" s="93">
        <v>1034638.7819389277</v>
      </c>
      <c r="AA12" s="93">
        <v>1092711.2900169746</v>
      </c>
      <c r="AB12" s="93">
        <v>1227842.2586834403</v>
      </c>
      <c r="AC12" s="93">
        <v>1186917.1672617504</v>
      </c>
      <c r="AD12" s="93">
        <v>2260243.9319808972</v>
      </c>
      <c r="AE12" s="93">
        <v>3061690.6091509736</v>
      </c>
      <c r="AF12" s="93">
        <v>3575131.2756971521</v>
      </c>
    </row>
    <row r="13" spans="1:32">
      <c r="A13" t="s">
        <v>170</v>
      </c>
      <c r="D13" s="366">
        <f t="shared" si="0"/>
        <v>333779.87334239366</v>
      </c>
      <c r="E13" s="366">
        <f t="shared" si="1"/>
        <v>326919.35379814258</v>
      </c>
      <c r="G13" s="40" t="s">
        <v>475</v>
      </c>
      <c r="I13" s="93">
        <v>37012.313715498472</v>
      </c>
      <c r="J13" s="93">
        <v>30917.588755213972</v>
      </c>
      <c r="K13" s="93">
        <v>29329.670816051708</v>
      </c>
      <c r="L13" s="93">
        <v>22691.155125218316</v>
      </c>
      <c r="M13" s="93">
        <v>17235.413595102887</v>
      </c>
      <c r="N13" s="93">
        <v>17239.727217307576</v>
      </c>
      <c r="O13" s="93">
        <v>17316.403900386395</v>
      </c>
      <c r="P13" s="93">
        <v>18840.294821416799</v>
      </c>
      <c r="Q13" s="93">
        <v>20303.381787919738</v>
      </c>
      <c r="R13" s="93">
        <v>39332.835036719007</v>
      </c>
      <c r="S13" s="93">
        <v>43821.212711655244</v>
      </c>
      <c r="T13" s="93">
        <v>39739.875859903492</v>
      </c>
      <c r="U13" s="93">
        <v>35676.115260825187</v>
      </c>
      <c r="V13" s="93">
        <v>29761.227048662484</v>
      </c>
      <c r="W13" s="93">
        <v>28083.527508263782</v>
      </c>
      <c r="X13" s="93">
        <v>21695.475581781982</v>
      </c>
      <c r="Y13" s="93">
        <v>16335.865029545284</v>
      </c>
      <c r="Z13" s="93">
        <v>16013.139251063169</v>
      </c>
      <c r="AA13" s="93">
        <v>16237.623665142928</v>
      </c>
      <c r="AB13" s="93">
        <v>17754.169687605252</v>
      </c>
      <c r="AC13" s="93">
        <v>18949.643304371355</v>
      </c>
      <c r="AD13" s="93">
        <v>37494.189541508844</v>
      </c>
      <c r="AE13" s="93">
        <v>42077.616889632023</v>
      </c>
      <c r="AF13" s="93">
        <v>38279.926413216475</v>
      </c>
    </row>
    <row r="14" spans="1:32">
      <c r="A14" t="s">
        <v>171</v>
      </c>
      <c r="D14" s="366">
        <f t="shared" si="0"/>
        <v>2614389.9958663373</v>
      </c>
      <c r="E14" s="366">
        <f t="shared" si="1"/>
        <v>2613786.737859224</v>
      </c>
      <c r="G14" s="40" t="s">
        <v>476</v>
      </c>
      <c r="I14" s="93">
        <v>254179.80460927024</v>
      </c>
      <c r="J14" s="93">
        <v>239381.58720750039</v>
      </c>
      <c r="K14" s="93">
        <v>193127.84470799158</v>
      </c>
      <c r="L14" s="93">
        <v>203377.99211402726</v>
      </c>
      <c r="M14" s="93">
        <v>240151.04353051991</v>
      </c>
      <c r="N14" s="93">
        <v>257346.31895032356</v>
      </c>
      <c r="O14" s="93">
        <v>230959.07616856531</v>
      </c>
      <c r="P14" s="93">
        <v>188297.50298087517</v>
      </c>
      <c r="Q14" s="93">
        <v>174570.66272652926</v>
      </c>
      <c r="R14" s="93">
        <v>189784.10867210224</v>
      </c>
      <c r="S14" s="93">
        <v>225775.57664727548</v>
      </c>
      <c r="T14" s="93">
        <v>217438.47755135683</v>
      </c>
      <c r="U14" s="93">
        <v>254209.99384026226</v>
      </c>
      <c r="V14" s="93">
        <v>239331.99108279002</v>
      </c>
      <c r="W14" s="93">
        <v>193008.54314867454</v>
      </c>
      <c r="X14" s="93">
        <v>203212.42006796476</v>
      </c>
      <c r="Y14" s="93">
        <v>239923.93526958875</v>
      </c>
      <c r="Z14" s="93">
        <v>257274.44970323952</v>
      </c>
      <c r="AA14" s="93">
        <v>231009.19538301771</v>
      </c>
      <c r="AB14" s="93">
        <v>188395.52055801812</v>
      </c>
      <c r="AC14" s="93">
        <v>174665.56272418582</v>
      </c>
      <c r="AD14" s="93">
        <v>189864.73236239358</v>
      </c>
      <c r="AE14" s="93">
        <v>225794.97160276381</v>
      </c>
      <c r="AF14" s="93">
        <v>217432.58911986192</v>
      </c>
    </row>
    <row r="15" spans="1:32">
      <c r="A15" t="s">
        <v>172</v>
      </c>
      <c r="D15" s="366">
        <f t="shared" si="0"/>
        <v>1470746.435767022</v>
      </c>
      <c r="E15" s="366">
        <f t="shared" si="1"/>
        <v>1497016.3715791935</v>
      </c>
      <c r="G15" s="40" t="s">
        <v>477</v>
      </c>
      <c r="I15" s="93">
        <v>131991.61411909238</v>
      </c>
      <c r="J15" s="93">
        <v>128596.28519446756</v>
      </c>
      <c r="K15" s="93">
        <v>120159.5329053991</v>
      </c>
      <c r="L15" s="93">
        <v>134963.14557591925</v>
      </c>
      <c r="M15" s="93">
        <v>116753.73213672273</v>
      </c>
      <c r="N15" s="93">
        <v>117299.43395478259</v>
      </c>
      <c r="O15" s="93">
        <v>116242.82476289646</v>
      </c>
      <c r="P15" s="93">
        <v>111694.8441504143</v>
      </c>
      <c r="Q15" s="93">
        <v>119471.54264055613</v>
      </c>
      <c r="R15" s="93">
        <v>116890.49697689014</v>
      </c>
      <c r="S15" s="93">
        <v>131089.19534444719</v>
      </c>
      <c r="T15" s="93">
        <v>125593.78800543386</v>
      </c>
      <c r="U15" s="93">
        <v>136696.4057554527</v>
      </c>
      <c r="V15" s="93">
        <v>132984.12284527457</v>
      </c>
      <c r="W15" s="93">
        <v>124417.48419559014</v>
      </c>
      <c r="X15" s="93">
        <v>139450.4832861672</v>
      </c>
      <c r="Y15" s="93">
        <v>120924.86354126925</v>
      </c>
      <c r="Z15" s="93">
        <v>121560.32007480165</v>
      </c>
      <c r="AA15" s="93">
        <v>120448.86688804864</v>
      </c>
      <c r="AB15" s="93">
        <v>115649.83807937861</v>
      </c>
      <c r="AC15" s="93">
        <v>123501.22435078137</v>
      </c>
      <c r="AD15" s="93">
        <v>120773.06149794227</v>
      </c>
      <c r="AE15" s="93">
        <v>134850.34523647366</v>
      </c>
      <c r="AF15" s="93">
        <v>129374.60614476172</v>
      </c>
    </row>
    <row r="16" spans="1:32">
      <c r="A16" t="s">
        <v>173</v>
      </c>
      <c r="D16" s="366">
        <f t="shared" si="0"/>
        <v>38478446</v>
      </c>
      <c r="E16" s="366">
        <f t="shared" si="1"/>
        <v>38888347</v>
      </c>
      <c r="G16" s="40" t="s">
        <v>478</v>
      </c>
      <c r="I16" s="93">
        <v>4303184</v>
      </c>
      <c r="J16" s="93">
        <v>3756098</v>
      </c>
      <c r="K16" s="93">
        <v>3862411</v>
      </c>
      <c r="L16" s="93">
        <v>3291227</v>
      </c>
      <c r="M16" s="93">
        <v>2740119</v>
      </c>
      <c r="N16" s="93">
        <v>2745456</v>
      </c>
      <c r="O16" s="93">
        <v>2369114</v>
      </c>
      <c r="P16" s="93">
        <v>2681793</v>
      </c>
      <c r="Q16" s="93">
        <v>2700350</v>
      </c>
      <c r="R16" s="93">
        <v>3079906</v>
      </c>
      <c r="S16" s="93">
        <v>2945731</v>
      </c>
      <c r="T16" s="93">
        <v>4003057</v>
      </c>
      <c r="U16" s="93">
        <v>4260473</v>
      </c>
      <c r="V16" s="93">
        <v>3775521</v>
      </c>
      <c r="W16" s="93">
        <v>3937156</v>
      </c>
      <c r="X16" s="93">
        <v>3396141</v>
      </c>
      <c r="Y16" s="93">
        <v>2861806</v>
      </c>
      <c r="Z16" s="93">
        <v>2877299</v>
      </c>
      <c r="AA16" s="93">
        <v>2492773</v>
      </c>
      <c r="AB16" s="93">
        <v>2777094</v>
      </c>
      <c r="AC16" s="93">
        <v>2761430</v>
      </c>
      <c r="AD16" s="93">
        <v>3105166</v>
      </c>
      <c r="AE16" s="93">
        <v>2930604</v>
      </c>
      <c r="AF16" s="93">
        <v>3957405</v>
      </c>
    </row>
    <row r="17" spans="1:32">
      <c r="A17" t="s">
        <v>174</v>
      </c>
      <c r="D17" s="366">
        <f t="shared" si="0"/>
        <v>48812133.099092022</v>
      </c>
      <c r="E17" s="366">
        <f t="shared" si="1"/>
        <v>49094985.154803127</v>
      </c>
      <c r="G17" s="40" t="s">
        <v>479</v>
      </c>
      <c r="I17" s="93">
        <v>8374980.5260244375</v>
      </c>
      <c r="J17" s="93">
        <v>6207064.1750561334</v>
      </c>
      <c r="K17" s="93">
        <v>5589296.9783120025</v>
      </c>
      <c r="L17" s="93">
        <v>4054615.0363673749</v>
      </c>
      <c r="M17" s="93">
        <v>2505185.2751667267</v>
      </c>
      <c r="N17" s="93">
        <v>1572878.8100547183</v>
      </c>
      <c r="O17" s="93">
        <v>1325427.4413419396</v>
      </c>
      <c r="P17" s="93">
        <v>1219215.1048925431</v>
      </c>
      <c r="Q17" s="93">
        <v>1223759.6054535145</v>
      </c>
      <c r="R17" s="93">
        <v>2876910.6227755491</v>
      </c>
      <c r="S17" s="93">
        <v>5630529.3904014314</v>
      </c>
      <c r="T17" s="93">
        <v>8232270.1332456488</v>
      </c>
      <c r="U17" s="93">
        <v>8440391.5742704403</v>
      </c>
      <c r="V17" s="93">
        <v>6268731.1198335513</v>
      </c>
      <c r="W17" s="93">
        <v>5659886.4014141252</v>
      </c>
      <c r="X17" s="93">
        <v>4101562.2576902532</v>
      </c>
      <c r="Y17" s="93">
        <v>2531197.6091153803</v>
      </c>
      <c r="Z17" s="93">
        <v>1585103.8943687505</v>
      </c>
      <c r="AA17" s="93">
        <v>1333520.965856181</v>
      </c>
      <c r="AB17" s="93">
        <v>1223771.0696694741</v>
      </c>
      <c r="AC17" s="93">
        <v>1241805.7137149577</v>
      </c>
      <c r="AD17" s="93">
        <v>2897532.4745738409</v>
      </c>
      <c r="AE17" s="93">
        <v>5684955.1861954629</v>
      </c>
      <c r="AF17" s="93">
        <v>8311490.3344619889</v>
      </c>
    </row>
    <row r="18" spans="1:32">
      <c r="A18" t="s">
        <v>175</v>
      </c>
      <c r="D18" s="366">
        <f t="shared" si="0"/>
        <v>26721708.192624412</v>
      </c>
      <c r="E18" s="366">
        <f t="shared" si="1"/>
        <v>26801747.25815706</v>
      </c>
      <c r="G18" s="40" t="s">
        <v>480</v>
      </c>
      <c r="I18" s="93">
        <v>4307222.0237066243</v>
      </c>
      <c r="J18" s="93">
        <v>3248759.8730324679</v>
      </c>
      <c r="K18" s="93">
        <v>2919133.7013142742</v>
      </c>
      <c r="L18" s="93">
        <v>2095018.3031498196</v>
      </c>
      <c r="M18" s="93">
        <v>1335113.4795622064</v>
      </c>
      <c r="N18" s="93">
        <v>926556.994855133</v>
      </c>
      <c r="O18" s="93">
        <v>927556.54600440047</v>
      </c>
      <c r="P18" s="93">
        <v>946874.85348241683</v>
      </c>
      <c r="Q18" s="93">
        <v>972703.2048561502</v>
      </c>
      <c r="R18" s="93">
        <v>1834890.7853583405</v>
      </c>
      <c r="S18" s="93">
        <v>2998596.7405377757</v>
      </c>
      <c r="T18" s="93">
        <v>4209281.6867648084</v>
      </c>
      <c r="U18" s="93">
        <v>4357903.6431671446</v>
      </c>
      <c r="V18" s="93">
        <v>3265502.0660425387</v>
      </c>
      <c r="W18" s="93">
        <v>2922341.7142625265</v>
      </c>
      <c r="X18" s="93">
        <v>2097581.1973318085</v>
      </c>
      <c r="Y18" s="93">
        <v>1338601.6555230182</v>
      </c>
      <c r="Z18" s="93">
        <v>929913.16482613212</v>
      </c>
      <c r="AA18" s="93">
        <v>933302.12315106683</v>
      </c>
      <c r="AB18" s="93">
        <v>953940.15757359168</v>
      </c>
      <c r="AC18" s="93">
        <v>976883.95907605649</v>
      </c>
      <c r="AD18" s="93">
        <v>1848581.968412427</v>
      </c>
      <c r="AE18" s="93">
        <v>3018841.2098437417</v>
      </c>
      <c r="AF18" s="93">
        <v>4239493.2321045529</v>
      </c>
    </row>
    <row r="19" spans="1:32">
      <c r="A19" t="s">
        <v>176</v>
      </c>
      <c r="D19" s="366">
        <f t="shared" si="0"/>
        <v>4376946.997700423</v>
      </c>
      <c r="E19" s="366">
        <f t="shared" si="1"/>
        <v>4403483.9699164135</v>
      </c>
      <c r="G19" s="40" t="s">
        <v>481</v>
      </c>
      <c r="I19" s="93">
        <v>446706.65287285304</v>
      </c>
      <c r="J19" s="93">
        <v>402688.04559406079</v>
      </c>
      <c r="K19" s="93">
        <v>368107.0922908872</v>
      </c>
      <c r="L19" s="93">
        <v>304626.47480626398</v>
      </c>
      <c r="M19" s="93">
        <v>254318.85537437929</v>
      </c>
      <c r="N19" s="93">
        <v>243074.68156271151</v>
      </c>
      <c r="O19" s="93">
        <v>276146.0192208364</v>
      </c>
      <c r="P19" s="93">
        <v>306809.48961505096</v>
      </c>
      <c r="Q19" s="93">
        <v>290469.96165619127</v>
      </c>
      <c r="R19" s="93">
        <v>456329.30222165451</v>
      </c>
      <c r="S19" s="93">
        <v>514378.4685255005</v>
      </c>
      <c r="T19" s="93">
        <v>513291.95396003313</v>
      </c>
      <c r="U19" s="93">
        <v>451423.03093110281</v>
      </c>
      <c r="V19" s="93">
        <v>407777.08756694384</v>
      </c>
      <c r="W19" s="93">
        <v>373062.63973023562</v>
      </c>
      <c r="X19" s="93">
        <v>309076.7226992973</v>
      </c>
      <c r="Y19" s="93">
        <v>257707.5961110355</v>
      </c>
      <c r="Z19" s="93">
        <v>247011.69767853196</v>
      </c>
      <c r="AA19" s="93">
        <v>281110.30825570464</v>
      </c>
      <c r="AB19" s="93">
        <v>312438.58800967946</v>
      </c>
      <c r="AC19" s="93">
        <v>292384.91768276988</v>
      </c>
      <c r="AD19" s="93">
        <v>464219.00340515433</v>
      </c>
      <c r="AE19" s="93">
        <v>521990.26875272189</v>
      </c>
      <c r="AF19" s="93">
        <v>520686.76884592464</v>
      </c>
    </row>
    <row r="20" spans="1:32">
      <c r="A20" t="s">
        <v>177</v>
      </c>
      <c r="D20" s="366">
        <f t="shared" si="0"/>
        <v>3840980.639651644</v>
      </c>
      <c r="E20" s="366">
        <f t="shared" si="1"/>
        <v>3837417.3608052167</v>
      </c>
      <c r="G20" s="40" t="s">
        <v>482</v>
      </c>
      <c r="I20" s="93">
        <v>362425.10080315662</v>
      </c>
      <c r="J20" s="93">
        <v>307496.01198615402</v>
      </c>
      <c r="K20" s="93">
        <v>284233.79801031493</v>
      </c>
      <c r="L20" s="93">
        <v>257858.15824073259</v>
      </c>
      <c r="M20" s="93">
        <v>205024.28027869569</v>
      </c>
      <c r="N20" s="93">
        <v>186004.29802558053</v>
      </c>
      <c r="O20" s="93">
        <v>213989.01604734914</v>
      </c>
      <c r="P20" s="93">
        <v>250050.88018281065</v>
      </c>
      <c r="Q20" s="93">
        <v>454817.29140787257</v>
      </c>
      <c r="R20" s="93">
        <v>470942.67693463154</v>
      </c>
      <c r="S20" s="93">
        <v>452934.65121024649</v>
      </c>
      <c r="T20" s="93">
        <v>395204.47652409918</v>
      </c>
      <c r="U20" s="93">
        <v>360688.78110256052</v>
      </c>
      <c r="V20" s="93">
        <v>307592.7688180629</v>
      </c>
      <c r="W20" s="93">
        <v>283760.79930024676</v>
      </c>
      <c r="X20" s="93">
        <v>257274.76368025711</v>
      </c>
      <c r="Y20" s="93">
        <v>204007.74576992405</v>
      </c>
      <c r="Z20" s="93">
        <v>186153.50982715591</v>
      </c>
      <c r="AA20" s="93">
        <v>214136.22971539237</v>
      </c>
      <c r="AB20" s="93">
        <v>251372.28047583881</v>
      </c>
      <c r="AC20" s="93">
        <v>450342.14663037681</v>
      </c>
      <c r="AD20" s="93">
        <v>474088.90662565781</v>
      </c>
      <c r="AE20" s="93">
        <v>453731.59084519156</v>
      </c>
      <c r="AF20" s="93">
        <v>395418.6805471644</v>
      </c>
    </row>
    <row r="21" spans="1:32">
      <c r="A21" t="s">
        <v>178</v>
      </c>
      <c r="D21" s="366">
        <f t="shared" si="0"/>
        <v>264111.20747897925</v>
      </c>
      <c r="E21" s="366">
        <f t="shared" si="1"/>
        <v>264209.63204698724</v>
      </c>
      <c r="G21" s="40" t="s">
        <v>483</v>
      </c>
      <c r="I21" s="93">
        <v>468.25710825309039</v>
      </c>
      <c r="J21" s="93">
        <v>2.1049790513101603</v>
      </c>
      <c r="K21" s="93">
        <v>5.1711885415857193</v>
      </c>
      <c r="L21" s="93">
        <v>654.58870270212083</v>
      </c>
      <c r="M21" s="93">
        <v>3785.5438841938721</v>
      </c>
      <c r="N21" s="93">
        <v>4678.4473679101557</v>
      </c>
      <c r="O21" s="93">
        <v>9515.8854451049301</v>
      </c>
      <c r="P21" s="93">
        <v>28982.961671997888</v>
      </c>
      <c r="Q21" s="93">
        <v>132264.45892100519</v>
      </c>
      <c r="R21" s="93">
        <v>75030.387540737502</v>
      </c>
      <c r="S21" s="93">
        <v>6305.7847849549999</v>
      </c>
      <c r="T21" s="93">
        <v>2417.6158845266073</v>
      </c>
      <c r="U21" s="93">
        <v>475.51616943179556</v>
      </c>
      <c r="V21" s="93">
        <v>3.7298048245914437</v>
      </c>
      <c r="W21" s="93">
        <v>4.5465709156682088</v>
      </c>
      <c r="X21" s="93">
        <v>639.08176548659958</v>
      </c>
      <c r="Y21" s="93">
        <v>3789.6991348527672</v>
      </c>
      <c r="Z21" s="93">
        <v>4779.9643531487063</v>
      </c>
      <c r="AA21" s="93">
        <v>9684.4927069262994</v>
      </c>
      <c r="AB21" s="93">
        <v>29080.777317810167</v>
      </c>
      <c r="AC21" s="93">
        <v>130843.26578147509</v>
      </c>
      <c r="AD21" s="93">
        <v>74921.045198547406</v>
      </c>
      <c r="AE21" s="93">
        <v>6279.8735014818085</v>
      </c>
      <c r="AF21" s="93">
        <v>2440.8843242401886</v>
      </c>
    </row>
    <row r="22" spans="1:32">
      <c r="A22" t="s">
        <v>179</v>
      </c>
      <c r="D22" s="366">
        <f t="shared" si="0"/>
        <v>8309765</v>
      </c>
      <c r="E22" s="366">
        <f t="shared" si="1"/>
        <v>8529095</v>
      </c>
      <c r="G22" s="40" t="s">
        <v>484</v>
      </c>
      <c r="I22" s="93">
        <v>668212</v>
      </c>
      <c r="J22" s="93">
        <v>698497</v>
      </c>
      <c r="K22" s="93">
        <v>693893</v>
      </c>
      <c r="L22" s="93">
        <v>724492</v>
      </c>
      <c r="M22" s="93">
        <v>712750</v>
      </c>
      <c r="N22" s="93">
        <v>703014</v>
      </c>
      <c r="O22" s="93">
        <v>713743</v>
      </c>
      <c r="P22" s="93">
        <v>662078</v>
      </c>
      <c r="Q22" s="93">
        <v>676442</v>
      </c>
      <c r="R22" s="93">
        <v>671053</v>
      </c>
      <c r="S22" s="93">
        <v>696263</v>
      </c>
      <c r="T22" s="93">
        <v>689328</v>
      </c>
      <c r="U22" s="93">
        <v>706566</v>
      </c>
      <c r="V22" s="93">
        <v>735591</v>
      </c>
      <c r="W22" s="93">
        <v>731179</v>
      </c>
      <c r="X22" s="93">
        <v>759981</v>
      </c>
      <c r="Y22" s="93">
        <v>748716</v>
      </c>
      <c r="Z22" s="93">
        <v>738155</v>
      </c>
      <c r="AA22" s="93">
        <v>748357</v>
      </c>
      <c r="AB22" s="93">
        <v>696602</v>
      </c>
      <c r="AC22" s="93">
        <v>709597</v>
      </c>
      <c r="AD22" s="93">
        <v>704304</v>
      </c>
      <c r="AE22" s="93">
        <v>728620</v>
      </c>
      <c r="AF22" s="93">
        <v>721477</v>
      </c>
    </row>
    <row r="23" spans="1:32">
      <c r="A23" t="s">
        <v>180</v>
      </c>
      <c r="D23" s="366">
        <f t="shared" si="0"/>
        <v>38912844.497435682</v>
      </c>
      <c r="E23" s="366">
        <f t="shared" si="1"/>
        <v>39811084.227217965</v>
      </c>
      <c r="G23" s="40" t="s">
        <v>485</v>
      </c>
      <c r="I23" s="93">
        <v>3443912.785007365</v>
      </c>
      <c r="J23" s="93">
        <v>3659916.4035232365</v>
      </c>
      <c r="K23" s="93">
        <v>3402688.5802811482</v>
      </c>
      <c r="L23" s="93">
        <v>3460613.66838243</v>
      </c>
      <c r="M23" s="93">
        <v>3252276.1796161165</v>
      </c>
      <c r="N23" s="93">
        <v>3094803.7856509872</v>
      </c>
      <c r="O23" s="93">
        <v>3072328.8437855388</v>
      </c>
      <c r="P23" s="93">
        <v>2889662.7796862461</v>
      </c>
      <c r="Q23" s="93">
        <v>3002270.8391664047</v>
      </c>
      <c r="R23" s="93">
        <v>2962833.8958120649</v>
      </c>
      <c r="S23" s="93">
        <v>3318559.2763888482</v>
      </c>
      <c r="T23" s="93">
        <v>3352977.4601352932</v>
      </c>
      <c r="U23" s="93">
        <v>3582014.3936783988</v>
      </c>
      <c r="V23" s="93">
        <v>3813869.4454667093</v>
      </c>
      <c r="W23" s="93">
        <v>3549087.9880959485</v>
      </c>
      <c r="X23" s="93">
        <v>3616678.9494801732</v>
      </c>
      <c r="Y23" s="93">
        <v>3406658.2861398356</v>
      </c>
      <c r="Z23" s="93">
        <v>3244142.0693825064</v>
      </c>
      <c r="AA23" s="93">
        <v>3219796.7988098734</v>
      </c>
      <c r="AB23" s="93">
        <v>3031632.3283917406</v>
      </c>
      <c r="AC23" s="93">
        <v>3137033.5915173152</v>
      </c>
      <c r="AD23" s="93">
        <v>3107933.6104089897</v>
      </c>
      <c r="AE23" s="93">
        <v>3464914.5564975087</v>
      </c>
      <c r="AF23" s="93">
        <v>3498640.5116357761</v>
      </c>
    </row>
    <row r="24" spans="1:32">
      <c r="D24" s="366"/>
      <c r="E24" s="366"/>
      <c r="G24" s="40"/>
    </row>
    <row r="25" spans="1:32">
      <c r="A25" s="70" t="s">
        <v>486</v>
      </c>
      <c r="D25" s="366"/>
      <c r="E25" s="366"/>
      <c r="G25" s="40"/>
    </row>
    <row r="26" spans="1:32">
      <c r="A26" t="s">
        <v>181</v>
      </c>
      <c r="D26" s="366">
        <f>SUM(D5:D10)</f>
        <v>253745848.34050137</v>
      </c>
      <c r="E26" s="366">
        <f>SUM(E5:E10)</f>
        <v>255265999.60560665</v>
      </c>
      <c r="G26" s="40" t="s">
        <v>487</v>
      </c>
      <c r="I26" s="366">
        <f>SUM(I5:I10)</f>
        <v>36631009.139256328</v>
      </c>
      <c r="J26" s="366">
        <f t="shared" ref="J26:AF26" si="2">SUM(J5:J10)</f>
        <v>32027312.951844789</v>
      </c>
      <c r="K26" s="366">
        <f t="shared" si="2"/>
        <v>27763505.388147425</v>
      </c>
      <c r="L26" s="366">
        <f t="shared" si="2"/>
        <v>20505252.503565624</v>
      </c>
      <c r="M26" s="366">
        <f t="shared" si="2"/>
        <v>14135772.742514115</v>
      </c>
      <c r="N26" s="366">
        <f t="shared" si="2"/>
        <v>10852417.762289306</v>
      </c>
      <c r="O26" s="366">
        <f t="shared" si="2"/>
        <v>9417278.566542659</v>
      </c>
      <c r="P26" s="366">
        <f t="shared" si="2"/>
        <v>9095168.8715911433</v>
      </c>
      <c r="Q26" s="366">
        <f t="shared" si="2"/>
        <v>10057194.974749431</v>
      </c>
      <c r="R26" s="366">
        <f t="shared" si="2"/>
        <v>18108510.14826607</v>
      </c>
      <c r="S26" s="366">
        <f t="shared" si="2"/>
        <v>28475909.533905126</v>
      </c>
      <c r="T26" s="366">
        <f t="shared" si="2"/>
        <v>36676515.757829346</v>
      </c>
      <c r="U26" s="366">
        <f t="shared" si="2"/>
        <v>37041190.226894498</v>
      </c>
      <c r="V26" s="366">
        <f t="shared" si="2"/>
        <v>32370090.243657753</v>
      </c>
      <c r="W26" s="366">
        <f t="shared" si="2"/>
        <v>28057094.50931517</v>
      </c>
      <c r="X26" s="366">
        <f t="shared" si="2"/>
        <v>20728333.320454746</v>
      </c>
      <c r="Y26" s="366">
        <f t="shared" si="2"/>
        <v>14266817.459139876</v>
      </c>
      <c r="Z26" s="366">
        <f t="shared" si="2"/>
        <v>10971895.993260805</v>
      </c>
      <c r="AA26" s="366">
        <f t="shared" si="2"/>
        <v>9513072.0470696036</v>
      </c>
      <c r="AB26" s="366">
        <f t="shared" si="2"/>
        <v>9116002.7788222041</v>
      </c>
      <c r="AC26" s="366">
        <f t="shared" si="2"/>
        <v>10118361.277347123</v>
      </c>
      <c r="AD26" s="366">
        <f t="shared" si="2"/>
        <v>18256828.810165513</v>
      </c>
      <c r="AE26" s="366">
        <f t="shared" si="2"/>
        <v>28683963.185217749</v>
      </c>
      <c r="AF26" s="366">
        <f t="shared" si="2"/>
        <v>37042420.940066017</v>
      </c>
    </row>
    <row r="27" spans="1:32">
      <c r="A27" t="s">
        <v>182</v>
      </c>
      <c r="D27" s="366">
        <f>SUM(D11:D16)</f>
        <v>123931371.19449949</v>
      </c>
      <c r="E27" s="366">
        <f>SUM(E11:E16)</f>
        <v>124819977.33647285</v>
      </c>
      <c r="G27" s="40" t="s">
        <v>488</v>
      </c>
      <c r="I27" s="366">
        <f>SUM(I11:I16)</f>
        <v>17417856.951156527</v>
      </c>
      <c r="J27" s="366">
        <f t="shared" ref="J27:AF27" si="3">SUM(J11:J16)</f>
        <v>14224740.829805249</v>
      </c>
      <c r="K27" s="366">
        <f t="shared" si="3"/>
        <v>13332800.493397953</v>
      </c>
      <c r="L27" s="366">
        <f t="shared" si="3"/>
        <v>9644279.4257646315</v>
      </c>
      <c r="M27" s="366">
        <f t="shared" si="3"/>
        <v>6779448.680459708</v>
      </c>
      <c r="N27" s="366">
        <f t="shared" si="3"/>
        <v>5849907.6717017191</v>
      </c>
      <c r="O27" s="366">
        <f t="shared" si="3"/>
        <v>5086163.1123309098</v>
      </c>
      <c r="P27" s="366">
        <f t="shared" si="3"/>
        <v>5303545.339955993</v>
      </c>
      <c r="Q27" s="366">
        <f t="shared" si="3"/>
        <v>5545942.3404079964</v>
      </c>
      <c r="R27" s="366">
        <f t="shared" si="3"/>
        <v>9513261.1104893032</v>
      </c>
      <c r="S27" s="366">
        <f t="shared" si="3"/>
        <v>13438387.391490344</v>
      </c>
      <c r="T27" s="366">
        <f t="shared" si="3"/>
        <v>17795037.847539157</v>
      </c>
      <c r="U27" s="366">
        <f t="shared" si="3"/>
        <v>17508053.899600372</v>
      </c>
      <c r="V27" s="366">
        <f t="shared" si="3"/>
        <v>14356767.328068277</v>
      </c>
      <c r="W27" s="366">
        <f t="shared" si="3"/>
        <v>13516057.766596293</v>
      </c>
      <c r="X27" s="366">
        <f t="shared" si="3"/>
        <v>9803435.4567880761</v>
      </c>
      <c r="Y27" s="366">
        <f t="shared" si="3"/>
        <v>6952623.5743362326</v>
      </c>
      <c r="Z27" s="366">
        <f t="shared" si="3"/>
        <v>6000702.1688698921</v>
      </c>
      <c r="AA27" s="366">
        <f t="shared" si="3"/>
        <v>5235088.2897514403</v>
      </c>
      <c r="AB27" s="366">
        <f t="shared" si="3"/>
        <v>5498238.0268435664</v>
      </c>
      <c r="AC27" s="366">
        <f t="shared" si="3"/>
        <v>5676268.0816732757</v>
      </c>
      <c r="AD27" s="366">
        <f t="shared" si="3"/>
        <v>9654894.2785930969</v>
      </c>
      <c r="AE27" s="366">
        <f t="shared" si="3"/>
        <v>13638008.301605958</v>
      </c>
      <c r="AF27" s="366">
        <f t="shared" si="3"/>
        <v>17940087.759042092</v>
      </c>
    </row>
    <row r="28" spans="1:32">
      <c r="A28" t="s">
        <v>183</v>
      </c>
      <c r="D28" s="366">
        <f>SUM(D17:D23)</f>
        <v>131238489.63398317</v>
      </c>
      <c r="E28" s="366">
        <f>SUM(E17:E23)</f>
        <v>132742022.60294676</v>
      </c>
      <c r="G28" s="40" t="s">
        <v>489</v>
      </c>
      <c r="I28" s="366">
        <f>SUM(I17:I23)</f>
        <v>17603927.345522687</v>
      </c>
      <c r="J28" s="366">
        <f t="shared" ref="J28:AF28" si="4">SUM(J17:J23)</f>
        <v>14524423.614171103</v>
      </c>
      <c r="K28" s="366">
        <f t="shared" si="4"/>
        <v>13257358.321397169</v>
      </c>
      <c r="L28" s="366">
        <f t="shared" si="4"/>
        <v>10897878.229649324</v>
      </c>
      <c r="M28" s="366">
        <f t="shared" si="4"/>
        <v>8268453.6138823181</v>
      </c>
      <c r="N28" s="366">
        <f t="shared" si="4"/>
        <v>6731011.0175170414</v>
      </c>
      <c r="O28" s="366">
        <f t="shared" si="4"/>
        <v>6538706.7518451698</v>
      </c>
      <c r="P28" s="366">
        <f t="shared" si="4"/>
        <v>6303674.0695310654</v>
      </c>
      <c r="Q28" s="366">
        <f t="shared" si="4"/>
        <v>6752727.3614611384</v>
      </c>
      <c r="R28" s="366">
        <f t="shared" si="4"/>
        <v>9347990.6706429776</v>
      </c>
      <c r="S28" s="366">
        <f t="shared" si="4"/>
        <v>13617567.31184876</v>
      </c>
      <c r="T28" s="366">
        <f t="shared" si="4"/>
        <v>17394771.326514408</v>
      </c>
      <c r="U28" s="366">
        <f t="shared" si="4"/>
        <v>17899462.939319078</v>
      </c>
      <c r="V28" s="366">
        <f t="shared" si="4"/>
        <v>14799067.217532631</v>
      </c>
      <c r="W28" s="366">
        <f t="shared" si="4"/>
        <v>13519323.089373998</v>
      </c>
      <c r="X28" s="366">
        <f t="shared" si="4"/>
        <v>11142793.972647276</v>
      </c>
      <c r="Y28" s="366">
        <f t="shared" si="4"/>
        <v>8490678.5917940475</v>
      </c>
      <c r="Z28" s="366">
        <f t="shared" si="4"/>
        <v>6935259.3004362257</v>
      </c>
      <c r="AA28" s="366">
        <f t="shared" si="4"/>
        <v>6739907.9184951447</v>
      </c>
      <c r="AB28" s="366">
        <f t="shared" si="4"/>
        <v>6498837.2014381355</v>
      </c>
      <c r="AC28" s="366">
        <f t="shared" si="4"/>
        <v>6938890.5944029512</v>
      </c>
      <c r="AD28" s="366">
        <f t="shared" si="4"/>
        <v>9571581.008624617</v>
      </c>
      <c r="AE28" s="366">
        <f t="shared" si="4"/>
        <v>13879332.685636109</v>
      </c>
      <c r="AF28" s="366">
        <f t="shared" si="4"/>
        <v>17689647.411919646</v>
      </c>
    </row>
    <row r="29" spans="1:32">
      <c r="D29" s="366"/>
      <c r="E29" s="366"/>
      <c r="G29" s="40"/>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row>
    <row r="30" spans="1:32" ht="11.25" customHeight="1">
      <c r="A30" t="s">
        <v>184</v>
      </c>
      <c r="D30" s="366">
        <f>SUM(D26:D28)</f>
        <v>508915709.16898406</v>
      </c>
      <c r="E30" s="366">
        <f>SUM(E26:E28)</f>
        <v>512827999.54502624</v>
      </c>
      <c r="G30" s="40" t="s">
        <v>490</v>
      </c>
      <c r="I30" s="366">
        <f>SUM(I26:I28)</f>
        <v>71652793.435935542</v>
      </c>
      <c r="J30" s="366">
        <f t="shared" ref="J30:AF30" si="5">SUM(J26:J28)</f>
        <v>60776477.395821139</v>
      </c>
      <c r="K30" s="366">
        <f t="shared" si="5"/>
        <v>54353664.20294255</v>
      </c>
      <c r="L30" s="366">
        <f t="shared" si="5"/>
        <v>41047410.15897958</v>
      </c>
      <c r="M30" s="366">
        <f t="shared" si="5"/>
        <v>29183675.036856141</v>
      </c>
      <c r="N30" s="366">
        <f t="shared" si="5"/>
        <v>23433336.451508068</v>
      </c>
      <c r="O30" s="366">
        <f t="shared" si="5"/>
        <v>21042148.430718739</v>
      </c>
      <c r="P30" s="366">
        <f t="shared" si="5"/>
        <v>20702388.281078201</v>
      </c>
      <c r="Q30" s="366">
        <f t="shared" si="5"/>
        <v>22355864.676618569</v>
      </c>
      <c r="R30" s="366">
        <f t="shared" si="5"/>
        <v>36969761.92939835</v>
      </c>
      <c r="S30" s="366">
        <f t="shared" si="5"/>
        <v>55531864.237244233</v>
      </c>
      <c r="T30" s="366">
        <f t="shared" si="5"/>
        <v>71866324.931882918</v>
      </c>
      <c r="U30" s="366">
        <f t="shared" si="5"/>
        <v>72448707.065813944</v>
      </c>
      <c r="V30" s="366">
        <f t="shared" si="5"/>
        <v>61525924.789258659</v>
      </c>
      <c r="W30" s="366">
        <f t="shared" si="5"/>
        <v>55092475.365285464</v>
      </c>
      <c r="X30" s="366">
        <f t="shared" si="5"/>
        <v>41674562.749890104</v>
      </c>
      <c r="Y30" s="366">
        <f t="shared" si="5"/>
        <v>29710119.625270154</v>
      </c>
      <c r="Z30" s="366">
        <f t="shared" si="5"/>
        <v>23907857.462566923</v>
      </c>
      <c r="AA30" s="366">
        <f t="shared" si="5"/>
        <v>21488068.25531619</v>
      </c>
      <c r="AB30" s="366">
        <f t="shared" si="5"/>
        <v>21113078.007103905</v>
      </c>
      <c r="AC30" s="366">
        <f t="shared" si="5"/>
        <v>22733519.953423351</v>
      </c>
      <c r="AD30" s="366">
        <f t="shared" si="5"/>
        <v>37483304.097383231</v>
      </c>
      <c r="AE30" s="366">
        <f t="shared" si="5"/>
        <v>56201304.172459818</v>
      </c>
      <c r="AF30" s="366">
        <f t="shared" si="5"/>
        <v>72672156.111027747</v>
      </c>
    </row>
    <row r="33" spans="1:32">
      <c r="D33" s="461">
        <v>2017</v>
      </c>
      <c r="E33" s="461" t="s">
        <v>464</v>
      </c>
      <c r="I33" s="462">
        <v>42736</v>
      </c>
      <c r="J33" s="462">
        <v>42767</v>
      </c>
      <c r="K33" s="462">
        <v>42795</v>
      </c>
      <c r="L33" s="462">
        <v>42826</v>
      </c>
      <c r="M33" s="462">
        <v>42856</v>
      </c>
      <c r="N33" s="462">
        <v>42887</v>
      </c>
      <c r="O33" s="462">
        <v>42917</v>
      </c>
      <c r="P33" s="462">
        <v>42948</v>
      </c>
      <c r="Q33" s="462">
        <v>42979</v>
      </c>
      <c r="R33" s="462">
        <v>43009</v>
      </c>
      <c r="S33" s="462">
        <v>43040</v>
      </c>
      <c r="T33" s="462">
        <v>43070</v>
      </c>
      <c r="U33" s="462">
        <v>43101</v>
      </c>
      <c r="V33" s="462">
        <v>43132</v>
      </c>
      <c r="W33" s="462">
        <v>43160</v>
      </c>
      <c r="X33" s="462">
        <v>43191</v>
      </c>
      <c r="Y33" s="462">
        <v>43221</v>
      </c>
      <c r="Z33" s="462">
        <v>43252</v>
      </c>
      <c r="AA33" s="462">
        <v>43282</v>
      </c>
      <c r="AB33" s="462">
        <v>43313</v>
      </c>
      <c r="AC33" s="462">
        <v>43344</v>
      </c>
      <c r="AD33" s="462">
        <v>43374</v>
      </c>
      <c r="AE33" s="462">
        <v>43405</v>
      </c>
      <c r="AF33" s="462">
        <v>43435</v>
      </c>
    </row>
    <row r="34" spans="1:32">
      <c r="A34" s="463" t="s">
        <v>491</v>
      </c>
      <c r="D34" s="41" t="s">
        <v>492</v>
      </c>
      <c r="E34" s="41" t="s">
        <v>492</v>
      </c>
    </row>
    <row r="35" spans="1:32">
      <c r="A35" s="464" t="s">
        <v>162</v>
      </c>
      <c r="D35" s="366">
        <f t="shared" ref="D35:D53" si="6">SUM(I35:T35)</f>
        <v>1852505.8375000001</v>
      </c>
      <c r="E35" s="366">
        <f t="shared" ref="E35:E53" si="7">SUM(O35:Z35)</f>
        <v>1863376.4342</v>
      </c>
      <c r="G35" s="41" t="s">
        <v>493</v>
      </c>
      <c r="I35" s="93">
        <v>154211.16930000001</v>
      </c>
      <c r="J35" s="93">
        <v>154204.201</v>
      </c>
      <c r="K35" s="93">
        <v>154153.23130000001</v>
      </c>
      <c r="L35" s="93">
        <v>154066.26019999999</v>
      </c>
      <c r="M35" s="93">
        <v>154003.28779999999</v>
      </c>
      <c r="N35" s="93">
        <v>153799.31409999999</v>
      </c>
      <c r="O35" s="93">
        <v>153899.33929999999</v>
      </c>
      <c r="P35" s="93">
        <v>154030.36319999999</v>
      </c>
      <c r="Q35" s="93">
        <v>154288.3861</v>
      </c>
      <c r="R35" s="93">
        <v>154741.40789999999</v>
      </c>
      <c r="S35" s="93">
        <v>155330.42869999999</v>
      </c>
      <c r="T35" s="93">
        <v>155778.4486</v>
      </c>
      <c r="U35" s="93">
        <v>155991.4675</v>
      </c>
      <c r="V35" s="93">
        <v>156002.48560000001</v>
      </c>
      <c r="W35" s="93">
        <v>155963.50289999999</v>
      </c>
      <c r="X35" s="93">
        <v>155886.51930000001</v>
      </c>
      <c r="Y35" s="93">
        <v>155830.53510000001</v>
      </c>
      <c r="Z35" s="93">
        <v>155633.54999999999</v>
      </c>
      <c r="AA35" s="93">
        <v>155731.5643</v>
      </c>
      <c r="AB35" s="93">
        <v>155859.57800000001</v>
      </c>
      <c r="AC35" s="93">
        <v>156115.59099999999</v>
      </c>
      <c r="AD35" s="93">
        <v>156568.60339999999</v>
      </c>
      <c r="AE35" s="93">
        <v>157158.6153</v>
      </c>
      <c r="AF35" s="93">
        <v>157611.62659999999</v>
      </c>
    </row>
    <row r="36" spans="1:32">
      <c r="A36" s="464" t="s">
        <v>163</v>
      </c>
      <c r="D36" s="366">
        <f t="shared" si="6"/>
        <v>32349.5357</v>
      </c>
      <c r="E36" s="366">
        <f t="shared" si="7"/>
        <v>32623.164000000001</v>
      </c>
      <c r="G36" s="41" t="s">
        <v>494</v>
      </c>
      <c r="I36" s="93">
        <v>2679.2942000000003</v>
      </c>
      <c r="J36" s="93">
        <v>2697.1853000000001</v>
      </c>
      <c r="K36" s="93">
        <v>2707.0773999999997</v>
      </c>
      <c r="L36" s="93">
        <v>2704.9704000000002</v>
      </c>
      <c r="M36" s="93">
        <v>2700.8642000000004</v>
      </c>
      <c r="N36" s="93">
        <v>2695.7589000000003</v>
      </c>
      <c r="O36" s="93">
        <v>2688.6542999999997</v>
      </c>
      <c r="P36" s="93">
        <v>2685.5507000000002</v>
      </c>
      <c r="Q36" s="93">
        <v>2681.4477000000002</v>
      </c>
      <c r="R36" s="93">
        <v>2689.3454999999999</v>
      </c>
      <c r="S36" s="93">
        <v>2703.2440000000001</v>
      </c>
      <c r="T36" s="93">
        <v>2716.1431000000002</v>
      </c>
      <c r="U36" s="93">
        <v>2725.0430999999999</v>
      </c>
      <c r="V36" s="93">
        <v>2742.9435000000003</v>
      </c>
      <c r="W36" s="93">
        <v>2751.8447000000001</v>
      </c>
      <c r="X36" s="93">
        <v>2750.7465999999999</v>
      </c>
      <c r="Y36" s="93">
        <v>2746.6489000000001</v>
      </c>
      <c r="Z36" s="93">
        <v>2741.5518999999999</v>
      </c>
      <c r="AA36" s="93">
        <v>2734.4553000000001</v>
      </c>
      <c r="AB36" s="93">
        <v>2731.3595</v>
      </c>
      <c r="AC36" s="93">
        <v>2727.2641000000003</v>
      </c>
      <c r="AD36" s="93">
        <v>2735.1691000000001</v>
      </c>
      <c r="AE36" s="93">
        <v>2749.0748000000003</v>
      </c>
      <c r="AF36" s="93">
        <v>2761.9807999999998</v>
      </c>
    </row>
    <row r="37" spans="1:32">
      <c r="A37" s="464" t="s">
        <v>164</v>
      </c>
      <c r="D37" s="366">
        <f t="shared" si="6"/>
        <v>334.4640399080742</v>
      </c>
      <c r="E37" s="366">
        <f t="shared" si="7"/>
        <v>334.46025072362829</v>
      </c>
      <c r="G37" s="41" t="s">
        <v>495</v>
      </c>
      <c r="I37" s="93">
        <v>27.870063187400426</v>
      </c>
      <c r="J37" s="93">
        <v>27.872259711510448</v>
      </c>
      <c r="K37" s="93">
        <v>27.875724661948528</v>
      </c>
      <c r="L37" s="93">
        <v>27.87370974501858</v>
      </c>
      <c r="M37" s="93">
        <v>27.87222203178122</v>
      </c>
      <c r="N37" s="93">
        <v>27.871363381997217</v>
      </c>
      <c r="O37" s="93">
        <v>27.871248970917406</v>
      </c>
      <c r="P37" s="93">
        <v>27.871430097467837</v>
      </c>
      <c r="Q37" s="93">
        <v>27.871329883429251</v>
      </c>
      <c r="R37" s="93">
        <v>27.871378415190911</v>
      </c>
      <c r="S37" s="93">
        <v>27.871540563116568</v>
      </c>
      <c r="T37" s="93">
        <v>27.871769258295846</v>
      </c>
      <c r="U37" s="93">
        <v>27.872003325672857</v>
      </c>
      <c r="V37" s="93">
        <v>27.872165003862225</v>
      </c>
      <c r="W37" s="93">
        <v>27.872157111558209</v>
      </c>
      <c r="X37" s="93">
        <v>27.871859815692346</v>
      </c>
      <c r="Y37" s="93">
        <v>27.871705654915157</v>
      </c>
      <c r="Z37" s="93">
        <v>27.87166262350965</v>
      </c>
      <c r="AA37" s="93">
        <v>27.871687560302355</v>
      </c>
      <c r="AB37" s="93">
        <v>27.871724109417762</v>
      </c>
      <c r="AC37" s="93">
        <v>27.87174861041359</v>
      </c>
      <c r="AD37" s="93">
        <v>27.871783504328956</v>
      </c>
      <c r="AE37" s="93">
        <v>27.871817261757126</v>
      </c>
      <c r="AF37" s="93">
        <v>27.871840319977181</v>
      </c>
    </row>
    <row r="38" spans="1:32">
      <c r="A38" s="464" t="s">
        <v>165</v>
      </c>
      <c r="D38" s="366">
        <f t="shared" si="6"/>
        <v>24</v>
      </c>
      <c r="E38" s="366">
        <f t="shared" si="7"/>
        <v>24</v>
      </c>
      <c r="G38" s="41" t="s">
        <v>496</v>
      </c>
      <c r="I38" s="93">
        <v>2</v>
      </c>
      <c r="J38" s="93">
        <v>2</v>
      </c>
      <c r="K38" s="93">
        <v>2</v>
      </c>
      <c r="L38" s="93">
        <v>2</v>
      </c>
      <c r="M38" s="93">
        <v>2</v>
      </c>
      <c r="N38" s="93">
        <v>2</v>
      </c>
      <c r="O38" s="93">
        <v>2</v>
      </c>
      <c r="P38" s="93">
        <v>2</v>
      </c>
      <c r="Q38" s="93">
        <v>2</v>
      </c>
      <c r="R38" s="93">
        <v>2</v>
      </c>
      <c r="S38" s="93">
        <v>2</v>
      </c>
      <c r="T38" s="93">
        <v>2</v>
      </c>
      <c r="U38" s="93">
        <v>2</v>
      </c>
      <c r="V38" s="93">
        <v>2</v>
      </c>
      <c r="W38" s="93">
        <v>2</v>
      </c>
      <c r="X38" s="93">
        <v>2</v>
      </c>
      <c r="Y38" s="93">
        <v>2</v>
      </c>
      <c r="Z38" s="93">
        <v>2</v>
      </c>
      <c r="AA38" s="93">
        <v>2</v>
      </c>
      <c r="AB38" s="93">
        <v>2</v>
      </c>
      <c r="AC38" s="93">
        <v>2</v>
      </c>
      <c r="AD38" s="93">
        <v>2</v>
      </c>
      <c r="AE38" s="93">
        <v>2</v>
      </c>
      <c r="AF38" s="93">
        <v>2</v>
      </c>
    </row>
    <row r="39" spans="1:32">
      <c r="A39" s="464" t="s">
        <v>166</v>
      </c>
      <c r="D39" s="366">
        <f t="shared" si="6"/>
        <v>479.0523990871331</v>
      </c>
      <c r="E39" s="366">
        <f t="shared" si="7"/>
        <v>479.067365471122</v>
      </c>
      <c r="G39" s="41" t="s">
        <v>497</v>
      </c>
      <c r="I39" s="93">
        <v>39.883856612008756</v>
      </c>
      <c r="J39" s="93">
        <v>39.891705645211623</v>
      </c>
      <c r="K39" s="93">
        <v>39.922502735253794</v>
      </c>
      <c r="L39" s="93">
        <v>39.94529582887791</v>
      </c>
      <c r="M39" s="93">
        <v>39.951592613555675</v>
      </c>
      <c r="N39" s="93">
        <v>39.938485419090306</v>
      </c>
      <c r="O39" s="93">
        <v>39.928738187953236</v>
      </c>
      <c r="P39" s="93">
        <v>39.921699852882973</v>
      </c>
      <c r="Q39" s="93">
        <v>39.91763640279207</v>
      </c>
      <c r="R39" s="93">
        <v>39.916239544024009</v>
      </c>
      <c r="S39" s="93">
        <v>39.916479155923497</v>
      </c>
      <c r="T39" s="93">
        <v>39.91816708955929</v>
      </c>
      <c r="U39" s="93">
        <v>39.921033257261094</v>
      </c>
      <c r="V39" s="93">
        <v>39.924131311032127</v>
      </c>
      <c r="W39" s="93">
        <v>39.926833449850498</v>
      </c>
      <c r="X39" s="93">
        <v>39.927194342733557</v>
      </c>
      <c r="Y39" s="93">
        <v>39.925685885554856</v>
      </c>
      <c r="Z39" s="93">
        <v>39.923526991554787</v>
      </c>
      <c r="AA39" s="93">
        <v>39.922280455926838</v>
      </c>
      <c r="AB39" s="93">
        <v>39.921742311591295</v>
      </c>
      <c r="AC39" s="93">
        <v>39.921745849817</v>
      </c>
      <c r="AD39" s="93">
        <v>39.922088303735741</v>
      </c>
      <c r="AE39" s="93">
        <v>39.922575700378381</v>
      </c>
      <c r="AF39" s="93">
        <v>39.923083745749622</v>
      </c>
    </row>
    <row r="40" spans="1:32">
      <c r="A40" s="464" t="s">
        <v>167</v>
      </c>
      <c r="D40" s="366">
        <f t="shared" si="6"/>
        <v>63.237354511951814</v>
      </c>
      <c r="E40" s="366">
        <f t="shared" si="7"/>
        <v>63.227025536396262</v>
      </c>
      <c r="G40" s="41" t="s">
        <v>498</v>
      </c>
      <c r="I40" s="93">
        <v>5.2672619949630288</v>
      </c>
      <c r="J40" s="93">
        <v>5.2708198976322969</v>
      </c>
      <c r="K40" s="93">
        <v>5.2731147980036432</v>
      </c>
      <c r="L40" s="93">
        <v>5.2739114880366564</v>
      </c>
      <c r="M40" s="93">
        <v>5.272944329200147</v>
      </c>
      <c r="N40" s="93">
        <v>5.2699138141128516</v>
      </c>
      <c r="O40" s="93">
        <v>5.2685336923730448</v>
      </c>
      <c r="P40" s="93">
        <v>5.267701540831685</v>
      </c>
      <c r="Q40" s="93">
        <v>5.2677393046985346</v>
      </c>
      <c r="R40" s="93">
        <v>5.2678797933510326</v>
      </c>
      <c r="S40" s="93">
        <v>5.2683028211115301</v>
      </c>
      <c r="T40" s="93">
        <v>5.2692310376373568</v>
      </c>
      <c r="U40" s="93">
        <v>5.2697795426626515</v>
      </c>
      <c r="V40" s="93">
        <v>5.2699893383042857</v>
      </c>
      <c r="W40" s="93">
        <v>5.2699201250269514</v>
      </c>
      <c r="X40" s="93">
        <v>5.2696539022788933</v>
      </c>
      <c r="Y40" s="93">
        <v>5.2692991034657473</v>
      </c>
      <c r="Z40" s="93">
        <v>5.2689953346545471</v>
      </c>
      <c r="AA40" s="93">
        <v>5.2689187946996885</v>
      </c>
      <c r="AB40" s="93">
        <v>5.2689508865602424</v>
      </c>
      <c r="AC40" s="93">
        <v>5.2690549987042878</v>
      </c>
      <c r="AD40" s="93">
        <v>5.269164639871434</v>
      </c>
      <c r="AE40" s="93">
        <v>5.2692717104148015</v>
      </c>
      <c r="AF40" s="93">
        <v>5.2693524511900733</v>
      </c>
    </row>
    <row r="41" spans="1:32">
      <c r="A41" s="464" t="s">
        <v>168</v>
      </c>
      <c r="D41" s="366">
        <f t="shared" si="6"/>
        <v>944812.40669999993</v>
      </c>
      <c r="E41" s="366">
        <f t="shared" si="7"/>
        <v>951020.07409999985</v>
      </c>
      <c r="G41" s="41" t="s">
        <v>499</v>
      </c>
      <c r="I41" s="93">
        <v>78625.742899999997</v>
      </c>
      <c r="J41" s="93">
        <v>78600.731899999999</v>
      </c>
      <c r="K41" s="93">
        <v>78569.722200000004</v>
      </c>
      <c r="L41" s="93">
        <v>78516.713600000003</v>
      </c>
      <c r="M41" s="93">
        <v>78497.705900000001</v>
      </c>
      <c r="N41" s="93">
        <v>78451.699200000003</v>
      </c>
      <c r="O41" s="93">
        <v>78541.693199999994</v>
      </c>
      <c r="P41" s="93">
        <v>78588.687900000004</v>
      </c>
      <c r="Q41" s="93">
        <v>78781.683199999999</v>
      </c>
      <c r="R41" s="93">
        <v>78938.679099999994</v>
      </c>
      <c r="S41" s="93">
        <v>79175.675399999993</v>
      </c>
      <c r="T41" s="93">
        <v>79523.672200000001</v>
      </c>
      <c r="U41" s="93">
        <v>79652.669299999994</v>
      </c>
      <c r="V41" s="93">
        <v>79632.666800000006</v>
      </c>
      <c r="W41" s="93">
        <v>79601.664499999999</v>
      </c>
      <c r="X41" s="93">
        <v>79553.662500000006</v>
      </c>
      <c r="Y41" s="93">
        <v>79537.660799999998</v>
      </c>
      <c r="Z41" s="93">
        <v>79491.659199999995</v>
      </c>
      <c r="AA41" s="93">
        <v>79587.657800000001</v>
      </c>
      <c r="AB41" s="93">
        <v>79634.656600000002</v>
      </c>
      <c r="AC41" s="93">
        <v>79828.655499999993</v>
      </c>
      <c r="AD41" s="93">
        <v>79989.654599999994</v>
      </c>
      <c r="AE41" s="93">
        <v>80226.653699999995</v>
      </c>
      <c r="AF41" s="93">
        <v>80576.653000000006</v>
      </c>
    </row>
    <row r="42" spans="1:32">
      <c r="A42" s="464" t="s">
        <v>169</v>
      </c>
      <c r="D42" s="366">
        <f t="shared" si="6"/>
        <v>17191.811313952297</v>
      </c>
      <c r="E42" s="366">
        <f t="shared" si="7"/>
        <v>17334.874429235046</v>
      </c>
      <c r="G42" s="41" t="s">
        <v>500</v>
      </c>
      <c r="I42" s="93">
        <v>1428.6721194252689</v>
      </c>
      <c r="J42" s="93">
        <v>1442.6473341409057</v>
      </c>
      <c r="K42" s="93">
        <v>1438.6345838131401</v>
      </c>
      <c r="L42" s="93">
        <v>1436.6291019436571</v>
      </c>
      <c r="M42" s="93">
        <v>1432.6182995972249</v>
      </c>
      <c r="N42" s="93">
        <v>1428.6429947628894</v>
      </c>
      <c r="O42" s="93">
        <v>1425.6582527830358</v>
      </c>
      <c r="P42" s="93">
        <v>1422.6656086268595</v>
      </c>
      <c r="Q42" s="93">
        <v>1423.6666132005328</v>
      </c>
      <c r="R42" s="93">
        <v>1424.6633785953179</v>
      </c>
      <c r="S42" s="93">
        <v>1442.6586815002738</v>
      </c>
      <c r="T42" s="93">
        <v>1444.6543455631913</v>
      </c>
      <c r="U42" s="93">
        <v>1452.6509428293582</v>
      </c>
      <c r="V42" s="93">
        <v>1465.6491781130321</v>
      </c>
      <c r="W42" s="93">
        <v>1462.6493317773761</v>
      </c>
      <c r="X42" s="93">
        <v>1460.6505607743959</v>
      </c>
      <c r="Y42" s="93">
        <v>1456.6523490102907</v>
      </c>
      <c r="Z42" s="93">
        <v>1452.6551864613793</v>
      </c>
      <c r="AA42" s="93">
        <v>1448.6562024362536</v>
      </c>
      <c r="AB42" s="93">
        <v>1445.6560315740217</v>
      </c>
      <c r="AC42" s="93">
        <v>1446.6552334862852</v>
      </c>
      <c r="AD42" s="93">
        <v>1447.6542851767647</v>
      </c>
      <c r="AE42" s="93">
        <v>1465.6535273918853</v>
      </c>
      <c r="AF42" s="93">
        <v>1468.6530978828528</v>
      </c>
    </row>
    <row r="43" spans="1:32">
      <c r="A43" s="464" t="s">
        <v>170</v>
      </c>
      <c r="D43" s="366">
        <f t="shared" si="6"/>
        <v>12</v>
      </c>
      <c r="E43" s="366">
        <f t="shared" si="7"/>
        <v>12</v>
      </c>
      <c r="G43" s="41" t="s">
        <v>501</v>
      </c>
      <c r="I43" s="93">
        <v>1</v>
      </c>
      <c r="J43" s="93">
        <v>1</v>
      </c>
      <c r="K43" s="93">
        <v>1</v>
      </c>
      <c r="L43" s="93">
        <v>1</v>
      </c>
      <c r="M43" s="93">
        <v>1</v>
      </c>
      <c r="N43" s="93">
        <v>1</v>
      </c>
      <c r="O43" s="93">
        <v>1</v>
      </c>
      <c r="P43" s="93">
        <v>1</v>
      </c>
      <c r="Q43" s="93">
        <v>1</v>
      </c>
      <c r="R43" s="93">
        <v>1</v>
      </c>
      <c r="S43" s="93">
        <v>1</v>
      </c>
      <c r="T43" s="93">
        <v>1</v>
      </c>
      <c r="U43" s="93">
        <v>1</v>
      </c>
      <c r="V43" s="93">
        <v>1</v>
      </c>
      <c r="W43" s="93">
        <v>1</v>
      </c>
      <c r="X43" s="93">
        <v>1</v>
      </c>
      <c r="Y43" s="93">
        <v>1</v>
      </c>
      <c r="Z43" s="93">
        <v>1</v>
      </c>
      <c r="AA43" s="93">
        <v>1</v>
      </c>
      <c r="AB43" s="93">
        <v>1</v>
      </c>
      <c r="AC43" s="93">
        <v>1</v>
      </c>
      <c r="AD43" s="93">
        <v>1</v>
      </c>
      <c r="AE43" s="93">
        <v>1</v>
      </c>
      <c r="AF43" s="93">
        <v>1</v>
      </c>
    </row>
    <row r="44" spans="1:32">
      <c r="A44" s="464" t="s">
        <v>171</v>
      </c>
      <c r="D44" s="366">
        <f t="shared" si="6"/>
        <v>63.086181520842445</v>
      </c>
      <c r="E44" s="366">
        <f t="shared" si="7"/>
        <v>63.071880143495122</v>
      </c>
      <c r="G44" s="41" t="s">
        <v>502</v>
      </c>
      <c r="I44" s="93">
        <v>5.2558208996194251</v>
      </c>
      <c r="J44" s="93">
        <v>5.2590645944375813</v>
      </c>
      <c r="K44" s="93">
        <v>5.2610723710336291</v>
      </c>
      <c r="L44" s="93">
        <v>5.2616157173787563</v>
      </c>
      <c r="M44" s="93">
        <v>5.2604366188714486</v>
      </c>
      <c r="N44" s="93">
        <v>5.2572442281311274</v>
      </c>
      <c r="O44" s="93">
        <v>5.2551834068585892</v>
      </c>
      <c r="P44" s="93">
        <v>5.2541755674934212</v>
      </c>
      <c r="Q44" s="93">
        <v>5.2540970537728491</v>
      </c>
      <c r="R44" s="93">
        <v>5.2547701656404318</v>
      </c>
      <c r="S44" s="93">
        <v>5.255952833834316</v>
      </c>
      <c r="T44" s="93">
        <v>5.2567480637708801</v>
      </c>
      <c r="U44" s="93">
        <v>5.2571817934035376</v>
      </c>
      <c r="V44" s="93">
        <v>5.2572952012188807</v>
      </c>
      <c r="W44" s="93">
        <v>5.2571477517839877</v>
      </c>
      <c r="X44" s="93">
        <v>5.2568207001798513</v>
      </c>
      <c r="Y44" s="93">
        <v>5.2564211154132767</v>
      </c>
      <c r="Z44" s="93">
        <v>5.2560864901250959</v>
      </c>
      <c r="AA44" s="93">
        <v>5.2559900119579268</v>
      </c>
      <c r="AB44" s="93">
        <v>5.2560572290495378</v>
      </c>
      <c r="AC44" s="93">
        <v>5.2562140341792141</v>
      </c>
      <c r="AD44" s="93">
        <v>5.2563904492130789</v>
      </c>
      <c r="AE44" s="93">
        <v>5.2565254728441317</v>
      </c>
      <c r="AF44" s="93">
        <v>5.2565731927616168</v>
      </c>
    </row>
    <row r="45" spans="1:32">
      <c r="A45" s="464" t="s">
        <v>172</v>
      </c>
      <c r="D45" s="366">
        <f t="shared" si="6"/>
        <v>12.154482984205814</v>
      </c>
      <c r="E45" s="366">
        <f t="shared" si="7"/>
        <v>12.153661963377088</v>
      </c>
      <c r="G45" s="41" t="s">
        <v>503</v>
      </c>
      <c r="I45" s="93">
        <v>1.0130679805593135</v>
      </c>
      <c r="J45" s="93">
        <v>1.0131435553579002</v>
      </c>
      <c r="K45" s="93">
        <v>1.0131409760912564</v>
      </c>
      <c r="L45" s="93">
        <v>1.0130466922568531</v>
      </c>
      <c r="M45" s="93">
        <v>1.012845437671638</v>
      </c>
      <c r="N45" s="93">
        <v>1.0125200386259923</v>
      </c>
      <c r="O45" s="93">
        <v>1.0126299056815002</v>
      </c>
      <c r="P45" s="93">
        <v>1.0127193645088881</v>
      </c>
      <c r="Q45" s="93">
        <v>1.0127882695468589</v>
      </c>
      <c r="R45" s="93">
        <v>1.0128369275956828</v>
      </c>
      <c r="S45" s="93">
        <v>1.0128662021297996</v>
      </c>
      <c r="T45" s="93">
        <v>1.0128776341801322</v>
      </c>
      <c r="U45" s="93">
        <v>1.0128735820171511</v>
      </c>
      <c r="V45" s="93">
        <v>1.0128573821386377</v>
      </c>
      <c r="W45" s="93">
        <v>1.0128335343703661</v>
      </c>
      <c r="X45" s="93">
        <v>1.0128079142269584</v>
      </c>
      <c r="Y45" s="93">
        <v>1.0127880160578004</v>
      </c>
      <c r="Z45" s="93">
        <v>1.0127832309233138</v>
      </c>
      <c r="AA45" s="93">
        <v>1.0128051636147573</v>
      </c>
      <c r="AB45" s="93">
        <v>1.0128197684425289</v>
      </c>
      <c r="AC45" s="93">
        <v>1.012828135436999</v>
      </c>
      <c r="AD45" s="93">
        <v>1.0128314575945108</v>
      </c>
      <c r="AE45" s="93">
        <v>1.0128310017610795</v>
      </c>
      <c r="AF45" s="93">
        <v>1.0128280683970197</v>
      </c>
    </row>
    <row r="46" spans="1:32">
      <c r="A46" s="464" t="s">
        <v>173</v>
      </c>
      <c r="D46" s="366">
        <f t="shared" si="6"/>
        <v>12</v>
      </c>
      <c r="E46" s="366">
        <f t="shared" si="7"/>
        <v>12</v>
      </c>
      <c r="G46" s="41" t="s">
        <v>504</v>
      </c>
      <c r="I46" s="93">
        <v>1</v>
      </c>
      <c r="J46" s="93">
        <v>1</v>
      </c>
      <c r="K46" s="93">
        <v>1</v>
      </c>
      <c r="L46" s="93">
        <v>1</v>
      </c>
      <c r="M46" s="93">
        <v>1</v>
      </c>
      <c r="N46" s="93">
        <v>1</v>
      </c>
      <c r="O46" s="93">
        <v>1</v>
      </c>
      <c r="P46" s="93">
        <v>1</v>
      </c>
      <c r="Q46" s="93">
        <v>1</v>
      </c>
      <c r="R46" s="93">
        <v>1</v>
      </c>
      <c r="S46" s="93">
        <v>1</v>
      </c>
      <c r="T46" s="93">
        <v>1</v>
      </c>
      <c r="U46" s="93">
        <v>1</v>
      </c>
      <c r="V46" s="93">
        <v>1</v>
      </c>
      <c r="W46" s="93">
        <v>1</v>
      </c>
      <c r="X46" s="93">
        <v>1</v>
      </c>
      <c r="Y46" s="93">
        <v>1</v>
      </c>
      <c r="Z46" s="93">
        <v>1</v>
      </c>
      <c r="AA46" s="93">
        <v>1</v>
      </c>
      <c r="AB46" s="93">
        <v>1</v>
      </c>
      <c r="AC46" s="93">
        <v>1</v>
      </c>
      <c r="AD46" s="93">
        <v>1</v>
      </c>
      <c r="AE46" s="93">
        <v>1</v>
      </c>
      <c r="AF46" s="93">
        <v>1</v>
      </c>
    </row>
    <row r="47" spans="1:32">
      <c r="A47" s="464" t="s">
        <v>174</v>
      </c>
      <c r="D47" s="366">
        <f t="shared" si="6"/>
        <v>1055198</v>
      </c>
      <c r="E47" s="366">
        <f t="shared" si="7"/>
        <v>1059737</v>
      </c>
      <c r="G47" s="41" t="s">
        <v>505</v>
      </c>
      <c r="I47" s="93">
        <v>88470</v>
      </c>
      <c r="J47" s="93">
        <v>88448</v>
      </c>
      <c r="K47" s="93">
        <v>88378</v>
      </c>
      <c r="L47" s="93">
        <v>88268</v>
      </c>
      <c r="M47" s="93">
        <v>88037</v>
      </c>
      <c r="N47" s="93">
        <v>87675</v>
      </c>
      <c r="O47" s="93">
        <v>87314</v>
      </c>
      <c r="P47" s="93">
        <v>87036</v>
      </c>
      <c r="Q47" s="93">
        <v>86985</v>
      </c>
      <c r="R47" s="93">
        <v>87516</v>
      </c>
      <c r="S47" s="93">
        <v>88223</v>
      </c>
      <c r="T47" s="93">
        <v>88848</v>
      </c>
      <c r="U47" s="93">
        <v>89222</v>
      </c>
      <c r="V47" s="93">
        <v>89202</v>
      </c>
      <c r="W47" s="93">
        <v>89135</v>
      </c>
      <c r="X47" s="93">
        <v>89027</v>
      </c>
      <c r="Y47" s="93">
        <v>88795</v>
      </c>
      <c r="Z47" s="93">
        <v>88434</v>
      </c>
      <c r="AA47" s="93">
        <v>88072</v>
      </c>
      <c r="AB47" s="93">
        <v>87793</v>
      </c>
      <c r="AC47" s="93">
        <v>87742</v>
      </c>
      <c r="AD47" s="93">
        <v>88276</v>
      </c>
      <c r="AE47" s="93">
        <v>88986</v>
      </c>
      <c r="AF47" s="93">
        <v>89616</v>
      </c>
    </row>
    <row r="48" spans="1:32">
      <c r="A48" s="464" t="s">
        <v>175</v>
      </c>
      <c r="D48" s="366">
        <f t="shared" si="6"/>
        <v>137434.53742765947</v>
      </c>
      <c r="E48" s="366">
        <f t="shared" si="7"/>
        <v>137906.96944472712</v>
      </c>
      <c r="G48" s="41" t="s">
        <v>506</v>
      </c>
      <c r="I48" s="93">
        <v>11494.779372355342</v>
      </c>
      <c r="J48" s="93">
        <v>11531.25485753194</v>
      </c>
      <c r="K48" s="93">
        <v>11517.536464735505</v>
      </c>
      <c r="L48" s="93">
        <v>11488.934457462357</v>
      </c>
      <c r="M48" s="93">
        <v>11463.904281166357</v>
      </c>
      <c r="N48" s="93">
        <v>11444.089024394199</v>
      </c>
      <c r="O48" s="93">
        <v>11398.932919401916</v>
      </c>
      <c r="P48" s="93">
        <v>11379.28200854707</v>
      </c>
      <c r="Q48" s="93">
        <v>11353.231656685846</v>
      </c>
      <c r="R48" s="93">
        <v>11375.502734938284</v>
      </c>
      <c r="S48" s="93">
        <v>11451.01213270522</v>
      </c>
      <c r="T48" s="93">
        <v>11536.077517735419</v>
      </c>
      <c r="U48" s="93">
        <v>11578.395927304955</v>
      </c>
      <c r="V48" s="93">
        <v>11602.842473550754</v>
      </c>
      <c r="W48" s="93">
        <v>11602.14620821899</v>
      </c>
      <c r="X48" s="93">
        <v>11563.512120175947</v>
      </c>
      <c r="Y48" s="93">
        <v>11548.433817068746</v>
      </c>
      <c r="Z48" s="93">
        <v>11517.599928393945</v>
      </c>
      <c r="AA48" s="93">
        <v>11480.420245393923</v>
      </c>
      <c r="AB48" s="93">
        <v>11452.74076422659</v>
      </c>
      <c r="AC48" s="93">
        <v>11436.656660533219</v>
      </c>
      <c r="AD48" s="93">
        <v>11453.958102520501</v>
      </c>
      <c r="AE48" s="93">
        <v>11531.529516485683</v>
      </c>
      <c r="AF48" s="93">
        <v>11613.62227346739</v>
      </c>
    </row>
    <row r="49" spans="1:32">
      <c r="A49" s="464" t="s">
        <v>176</v>
      </c>
      <c r="D49" s="366">
        <f t="shared" si="6"/>
        <v>986.50513902354476</v>
      </c>
      <c r="E49" s="366">
        <f t="shared" si="7"/>
        <v>992.50728485587615</v>
      </c>
      <c r="G49" s="41" t="s">
        <v>507</v>
      </c>
      <c r="I49" s="93">
        <v>79.850906376365344</v>
      </c>
      <c r="J49" s="93">
        <v>86.84660151358284</v>
      </c>
      <c r="K49" s="93">
        <v>82.828725657167368</v>
      </c>
      <c r="L49" s="93">
        <v>81.322824647505016</v>
      </c>
      <c r="M49" s="93">
        <v>81.817129541390827</v>
      </c>
      <c r="N49" s="93">
        <v>81.825604524205488</v>
      </c>
      <c r="O49" s="93">
        <v>81.831553604562913</v>
      </c>
      <c r="P49" s="93">
        <v>81.835220324302568</v>
      </c>
      <c r="Q49" s="93">
        <v>81.836966638195562</v>
      </c>
      <c r="R49" s="93">
        <v>81.837295981640111</v>
      </c>
      <c r="S49" s="93">
        <v>81.83687977928345</v>
      </c>
      <c r="T49" s="93">
        <v>82.83543043534327</v>
      </c>
      <c r="U49" s="93">
        <v>80.833761585295406</v>
      </c>
      <c r="V49" s="93">
        <v>87.832332852706244</v>
      </c>
      <c r="W49" s="93">
        <v>83.831143797633189</v>
      </c>
      <c r="X49" s="93">
        <v>82.331345309338673</v>
      </c>
      <c r="Y49" s="93">
        <v>82.832055364491481</v>
      </c>
      <c r="Z49" s="93">
        <v>82.833299183083199</v>
      </c>
      <c r="AA49" s="93">
        <v>82.833940404656346</v>
      </c>
      <c r="AB49" s="93">
        <v>82.834139304664134</v>
      </c>
      <c r="AC49" s="93">
        <v>82.834049219694265</v>
      </c>
      <c r="AD49" s="93">
        <v>82.833806101485806</v>
      </c>
      <c r="AE49" s="93">
        <v>82.833515278139615</v>
      </c>
      <c r="AF49" s="93">
        <v>83.833234903044286</v>
      </c>
    </row>
    <row r="50" spans="1:32">
      <c r="A50" s="464" t="s">
        <v>177</v>
      </c>
      <c r="D50" s="366">
        <f t="shared" si="6"/>
        <v>404.56767132528756</v>
      </c>
      <c r="E50" s="366">
        <f t="shared" si="7"/>
        <v>404.31623793232876</v>
      </c>
      <c r="G50" s="41" t="s">
        <v>508</v>
      </c>
      <c r="I50" s="93">
        <v>33.388744800347141</v>
      </c>
      <c r="J50" s="93">
        <v>32.564556677230875</v>
      </c>
      <c r="K50" s="93">
        <v>32.032365965351929</v>
      </c>
      <c r="L50" s="93">
        <v>32.418169349908197</v>
      </c>
      <c r="M50" s="93">
        <v>33.695176890242806</v>
      </c>
      <c r="N50" s="93">
        <v>33.18025718505028</v>
      </c>
      <c r="O50" s="93">
        <v>33.266776923390623</v>
      </c>
      <c r="P50" s="93">
        <v>34.611266803117999</v>
      </c>
      <c r="Q50" s="93">
        <v>36.043828604964304</v>
      </c>
      <c r="R50" s="93">
        <v>35.828875438686033</v>
      </c>
      <c r="S50" s="93">
        <v>34.313878969006211</v>
      </c>
      <c r="T50" s="93">
        <v>33.223773717991172</v>
      </c>
      <c r="U50" s="93">
        <v>33.312802019771986</v>
      </c>
      <c r="V50" s="93">
        <v>32.509733143233802</v>
      </c>
      <c r="W50" s="93">
        <v>31.979124979062703</v>
      </c>
      <c r="X50" s="93">
        <v>32.373542340722373</v>
      </c>
      <c r="Y50" s="93">
        <v>33.675230760410834</v>
      </c>
      <c r="Z50" s="93">
        <v>33.177404231970641</v>
      </c>
      <c r="AA50" s="93">
        <v>33.279405404643285</v>
      </c>
      <c r="AB50" s="93">
        <v>34.637974810872755</v>
      </c>
      <c r="AC50" s="93">
        <v>36.083570370827076</v>
      </c>
      <c r="AD50" s="93">
        <v>35.882879600436191</v>
      </c>
      <c r="AE50" s="93">
        <v>34.382979483945228</v>
      </c>
      <c r="AF50" s="93">
        <v>33.278814068089531</v>
      </c>
    </row>
    <row r="51" spans="1:32">
      <c r="A51" s="464" t="s">
        <v>178</v>
      </c>
      <c r="D51" s="366">
        <f t="shared" si="6"/>
        <v>44.42</v>
      </c>
      <c r="E51" s="366">
        <f t="shared" si="7"/>
        <v>44.372099999999996</v>
      </c>
      <c r="G51" s="41" t="s">
        <v>509</v>
      </c>
      <c r="I51" s="93">
        <v>2.1817000000000002</v>
      </c>
      <c r="J51" s="93">
        <v>1.7298</v>
      </c>
      <c r="K51" s="93">
        <v>1.9701</v>
      </c>
      <c r="L51" s="93">
        <v>2.3231999999999999</v>
      </c>
      <c r="M51" s="93">
        <v>2.9100999999999999</v>
      </c>
      <c r="N51" s="93">
        <v>2.1879999999999997</v>
      </c>
      <c r="O51" s="93">
        <v>3.4336000000000002</v>
      </c>
      <c r="P51" s="93">
        <v>4.6167999999999996</v>
      </c>
      <c r="Q51" s="93">
        <v>8.7057000000000002</v>
      </c>
      <c r="R51" s="93">
        <v>8.4995000000000012</v>
      </c>
      <c r="S51" s="93">
        <v>2.9544999999999999</v>
      </c>
      <c r="T51" s="93">
        <v>2.907</v>
      </c>
      <c r="U51" s="93">
        <v>2.2122999999999999</v>
      </c>
      <c r="V51" s="93">
        <v>1.7123999999999999</v>
      </c>
      <c r="W51" s="93">
        <v>1.8994</v>
      </c>
      <c r="X51" s="93">
        <v>2.2801</v>
      </c>
      <c r="Y51" s="93">
        <v>2.9266999999999999</v>
      </c>
      <c r="Z51" s="93">
        <v>2.2241</v>
      </c>
      <c r="AA51" s="93">
        <v>3.4774000000000003</v>
      </c>
      <c r="AB51" s="93">
        <v>4.6046999999999993</v>
      </c>
      <c r="AC51" s="93">
        <v>8.6784999999999997</v>
      </c>
      <c r="AD51" s="93">
        <v>8.4641999999999999</v>
      </c>
      <c r="AE51" s="93">
        <v>2.9403999999999999</v>
      </c>
      <c r="AF51" s="93">
        <v>2.9253</v>
      </c>
    </row>
    <row r="52" spans="1:32">
      <c r="A52" s="464" t="s">
        <v>179</v>
      </c>
      <c r="D52" s="366">
        <f t="shared" si="6"/>
        <v>36</v>
      </c>
      <c r="E52" s="366">
        <f t="shared" si="7"/>
        <v>36</v>
      </c>
      <c r="G52" s="41" t="s">
        <v>510</v>
      </c>
      <c r="I52" s="93">
        <v>3</v>
      </c>
      <c r="J52" s="93">
        <v>3</v>
      </c>
      <c r="K52" s="93">
        <v>3</v>
      </c>
      <c r="L52" s="93">
        <v>3</v>
      </c>
      <c r="M52" s="93">
        <v>3</v>
      </c>
      <c r="N52" s="93">
        <v>3</v>
      </c>
      <c r="O52" s="93">
        <v>3</v>
      </c>
      <c r="P52" s="93">
        <v>3</v>
      </c>
      <c r="Q52" s="93">
        <v>3</v>
      </c>
      <c r="R52" s="93">
        <v>3</v>
      </c>
      <c r="S52" s="93">
        <v>3</v>
      </c>
      <c r="T52" s="93">
        <v>3</v>
      </c>
      <c r="U52" s="93">
        <v>3</v>
      </c>
      <c r="V52" s="93">
        <v>3</v>
      </c>
      <c r="W52" s="93">
        <v>3</v>
      </c>
      <c r="X52" s="93">
        <v>3</v>
      </c>
      <c r="Y52" s="93">
        <v>3</v>
      </c>
      <c r="Z52" s="93">
        <v>3</v>
      </c>
      <c r="AA52" s="93">
        <v>3</v>
      </c>
      <c r="AB52" s="93">
        <v>3</v>
      </c>
      <c r="AC52" s="93">
        <v>3</v>
      </c>
      <c r="AD52" s="93">
        <v>3</v>
      </c>
      <c r="AE52" s="93">
        <v>3</v>
      </c>
      <c r="AF52" s="93">
        <v>3</v>
      </c>
    </row>
    <row r="53" spans="1:32">
      <c r="A53" s="464" t="s">
        <v>180</v>
      </c>
      <c r="D53" s="366">
        <f t="shared" si="6"/>
        <v>431.07309340150175</v>
      </c>
      <c r="E53" s="366">
        <f t="shared" si="7"/>
        <v>431.07876037501558</v>
      </c>
      <c r="G53" s="41" t="s">
        <v>511</v>
      </c>
      <c r="I53" s="93">
        <v>35.922214520524442</v>
      </c>
      <c r="J53" s="93">
        <v>35.921507112671769</v>
      </c>
      <c r="K53" s="93">
        <v>35.921221980451122</v>
      </c>
      <c r="L53" s="93">
        <v>35.921434415689028</v>
      </c>
      <c r="M53" s="93">
        <v>35.922229326380119</v>
      </c>
      <c r="N53" s="93">
        <v>35.923702316521897</v>
      </c>
      <c r="O53" s="93">
        <v>35.924224768031877</v>
      </c>
      <c r="P53" s="93">
        <v>35.924062056484345</v>
      </c>
      <c r="Q53" s="93">
        <v>35.923566556660148</v>
      </c>
      <c r="R53" s="93">
        <v>35.923193313610341</v>
      </c>
      <c r="S53" s="93">
        <v>35.922939268872376</v>
      </c>
      <c r="T53" s="93">
        <v>35.922797765604315</v>
      </c>
      <c r="U53" s="93">
        <v>35.922757783458479</v>
      </c>
      <c r="V53" s="93">
        <v>35.922803055369656</v>
      </c>
      <c r="W53" s="93">
        <v>35.922911050594479</v>
      </c>
      <c r="X53" s="93">
        <v>35.923051806439759</v>
      </c>
      <c r="Y53" s="93">
        <v>35.923186589002313</v>
      </c>
      <c r="Z53" s="93">
        <v>35.923266360887496</v>
      </c>
      <c r="AA53" s="93">
        <v>35.923230031251293</v>
      </c>
      <c r="AB53" s="93">
        <v>35.923147136519582</v>
      </c>
      <c r="AC53" s="93">
        <v>35.923070893189191</v>
      </c>
      <c r="AD53" s="93">
        <v>35.923029587899947</v>
      </c>
      <c r="AE53" s="93">
        <v>35.923015944090743</v>
      </c>
      <c r="AF53" s="93">
        <v>35.923022333692273</v>
      </c>
    </row>
    <row r="54" spans="1:32">
      <c r="A54" s="465"/>
      <c r="D54" s="92"/>
      <c r="G54" s="40"/>
    </row>
    <row r="55" spans="1:32">
      <c r="A55" s="463" t="s">
        <v>512</v>
      </c>
      <c r="D55" s="92"/>
      <c r="G55" s="40"/>
    </row>
    <row r="56" spans="1:32">
      <c r="A56" s="464" t="s">
        <v>181</v>
      </c>
      <c r="D56" s="366">
        <f>SUM(D35:D40)</f>
        <v>1885756.1269935071</v>
      </c>
      <c r="E56" s="366">
        <f>SUM(E35:E40)</f>
        <v>1896900.3528417312</v>
      </c>
      <c r="G56" s="41" t="s">
        <v>513</v>
      </c>
      <c r="I56" s="366">
        <f>SUM(I35:I40)</f>
        <v>156965.48468179439</v>
      </c>
      <c r="J56" s="366">
        <f t="shared" ref="J56:AF56" si="8">SUM(J35:J40)</f>
        <v>156976.42108525435</v>
      </c>
      <c r="K56" s="366">
        <f t="shared" si="8"/>
        <v>156935.38004219523</v>
      </c>
      <c r="L56" s="366">
        <f t="shared" si="8"/>
        <v>156846.32351706192</v>
      </c>
      <c r="M56" s="366">
        <f t="shared" si="8"/>
        <v>156779.24875897454</v>
      </c>
      <c r="N56" s="366">
        <f t="shared" si="8"/>
        <v>156570.15276261518</v>
      </c>
      <c r="O56" s="366">
        <f t="shared" si="8"/>
        <v>156663.06212085122</v>
      </c>
      <c r="P56" s="366">
        <f t="shared" si="8"/>
        <v>156790.97473149118</v>
      </c>
      <c r="Q56" s="366">
        <f t="shared" si="8"/>
        <v>157044.89050559091</v>
      </c>
      <c r="R56" s="366">
        <f t="shared" si="8"/>
        <v>157505.80889775255</v>
      </c>
      <c r="S56" s="366">
        <f t="shared" si="8"/>
        <v>158108.72902254015</v>
      </c>
      <c r="T56" s="366">
        <f t="shared" si="8"/>
        <v>158569.65086738547</v>
      </c>
      <c r="U56" s="366">
        <f t="shared" si="8"/>
        <v>158791.57341612561</v>
      </c>
      <c r="V56" s="366">
        <f t="shared" si="8"/>
        <v>158820.49538565319</v>
      </c>
      <c r="W56" s="366">
        <f t="shared" si="8"/>
        <v>158790.41651068642</v>
      </c>
      <c r="X56" s="366">
        <f t="shared" si="8"/>
        <v>158712.33460806074</v>
      </c>
      <c r="Y56" s="366">
        <f t="shared" si="8"/>
        <v>158652.25069064397</v>
      </c>
      <c r="Z56" s="366">
        <f t="shared" si="8"/>
        <v>158450.16608494971</v>
      </c>
      <c r="AA56" s="366">
        <f t="shared" si="8"/>
        <v>158541.08248681095</v>
      </c>
      <c r="AB56" s="366">
        <f t="shared" si="8"/>
        <v>158665.99991730758</v>
      </c>
      <c r="AC56" s="366">
        <f t="shared" si="8"/>
        <v>158917.91764945892</v>
      </c>
      <c r="AD56" s="366">
        <f t="shared" si="8"/>
        <v>159378.83553644794</v>
      </c>
      <c r="AE56" s="366">
        <f t="shared" si="8"/>
        <v>159982.75376467258</v>
      </c>
      <c r="AF56" s="366">
        <f t="shared" si="8"/>
        <v>160448.67167651691</v>
      </c>
    </row>
    <row r="57" spans="1:32">
      <c r="A57" s="464" t="s">
        <v>182</v>
      </c>
      <c r="D57" s="366">
        <f>SUM(D41:D46)</f>
        <v>962103.4586784573</v>
      </c>
      <c r="E57" s="366">
        <f>SUM(E41:E46)</f>
        <v>968454.17407134175</v>
      </c>
      <c r="G57" s="41" t="s">
        <v>514</v>
      </c>
      <c r="I57" s="366">
        <f>SUM(I41:I46)</f>
        <v>80062.683908305451</v>
      </c>
      <c r="J57" s="366">
        <f t="shared" ref="J57:AF57" si="9">SUM(J41:J46)</f>
        <v>80051.651442290706</v>
      </c>
      <c r="K57" s="366">
        <f t="shared" si="9"/>
        <v>80016.630997160275</v>
      </c>
      <c r="L57" s="366">
        <f t="shared" si="9"/>
        <v>79961.617364353297</v>
      </c>
      <c r="M57" s="366">
        <f t="shared" si="9"/>
        <v>79938.597481653764</v>
      </c>
      <c r="N57" s="366">
        <f t="shared" si="9"/>
        <v>79888.611959029658</v>
      </c>
      <c r="O57" s="366">
        <f t="shared" si="9"/>
        <v>79975.619266095571</v>
      </c>
      <c r="P57" s="366">
        <f t="shared" si="9"/>
        <v>80019.62040355886</v>
      </c>
      <c r="Q57" s="366">
        <f t="shared" si="9"/>
        <v>80213.616698523852</v>
      </c>
      <c r="R57" s="366">
        <f t="shared" si="9"/>
        <v>80371.610085688546</v>
      </c>
      <c r="S57" s="366">
        <f t="shared" si="9"/>
        <v>80626.602900536236</v>
      </c>
      <c r="T57" s="366">
        <f t="shared" si="9"/>
        <v>80976.596171261132</v>
      </c>
      <c r="U57" s="366">
        <f t="shared" si="9"/>
        <v>81113.590298204785</v>
      </c>
      <c r="V57" s="366">
        <f t="shared" si="9"/>
        <v>81106.586130696393</v>
      </c>
      <c r="W57" s="366">
        <f t="shared" si="9"/>
        <v>81072.583813063524</v>
      </c>
      <c r="X57" s="366">
        <f t="shared" si="9"/>
        <v>81022.582689388801</v>
      </c>
      <c r="Y57" s="366">
        <f t="shared" si="9"/>
        <v>81002.58235814175</v>
      </c>
      <c r="Z57" s="366">
        <f t="shared" si="9"/>
        <v>80952.583256182421</v>
      </c>
      <c r="AA57" s="366">
        <f t="shared" si="9"/>
        <v>81044.582797611816</v>
      </c>
      <c r="AB57" s="366">
        <f t="shared" si="9"/>
        <v>81088.581508571515</v>
      </c>
      <c r="AC57" s="366">
        <f t="shared" si="9"/>
        <v>81283.57977565589</v>
      </c>
      <c r="AD57" s="366">
        <f t="shared" si="9"/>
        <v>81445.578107083566</v>
      </c>
      <c r="AE57" s="366">
        <f t="shared" si="9"/>
        <v>81700.576583866481</v>
      </c>
      <c r="AF57" s="366">
        <f t="shared" si="9"/>
        <v>82053.575499144019</v>
      </c>
    </row>
    <row r="58" spans="1:32">
      <c r="A58" s="464" t="s">
        <v>183</v>
      </c>
      <c r="D58" s="366">
        <f>SUM(D47:D53)</f>
        <v>1194535.1033314096</v>
      </c>
      <c r="E58" s="366">
        <f>SUM(E47:E53)</f>
        <v>1199552.2438278904</v>
      </c>
      <c r="G58" s="41" t="s">
        <v>515</v>
      </c>
      <c r="I58" s="366">
        <f>SUM(I47:I53)</f>
        <v>100119.12293805259</v>
      </c>
      <c r="J58" s="366">
        <f t="shared" ref="J58:AF58" si="10">SUM(J47:J53)</f>
        <v>100139.31732283541</v>
      </c>
      <c r="K58" s="366">
        <f t="shared" si="10"/>
        <v>100051.28887833847</v>
      </c>
      <c r="L58" s="366">
        <f t="shared" si="10"/>
        <v>99911.920085875463</v>
      </c>
      <c r="M58" s="366">
        <f t="shared" si="10"/>
        <v>99658.248916924349</v>
      </c>
      <c r="N58" s="366">
        <f t="shared" si="10"/>
        <v>99275.206588419969</v>
      </c>
      <c r="O58" s="366">
        <f t="shared" si="10"/>
        <v>98870.389074697901</v>
      </c>
      <c r="P58" s="366">
        <f t="shared" si="10"/>
        <v>98575.269357730969</v>
      </c>
      <c r="Q58" s="366">
        <f t="shared" si="10"/>
        <v>98503.741718485675</v>
      </c>
      <c r="R58" s="366">
        <f t="shared" si="10"/>
        <v>99056.591599672218</v>
      </c>
      <c r="S58" s="366">
        <f t="shared" si="10"/>
        <v>99832.04033072239</v>
      </c>
      <c r="T58" s="366">
        <f t="shared" si="10"/>
        <v>100541.96651965436</v>
      </c>
      <c r="U58" s="366">
        <f t="shared" si="10"/>
        <v>100955.67754869348</v>
      </c>
      <c r="V58" s="366">
        <f t="shared" si="10"/>
        <v>100965.81974260206</v>
      </c>
      <c r="W58" s="366">
        <f t="shared" si="10"/>
        <v>100893.77878804629</v>
      </c>
      <c r="X58" s="366">
        <f t="shared" si="10"/>
        <v>100746.42015963246</v>
      </c>
      <c r="Y58" s="366">
        <f t="shared" si="10"/>
        <v>100501.79098978263</v>
      </c>
      <c r="Z58" s="366">
        <f t="shared" si="10"/>
        <v>100108.75799816989</v>
      </c>
      <c r="AA58" s="366">
        <f t="shared" si="10"/>
        <v>99710.934221234478</v>
      </c>
      <c r="AB58" s="366">
        <f t="shared" si="10"/>
        <v>99406.740725478638</v>
      </c>
      <c r="AC58" s="366">
        <f t="shared" si="10"/>
        <v>99345.175851016917</v>
      </c>
      <c r="AD58" s="366">
        <f t="shared" si="10"/>
        <v>99896.062017810313</v>
      </c>
      <c r="AE58" s="366">
        <f t="shared" si="10"/>
        <v>100676.60942719186</v>
      </c>
      <c r="AF58" s="366">
        <f t="shared" si="10"/>
        <v>101388.58264477222</v>
      </c>
    </row>
    <row r="59" spans="1:32">
      <c r="A59" s="466"/>
      <c r="D59" s="366"/>
      <c r="E59" s="366"/>
      <c r="G59" s="40"/>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row>
    <row r="60" spans="1:32">
      <c r="A60" s="467" t="s">
        <v>184</v>
      </c>
      <c r="D60" s="366">
        <f>SUM(D56:D58)</f>
        <v>4042394.6890033744</v>
      </c>
      <c r="E60" s="366">
        <f>SUM(E56:E58)</f>
        <v>4064906.7707409635</v>
      </c>
      <c r="G60" s="41" t="s">
        <v>516</v>
      </c>
      <c r="I60" s="366">
        <f>SUM(I56:I58)</f>
        <v>337147.29152815242</v>
      </c>
      <c r="J60" s="366">
        <f t="shared" ref="J60:AF60" si="11">SUM(J56:J58)</f>
        <v>337167.38985038048</v>
      </c>
      <c r="K60" s="366">
        <f t="shared" si="11"/>
        <v>337003.29991769395</v>
      </c>
      <c r="L60" s="366">
        <f t="shared" si="11"/>
        <v>336719.8609672907</v>
      </c>
      <c r="M60" s="366">
        <f t="shared" si="11"/>
        <v>336376.09515755263</v>
      </c>
      <c r="N60" s="366">
        <f t="shared" si="11"/>
        <v>335733.97131006478</v>
      </c>
      <c r="O60" s="366">
        <f t="shared" si="11"/>
        <v>335509.07046164467</v>
      </c>
      <c r="P60" s="366">
        <f t="shared" si="11"/>
        <v>335385.86449278099</v>
      </c>
      <c r="Q60" s="366">
        <f t="shared" si="11"/>
        <v>335762.24892260041</v>
      </c>
      <c r="R60" s="366">
        <f t="shared" si="11"/>
        <v>336934.0105831133</v>
      </c>
      <c r="S60" s="366">
        <f t="shared" si="11"/>
        <v>338567.37225379876</v>
      </c>
      <c r="T60" s="366">
        <f t="shared" si="11"/>
        <v>340088.21355830098</v>
      </c>
      <c r="U60" s="366">
        <f t="shared" si="11"/>
        <v>340860.8412630239</v>
      </c>
      <c r="V60" s="366">
        <f t="shared" si="11"/>
        <v>340892.90125895164</v>
      </c>
      <c r="W60" s="366">
        <f t="shared" si="11"/>
        <v>340756.77911179623</v>
      </c>
      <c r="X60" s="366">
        <f t="shared" si="11"/>
        <v>340481.337457082</v>
      </c>
      <c r="Y60" s="366">
        <f t="shared" si="11"/>
        <v>340156.62403856835</v>
      </c>
      <c r="Z60" s="366">
        <f t="shared" si="11"/>
        <v>339511.50733930198</v>
      </c>
      <c r="AA60" s="366">
        <f t="shared" si="11"/>
        <v>339296.59950565721</v>
      </c>
      <c r="AB60" s="366">
        <f t="shared" si="11"/>
        <v>339161.32215135772</v>
      </c>
      <c r="AC60" s="366">
        <f t="shared" si="11"/>
        <v>339546.67327613174</v>
      </c>
      <c r="AD60" s="366">
        <f t="shared" si="11"/>
        <v>340720.4756613418</v>
      </c>
      <c r="AE60" s="366">
        <f t="shared" si="11"/>
        <v>342359.93977573089</v>
      </c>
      <c r="AF60" s="366">
        <f t="shared" si="11"/>
        <v>343890.82982043317</v>
      </c>
    </row>
  </sheetData>
  <pageMargins left="0.7" right="0.7" top="0.75" bottom="0.75" header="0.3" footer="0.3"/>
  <pageSetup scale="92" orientation="portrait" r:id="rId1"/>
  <headerFooter>
    <oddFooter>&amp;C&amp;F / &amp;A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U65"/>
  <sheetViews>
    <sheetView view="pageBreakPreview" zoomScaleNormal="100" zoomScaleSheetLayoutView="100" workbookViewId="0">
      <pane xSplit="9345" ySplit="6615" topLeftCell="Y1" activePane="topRight"/>
      <selection activeCell="J18" sqref="J18"/>
      <selection pane="topRight" activeCell="AU19" sqref="AU19"/>
      <selection pane="bottomLeft" activeCell="E40" sqref="E40"/>
      <selection pane="bottomRight" activeCell="AU65" sqref="AU65"/>
    </sheetView>
  </sheetViews>
  <sheetFormatPr defaultRowHeight="12.75"/>
  <cols>
    <col min="1" max="1" width="5.7109375" style="22" customWidth="1"/>
    <col min="2" max="3" width="1.7109375" style="3" customWidth="1"/>
    <col min="4" max="4" width="23.28515625" style="3" customWidth="1"/>
    <col min="5" max="5" width="9" style="120" customWidth="1"/>
    <col min="6" max="6" width="3.85546875" style="120"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5" width="6.7109375" customWidth="1"/>
    <col min="26" max="26" width="9.42578125" customWidth="1"/>
    <col min="27" max="27" width="6.7109375" customWidth="1"/>
    <col min="28" max="28" width="6.42578125" customWidth="1"/>
    <col min="29" max="29" width="9.42578125" customWidth="1"/>
    <col min="30" max="30" width="7" customWidth="1"/>
    <col min="31" max="31" width="7.7109375" customWidth="1"/>
    <col min="32" max="32" width="8.85546875" customWidth="1"/>
    <col min="33" max="33" width="7" customWidth="1"/>
    <col min="34" max="34" width="7.28515625" customWidth="1"/>
    <col min="35" max="35" width="8.85546875" customWidth="1"/>
    <col min="36" max="36" width="8.140625" customWidth="1"/>
    <col min="37" max="37" width="8" customWidth="1"/>
    <col min="39" max="39" width="7.140625" hidden="1" customWidth="1"/>
    <col min="40" max="40" width="6.7109375" hidden="1" customWidth="1"/>
    <col min="41" max="41" width="7.85546875" customWidth="1"/>
    <col min="42" max="43" width="0" hidden="1" customWidth="1"/>
    <col min="44" max="44" width="8.85546875" style="120"/>
    <col min="45" max="46" width="0" hidden="1" customWidth="1"/>
  </cols>
  <sheetData>
    <row r="1" spans="1:47">
      <c r="A1" s="2" t="s">
        <v>43</v>
      </c>
    </row>
    <row r="2" spans="1:47">
      <c r="A2" s="2" t="s">
        <v>48</v>
      </c>
    </row>
    <row r="3" spans="1:47">
      <c r="A3" s="2" t="s">
        <v>55</v>
      </c>
      <c r="I3" s="104"/>
      <c r="M3" s="104"/>
    </row>
    <row r="4" spans="1:47">
      <c r="A4" s="2" t="s">
        <v>39</v>
      </c>
      <c r="B4" s="2"/>
      <c r="C4" s="2"/>
      <c r="D4" s="2"/>
      <c r="I4" s="104"/>
      <c r="M4" s="104"/>
    </row>
    <row r="5" spans="1:47">
      <c r="A5" s="2"/>
      <c r="G5" s="47"/>
      <c r="H5" s="104"/>
      <c r="I5" s="47"/>
      <c r="J5" s="104"/>
      <c r="K5" s="47"/>
      <c r="L5" s="104"/>
      <c r="M5" s="47"/>
      <c r="N5" s="104"/>
      <c r="O5" s="47"/>
      <c r="P5" s="104"/>
      <c r="Q5" s="47"/>
      <c r="R5" s="104"/>
      <c r="S5" s="47"/>
      <c r="T5" s="104"/>
      <c r="U5" s="47"/>
      <c r="V5" s="104"/>
      <c r="W5" s="55"/>
      <c r="X5" s="47"/>
      <c r="Y5" s="104"/>
      <c r="Z5" s="104"/>
      <c r="AA5" s="47"/>
      <c r="AD5" s="47"/>
      <c r="AG5" s="47"/>
      <c r="AJ5" s="47"/>
      <c r="AK5" s="104"/>
      <c r="AL5" s="55"/>
      <c r="AM5" s="47"/>
      <c r="AN5" s="104"/>
      <c r="AO5" s="55"/>
      <c r="AP5" s="47"/>
      <c r="AQ5" s="104"/>
      <c r="AR5" s="349" t="s">
        <v>424</v>
      </c>
      <c r="AS5" s="500"/>
      <c r="AT5" s="501"/>
      <c r="AU5" s="502" t="s">
        <v>424</v>
      </c>
    </row>
    <row r="6" spans="1:47">
      <c r="A6" s="5"/>
      <c r="B6" s="6"/>
      <c r="C6" s="6"/>
      <c r="D6" s="6"/>
      <c r="G6" s="48">
        <v>2000</v>
      </c>
      <c r="H6" s="113"/>
      <c r="I6" s="48">
        <v>2001</v>
      </c>
      <c r="J6" s="113"/>
      <c r="K6" s="48">
        <v>2002</v>
      </c>
      <c r="L6" s="113"/>
      <c r="M6" s="48">
        <v>2003</v>
      </c>
      <c r="N6" s="113"/>
      <c r="O6" s="65" t="s">
        <v>68</v>
      </c>
      <c r="P6" s="111"/>
      <c r="Q6" s="48">
        <v>2005</v>
      </c>
      <c r="R6" s="113"/>
      <c r="S6" s="65" t="s">
        <v>69</v>
      </c>
      <c r="T6" s="111"/>
      <c r="U6" s="48" t="s">
        <v>65</v>
      </c>
      <c r="V6" s="56"/>
      <c r="W6" s="105"/>
      <c r="X6" s="48" t="s">
        <v>64</v>
      </c>
      <c r="Y6" s="105"/>
      <c r="Z6" s="105"/>
      <c r="AA6" s="48" t="s">
        <v>63</v>
      </c>
      <c r="AB6" s="42"/>
      <c r="AC6" s="42"/>
      <c r="AD6" s="48" t="s">
        <v>62</v>
      </c>
      <c r="AE6" s="42"/>
      <c r="AF6" s="42"/>
      <c r="AG6" s="48" t="s">
        <v>60</v>
      </c>
      <c r="AH6" s="42"/>
      <c r="AI6" s="42"/>
      <c r="AJ6" s="598" t="s">
        <v>129</v>
      </c>
      <c r="AK6" s="599"/>
      <c r="AL6" s="600"/>
      <c r="AM6" s="598" t="s">
        <v>374</v>
      </c>
      <c r="AN6" s="599"/>
      <c r="AO6" s="600"/>
      <c r="AP6" s="598" t="s">
        <v>409</v>
      </c>
      <c r="AQ6" s="599"/>
      <c r="AR6" s="600"/>
      <c r="AS6" s="601" t="s">
        <v>531</v>
      </c>
      <c r="AT6" s="602"/>
      <c r="AU6" s="603"/>
    </row>
    <row r="7" spans="1:47">
      <c r="A7" s="8"/>
      <c r="B7" s="9"/>
      <c r="C7" s="10"/>
      <c r="D7" s="11"/>
      <c r="G7" s="49"/>
      <c r="H7" s="112"/>
      <c r="I7" s="49"/>
      <c r="J7" s="112"/>
      <c r="K7" s="49"/>
      <c r="L7" s="112"/>
      <c r="M7" s="49"/>
      <c r="N7" s="112"/>
      <c r="O7" s="49"/>
      <c r="P7" s="112"/>
      <c r="Q7" s="49"/>
      <c r="R7" s="112"/>
      <c r="S7" s="49"/>
      <c r="T7" s="112"/>
      <c r="U7" s="49"/>
      <c r="V7" s="106" t="s">
        <v>57</v>
      </c>
      <c r="W7" s="57"/>
      <c r="X7" s="49"/>
      <c r="Y7" s="106" t="s">
        <v>57</v>
      </c>
      <c r="Z7" s="57"/>
      <c r="AA7" s="49"/>
      <c r="AB7" s="41" t="s">
        <v>57</v>
      </c>
      <c r="AC7" s="41"/>
      <c r="AD7" s="49"/>
      <c r="AE7" s="41" t="s">
        <v>57</v>
      </c>
      <c r="AF7" s="41"/>
      <c r="AG7" s="49"/>
      <c r="AH7" s="41" t="s">
        <v>57</v>
      </c>
      <c r="AI7" s="41"/>
      <c r="AJ7" s="49"/>
      <c r="AK7" s="106" t="s">
        <v>57</v>
      </c>
      <c r="AL7" s="55"/>
      <c r="AM7" s="49"/>
      <c r="AN7" s="106" t="s">
        <v>57</v>
      </c>
      <c r="AO7" s="55"/>
      <c r="AP7" s="49"/>
      <c r="AQ7" s="106" t="s">
        <v>57</v>
      </c>
      <c r="AR7" s="337"/>
      <c r="AS7" s="503"/>
      <c r="AT7" s="504" t="s">
        <v>57</v>
      </c>
      <c r="AU7" s="505"/>
    </row>
    <row r="8" spans="1:47">
      <c r="A8" s="12" t="s">
        <v>0</v>
      </c>
      <c r="B8" s="13"/>
      <c r="C8" s="14"/>
      <c r="D8" s="15"/>
      <c r="G8" s="50" t="s">
        <v>57</v>
      </c>
      <c r="H8" s="106" t="s">
        <v>57</v>
      </c>
      <c r="I8" s="50" t="s">
        <v>57</v>
      </c>
      <c r="J8" s="106" t="s">
        <v>57</v>
      </c>
      <c r="K8" s="50" t="s">
        <v>57</v>
      </c>
      <c r="L8" s="106" t="s">
        <v>57</v>
      </c>
      <c r="M8" s="50" t="s">
        <v>57</v>
      </c>
      <c r="N8" s="106" t="s">
        <v>57</v>
      </c>
      <c r="O8" s="50" t="s">
        <v>57</v>
      </c>
      <c r="P8" s="106" t="s">
        <v>57</v>
      </c>
      <c r="Q8" s="50" t="s">
        <v>57</v>
      </c>
      <c r="R8" s="106" t="s">
        <v>57</v>
      </c>
      <c r="S8" s="50" t="s">
        <v>57</v>
      </c>
      <c r="T8" s="106" t="s">
        <v>57</v>
      </c>
      <c r="U8" s="50" t="s">
        <v>57</v>
      </c>
      <c r="V8" s="106" t="s">
        <v>61</v>
      </c>
      <c r="W8" s="106" t="s">
        <v>57</v>
      </c>
      <c r="X8" s="50" t="s">
        <v>57</v>
      </c>
      <c r="Y8" s="106" t="s">
        <v>61</v>
      </c>
      <c r="Z8" s="106" t="s">
        <v>57</v>
      </c>
      <c r="AA8" s="50" t="s">
        <v>57</v>
      </c>
      <c r="AB8" s="106" t="s">
        <v>61</v>
      </c>
      <c r="AC8" s="106" t="s">
        <v>57</v>
      </c>
      <c r="AD8" s="50" t="s">
        <v>57</v>
      </c>
      <c r="AE8" s="106" t="s">
        <v>61</v>
      </c>
      <c r="AF8" s="106" t="s">
        <v>57</v>
      </c>
      <c r="AG8" s="50" t="s">
        <v>57</v>
      </c>
      <c r="AH8" s="106" t="s">
        <v>61</v>
      </c>
      <c r="AI8" s="106" t="s">
        <v>57</v>
      </c>
      <c r="AJ8" s="50" t="s">
        <v>57</v>
      </c>
      <c r="AK8" s="106" t="s">
        <v>61</v>
      </c>
      <c r="AL8" s="57" t="s">
        <v>57</v>
      </c>
      <c r="AM8" s="50" t="s">
        <v>57</v>
      </c>
      <c r="AN8" s="106" t="s">
        <v>61</v>
      </c>
      <c r="AO8" s="57" t="s">
        <v>57</v>
      </c>
      <c r="AP8" s="50" t="s">
        <v>57</v>
      </c>
      <c r="AQ8" s="106" t="s">
        <v>61</v>
      </c>
      <c r="AR8" s="338" t="s">
        <v>57</v>
      </c>
      <c r="AS8" s="506" t="s">
        <v>57</v>
      </c>
      <c r="AT8" s="504" t="s">
        <v>61</v>
      </c>
      <c r="AU8" s="507" t="s">
        <v>57</v>
      </c>
    </row>
    <row r="9" spans="1:47">
      <c r="A9" s="17" t="s">
        <v>2</v>
      </c>
      <c r="B9" s="18"/>
      <c r="C9" s="19"/>
      <c r="D9" s="20" t="s">
        <v>3</v>
      </c>
      <c r="E9" s="121" t="s">
        <v>56</v>
      </c>
      <c r="F9" s="121"/>
      <c r="G9" s="51" t="s">
        <v>58</v>
      </c>
      <c r="H9" s="107" t="s">
        <v>152</v>
      </c>
      <c r="I9" s="51" t="s">
        <v>58</v>
      </c>
      <c r="J9" s="107" t="s">
        <v>152</v>
      </c>
      <c r="K9" s="51" t="s">
        <v>58</v>
      </c>
      <c r="L9" s="107" t="s">
        <v>152</v>
      </c>
      <c r="M9" s="51" t="s">
        <v>58</v>
      </c>
      <c r="N9" s="107" t="s">
        <v>152</v>
      </c>
      <c r="O9" s="51" t="s">
        <v>58</v>
      </c>
      <c r="P9" s="107" t="s">
        <v>152</v>
      </c>
      <c r="Q9" s="51" t="s">
        <v>58</v>
      </c>
      <c r="R9" s="107" t="s">
        <v>152</v>
      </c>
      <c r="S9" s="51" t="s">
        <v>58</v>
      </c>
      <c r="T9" s="107" t="s">
        <v>152</v>
      </c>
      <c r="U9" s="51" t="s">
        <v>58</v>
      </c>
      <c r="V9" s="107" t="s">
        <v>59</v>
      </c>
      <c r="W9" s="107" t="s">
        <v>152</v>
      </c>
      <c r="X9" s="51" t="s">
        <v>58</v>
      </c>
      <c r="Y9" s="107" t="s">
        <v>59</v>
      </c>
      <c r="Z9" s="107" t="s">
        <v>152</v>
      </c>
      <c r="AA9" s="51" t="s">
        <v>58</v>
      </c>
      <c r="AB9" s="107" t="s">
        <v>59</v>
      </c>
      <c r="AC9" s="107" t="s">
        <v>152</v>
      </c>
      <c r="AD9" s="51" t="s">
        <v>58</v>
      </c>
      <c r="AE9" s="107" t="s">
        <v>59</v>
      </c>
      <c r="AF9" s="107" t="s">
        <v>152</v>
      </c>
      <c r="AG9" s="51" t="s">
        <v>58</v>
      </c>
      <c r="AH9" s="107" t="s">
        <v>59</v>
      </c>
      <c r="AI9" s="107" t="s">
        <v>152</v>
      </c>
      <c r="AJ9" s="51" t="s">
        <v>58</v>
      </c>
      <c r="AK9" s="107" t="s">
        <v>59</v>
      </c>
      <c r="AL9" s="58" t="s">
        <v>152</v>
      </c>
      <c r="AM9" s="51" t="s">
        <v>58</v>
      </c>
      <c r="AN9" s="107" t="s">
        <v>59</v>
      </c>
      <c r="AO9" s="58" t="s">
        <v>152</v>
      </c>
      <c r="AP9" s="51" t="s">
        <v>58</v>
      </c>
      <c r="AQ9" s="107" t="s">
        <v>59</v>
      </c>
      <c r="AR9" s="339" t="s">
        <v>152</v>
      </c>
      <c r="AS9" s="508" t="s">
        <v>58</v>
      </c>
      <c r="AT9" s="509" t="s">
        <v>59</v>
      </c>
      <c r="AU9" s="510" t="s">
        <v>152</v>
      </c>
    </row>
    <row r="10" spans="1:47">
      <c r="B10" s="3" t="s">
        <v>6</v>
      </c>
      <c r="G10" s="47"/>
      <c r="H10" s="104"/>
      <c r="I10" s="47"/>
      <c r="J10" s="104"/>
      <c r="K10" s="47"/>
      <c r="L10" s="104"/>
      <c r="M10" s="47"/>
      <c r="N10" s="104"/>
      <c r="O10" s="47"/>
      <c r="P10" s="104"/>
      <c r="Q10" s="47"/>
      <c r="R10" s="104"/>
      <c r="S10" s="47"/>
      <c r="T10" s="104"/>
      <c r="U10" s="47"/>
      <c r="V10" s="104"/>
      <c r="W10" s="104"/>
      <c r="X10" s="47"/>
      <c r="Y10" s="104"/>
      <c r="Z10" s="104"/>
      <c r="AA10" s="47"/>
      <c r="AD10" s="47"/>
      <c r="AG10" s="47"/>
      <c r="AJ10" s="47"/>
      <c r="AK10" s="104"/>
      <c r="AL10" s="55"/>
      <c r="AM10" s="47"/>
      <c r="AN10" s="104"/>
      <c r="AO10" s="55"/>
      <c r="AP10" s="47"/>
      <c r="AQ10" s="104"/>
      <c r="AR10" s="337"/>
      <c r="AS10" s="500"/>
      <c r="AT10" s="501"/>
      <c r="AU10" s="505"/>
    </row>
    <row r="11" spans="1:47">
      <c r="A11" s="22">
        <v>1</v>
      </c>
      <c r="B11" s="23" t="s">
        <v>7</v>
      </c>
      <c r="C11" s="23"/>
      <c r="D11" s="23"/>
      <c r="E11" s="129">
        <f>ROR!N20</f>
        <v>0.95299999999999996</v>
      </c>
      <c r="F11" s="129"/>
      <c r="G11" s="52">
        <f>ROUND(G36/$E11,0)</f>
        <v>0</v>
      </c>
      <c r="H11" s="108">
        <f>ROUND((H21-H13)/$E11,0)</f>
        <v>-60207</v>
      </c>
      <c r="I11" s="52">
        <f>ROUND(I36/$E11,0)</f>
        <v>-996</v>
      </c>
      <c r="J11" s="108">
        <f>ROUND((J21-J13)/$E11,0)</f>
        <v>-112051</v>
      </c>
      <c r="K11" s="52">
        <f>ROUND(K36/$E11,0)-0</f>
        <v>-1780</v>
      </c>
      <c r="L11" s="108">
        <f>ROUND((L21-L13)/$E11,0)+0</f>
        <v>-115661</v>
      </c>
      <c r="M11" s="52">
        <f>ROUND(M36/$E11,0)+1</f>
        <v>-2128</v>
      </c>
      <c r="N11" s="108">
        <f>ROUND((N21-N13)/$E11,0)+0</f>
        <v>-101913</v>
      </c>
      <c r="O11" s="52">
        <f>ROUND(O36/$E11,0)</f>
        <v>0</v>
      </c>
      <c r="P11" s="108">
        <f>ROUND((P21-P13)/$E11,0)-0</f>
        <v>-120012</v>
      </c>
      <c r="Q11" s="52">
        <f>ROUND(Q36/$E11,0)</f>
        <v>-2982</v>
      </c>
      <c r="R11" s="108">
        <f>ROUND((R21-R13)/$E11,0)-1</f>
        <v>-136947</v>
      </c>
      <c r="S11" s="52">
        <f>ROUND(S36/$E11,0)</f>
        <v>0</v>
      </c>
      <c r="T11" s="108">
        <f>ROUND((T21-T13)/$E11,0)+1</f>
        <v>-157189</v>
      </c>
      <c r="U11" s="52">
        <f>ROUND(U36/$E11,0)</f>
        <v>-4024</v>
      </c>
      <c r="V11" s="108">
        <f>ROUND(V41/$E11,0)+0</f>
        <v>-89</v>
      </c>
      <c r="W11" s="108">
        <f>ROUND((W21-W13)/$E11,0)+1</f>
        <v>-163652</v>
      </c>
      <c r="X11" s="52">
        <f>ROUND(X36/$E11,0)</f>
        <v>-4597</v>
      </c>
      <c r="Y11" s="108">
        <f>ROUND(Y41/$E11,0)+0</f>
        <v>-453</v>
      </c>
      <c r="Z11" s="108">
        <f>ROUND((Z21-Z13)/$E11,0)-0</f>
        <v>-154642</v>
      </c>
      <c r="AA11" s="52">
        <f>ROUND(AA36/$E11,0)+0</f>
        <v>-7111</v>
      </c>
      <c r="AB11" s="44">
        <f>ROUND(AB41/$E11,0)+1</f>
        <v>-744</v>
      </c>
      <c r="AC11" s="108">
        <f>ROUND((AC21-AC13)/$E11,0)-1</f>
        <v>-126964</v>
      </c>
      <c r="AD11" s="52">
        <f>ROUND(AD36/$E11,0)-1</f>
        <v>-8832</v>
      </c>
      <c r="AE11" s="44">
        <f>ROUND(AE41/$E11,0)-0</f>
        <v>-518</v>
      </c>
      <c r="AF11" s="108">
        <f>ROUND((AF21-AF13)/$E11,0)-1</f>
        <v>-82875</v>
      </c>
      <c r="AG11" s="52">
        <f>ROUND(AG36/$E11,0)+1</f>
        <v>-9394</v>
      </c>
      <c r="AH11" s="44">
        <f>ROUND(AH41/$E11,0)-0</f>
        <v>-518</v>
      </c>
      <c r="AI11" s="108">
        <f>ROUND((AI21-AI13)/$E11,0)+1</f>
        <v>-88184</v>
      </c>
      <c r="AJ11" s="52">
        <f>ROUND(AJ36/$E11,0)</f>
        <v>-6235</v>
      </c>
      <c r="AK11" s="108">
        <f>ROUND(AK41/$E11,0)+1</f>
        <v>-191</v>
      </c>
      <c r="AL11" s="59">
        <f>ROUND((AL21-AL13)/$E11,0)</f>
        <v>-78494</v>
      </c>
      <c r="AM11" s="52">
        <f>ROUND(AM36/$E11,0)</f>
        <v>0</v>
      </c>
      <c r="AN11" s="108">
        <f>ROUND(AN41/$E11,0)</f>
        <v>0</v>
      </c>
      <c r="AO11" s="59">
        <f>ROUND((AO21-AO13)/$E11,0)+1</f>
        <v>-80588</v>
      </c>
      <c r="AP11" s="52">
        <f>ROUND(AP36/$E11,0)</f>
        <v>0</v>
      </c>
      <c r="AQ11" s="108">
        <f>ROUND(AQ41/$E11,0)</f>
        <v>0</v>
      </c>
      <c r="AR11" s="303">
        <f>ROUND((AR21-AR13)/$E11,0)</f>
        <v>-88339</v>
      </c>
      <c r="AS11" s="511">
        <f>ROUND(AS36/$E11,0)</f>
        <v>0</v>
      </c>
      <c r="AT11" s="391">
        <f>ROUND(AT41/$E11,0)</f>
        <v>0</v>
      </c>
      <c r="AU11" s="512">
        <f>ROUND((AU21-AU13)/$E11,0)</f>
        <v>-83561</v>
      </c>
    </row>
    <row r="12" spans="1:47">
      <c r="A12" s="22">
        <v>2</v>
      </c>
      <c r="B12" s="24" t="s">
        <v>8</v>
      </c>
      <c r="D12" s="24"/>
      <c r="E12" s="129"/>
      <c r="F12" s="129"/>
      <c r="G12" s="52"/>
      <c r="H12" s="108"/>
      <c r="I12" s="52"/>
      <c r="J12" s="108"/>
      <c r="K12" s="52"/>
      <c r="L12" s="108"/>
      <c r="M12" s="52"/>
      <c r="N12" s="108"/>
      <c r="O12" s="52"/>
      <c r="P12" s="108"/>
      <c r="Q12" s="52"/>
      <c r="R12" s="108"/>
      <c r="S12" s="52"/>
      <c r="T12" s="108"/>
      <c r="U12" s="52"/>
      <c r="V12" s="108"/>
      <c r="W12" s="108"/>
      <c r="X12" s="52"/>
      <c r="Y12" s="108"/>
      <c r="Z12" s="108"/>
      <c r="AA12" s="52"/>
      <c r="AB12" s="44"/>
      <c r="AC12" s="108"/>
      <c r="AD12" s="52"/>
      <c r="AE12" s="44"/>
      <c r="AF12" s="108"/>
      <c r="AG12" s="52"/>
      <c r="AH12" s="44"/>
      <c r="AI12" s="108"/>
      <c r="AJ12" s="52"/>
      <c r="AK12" s="108"/>
      <c r="AL12" s="59"/>
      <c r="AM12" s="52"/>
      <c r="AN12" s="108"/>
      <c r="AO12" s="59"/>
      <c r="AP12" s="52"/>
      <c r="AQ12" s="108"/>
      <c r="AR12" s="303"/>
      <c r="AS12" s="511"/>
      <c r="AT12" s="391"/>
      <c r="AU12" s="512"/>
    </row>
    <row r="13" spans="1:47">
      <c r="A13" s="22">
        <v>3</v>
      </c>
      <c r="B13" s="24" t="s">
        <v>9</v>
      </c>
      <c r="D13" s="24"/>
      <c r="E13" s="129"/>
      <c r="F13" s="129"/>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08"/>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302">
        <f>-AR61</f>
        <v>0</v>
      </c>
      <c r="AS13" s="513"/>
      <c r="AT13" s="514"/>
      <c r="AU13" s="515">
        <f>-AU61</f>
        <v>0</v>
      </c>
    </row>
    <row r="14" spans="1:47">
      <c r="A14" s="22">
        <v>4</v>
      </c>
      <c r="B14" s="3" t="s">
        <v>10</v>
      </c>
      <c r="C14" s="24"/>
      <c r="D14" s="24"/>
      <c r="E14" s="129"/>
      <c r="F14" s="129"/>
      <c r="G14" s="52">
        <f t="shared" ref="G14:P14" si="0">SUM(G11:G13)</f>
        <v>0</v>
      </c>
      <c r="H14" s="108">
        <f>SUM(H11:H13)</f>
        <v>-60449</v>
      </c>
      <c r="I14" s="52">
        <f t="shared" si="0"/>
        <v>-996</v>
      </c>
      <c r="J14" s="108">
        <f>SUM(J11:J13)</f>
        <v>-112295</v>
      </c>
      <c r="K14" s="52">
        <f t="shared" si="0"/>
        <v>-1780</v>
      </c>
      <c r="L14" s="108">
        <f t="shared" si="0"/>
        <v>-115805</v>
      </c>
      <c r="M14" s="52">
        <f t="shared" si="0"/>
        <v>-2128</v>
      </c>
      <c r="N14" s="108">
        <f t="shared" si="0"/>
        <v>-101913</v>
      </c>
      <c r="O14" s="52">
        <f t="shared" si="0"/>
        <v>0</v>
      </c>
      <c r="P14" s="108">
        <f t="shared" si="0"/>
        <v>-120012</v>
      </c>
      <c r="Q14" s="52">
        <f t="shared" ref="Q14:AI14" si="1">SUM(Q11:Q13)</f>
        <v>-2982</v>
      </c>
      <c r="R14" s="108">
        <f t="shared" si="1"/>
        <v>-165281</v>
      </c>
      <c r="S14" s="52">
        <f t="shared" si="1"/>
        <v>0</v>
      </c>
      <c r="T14" s="108">
        <f t="shared" si="1"/>
        <v>-157189</v>
      </c>
      <c r="U14" s="52">
        <f t="shared" si="1"/>
        <v>-4024</v>
      </c>
      <c r="V14" s="108">
        <f t="shared" si="1"/>
        <v>-89</v>
      </c>
      <c r="W14" s="108">
        <f t="shared" si="1"/>
        <v>-230338</v>
      </c>
      <c r="X14" s="52">
        <f t="shared" si="1"/>
        <v>-4597</v>
      </c>
      <c r="Y14" s="109">
        <f t="shared" si="1"/>
        <v>-453</v>
      </c>
      <c r="Z14" s="108">
        <f t="shared" si="1"/>
        <v>-307660</v>
      </c>
      <c r="AA14" s="52">
        <f t="shared" si="1"/>
        <v>-7111</v>
      </c>
      <c r="AB14" s="44">
        <f t="shared" si="1"/>
        <v>-744</v>
      </c>
      <c r="AC14" s="108">
        <f t="shared" si="1"/>
        <v>-210956</v>
      </c>
      <c r="AD14" s="52">
        <f t="shared" si="1"/>
        <v>-8832</v>
      </c>
      <c r="AE14" s="44">
        <f t="shared" si="1"/>
        <v>-518</v>
      </c>
      <c r="AF14" s="108">
        <f t="shared" si="1"/>
        <v>-198068</v>
      </c>
      <c r="AG14" s="52">
        <f t="shared" si="1"/>
        <v>-9394</v>
      </c>
      <c r="AH14" s="44">
        <f t="shared" si="1"/>
        <v>-518</v>
      </c>
      <c r="AI14" s="108">
        <f t="shared" si="1"/>
        <v>-186978</v>
      </c>
      <c r="AJ14" s="52">
        <f t="shared" ref="AJ14:AO14" si="2">SUM(AJ11:AJ13)</f>
        <v>-6235</v>
      </c>
      <c r="AK14" s="108">
        <f t="shared" si="2"/>
        <v>-191</v>
      </c>
      <c r="AL14" s="59">
        <f t="shared" si="2"/>
        <v>-146316</v>
      </c>
      <c r="AM14" s="52">
        <f t="shared" si="2"/>
        <v>0</v>
      </c>
      <c r="AN14" s="108">
        <f t="shared" si="2"/>
        <v>0</v>
      </c>
      <c r="AO14" s="59">
        <f t="shared" si="2"/>
        <v>-80588</v>
      </c>
      <c r="AP14" s="52">
        <f t="shared" ref="AP14:AR14" si="3">SUM(AP11:AP13)</f>
        <v>0</v>
      </c>
      <c r="AQ14" s="108">
        <f t="shared" si="3"/>
        <v>0</v>
      </c>
      <c r="AR14" s="303">
        <f t="shared" si="3"/>
        <v>-88339</v>
      </c>
      <c r="AS14" s="511">
        <f t="shared" ref="AS14:AU14" si="4">SUM(AS11:AS13)</f>
        <v>0</v>
      </c>
      <c r="AT14" s="391">
        <f t="shared" si="4"/>
        <v>0</v>
      </c>
      <c r="AU14" s="512">
        <f t="shared" si="4"/>
        <v>-83561</v>
      </c>
    </row>
    <row r="15" spans="1:47">
      <c r="C15" s="24"/>
      <c r="D15" s="24"/>
      <c r="E15" s="129"/>
      <c r="F15" s="129"/>
      <c r="G15" s="52"/>
      <c r="H15" s="108"/>
      <c r="I15" s="52"/>
      <c r="J15" s="108"/>
      <c r="K15" s="52"/>
      <c r="L15" s="108"/>
      <c r="M15" s="52"/>
      <c r="N15" s="108"/>
      <c r="O15" s="52"/>
      <c r="P15" s="108"/>
      <c r="Q15" s="52"/>
      <c r="R15" s="108"/>
      <c r="S15" s="52"/>
      <c r="T15" s="108"/>
      <c r="U15" s="52"/>
      <c r="V15" s="108"/>
      <c r="W15" s="108"/>
      <c r="X15" s="52"/>
      <c r="Y15" s="108"/>
      <c r="Z15" s="108"/>
      <c r="AA15" s="52"/>
      <c r="AB15" s="44"/>
      <c r="AC15" s="108"/>
      <c r="AD15" s="52"/>
      <c r="AE15" s="44"/>
      <c r="AF15" s="108"/>
      <c r="AG15" s="52"/>
      <c r="AH15" s="44"/>
      <c r="AI15" s="108"/>
      <c r="AJ15" s="52"/>
      <c r="AK15" s="108"/>
      <c r="AL15" s="59"/>
      <c r="AM15" s="52"/>
      <c r="AN15" s="108"/>
      <c r="AO15" s="59"/>
      <c r="AP15" s="52"/>
      <c r="AQ15" s="108"/>
      <c r="AR15" s="303"/>
      <c r="AS15" s="511"/>
      <c r="AT15" s="391"/>
      <c r="AU15" s="512"/>
    </row>
    <row r="16" spans="1:47">
      <c r="B16" s="3" t="s">
        <v>11</v>
      </c>
      <c r="C16" s="24"/>
      <c r="D16" s="24"/>
      <c r="E16" s="129"/>
      <c r="F16" s="129"/>
      <c r="G16" s="52"/>
      <c r="H16" s="108"/>
      <c r="I16" s="52"/>
      <c r="J16" s="108"/>
      <c r="K16" s="52"/>
      <c r="L16" s="108"/>
      <c r="M16" s="52"/>
      <c r="N16" s="108"/>
      <c r="O16" s="52"/>
      <c r="P16" s="108"/>
      <c r="Q16" s="52"/>
      <c r="R16" s="108"/>
      <c r="S16" s="52"/>
      <c r="T16" s="108"/>
      <c r="U16" s="52"/>
      <c r="V16" s="108"/>
      <c r="W16" s="108"/>
      <c r="X16" s="52"/>
      <c r="Y16" s="108"/>
      <c r="Z16" s="108"/>
      <c r="AA16" s="52"/>
      <c r="AB16" s="44"/>
      <c r="AC16" s="108"/>
      <c r="AD16" s="52"/>
      <c r="AE16" s="44"/>
      <c r="AF16" s="108"/>
      <c r="AG16" s="52"/>
      <c r="AH16" s="44"/>
      <c r="AI16" s="108"/>
      <c r="AJ16" s="52"/>
      <c r="AK16" s="108"/>
      <c r="AL16" s="59"/>
      <c r="AM16" s="52"/>
      <c r="AN16" s="108"/>
      <c r="AO16" s="59"/>
      <c r="AP16" s="52"/>
      <c r="AQ16" s="108"/>
      <c r="AR16" s="303"/>
      <c r="AS16" s="511"/>
      <c r="AT16" s="391"/>
      <c r="AU16" s="512"/>
    </row>
    <row r="17" spans="1:47">
      <c r="B17" s="24" t="s">
        <v>51</v>
      </c>
      <c r="D17" s="24"/>
      <c r="E17" s="129"/>
      <c r="F17" s="129"/>
      <c r="G17" s="52"/>
      <c r="H17" s="108"/>
      <c r="I17" s="52"/>
      <c r="J17" s="108"/>
      <c r="K17" s="52"/>
      <c r="L17" s="108"/>
      <c r="M17" s="52"/>
      <c r="N17" s="108"/>
      <c r="O17" s="52"/>
      <c r="P17" s="108"/>
      <c r="Q17" s="52"/>
      <c r="R17" s="108"/>
      <c r="S17" s="52"/>
      <c r="T17" s="108"/>
      <c r="U17" s="52"/>
      <c r="V17" s="108"/>
      <c r="W17" s="108"/>
      <c r="X17" s="52"/>
      <c r="Y17" s="108"/>
      <c r="Z17" s="108"/>
      <c r="AA17" s="52"/>
      <c r="AB17" s="44"/>
      <c r="AC17" s="108"/>
      <c r="AD17" s="52"/>
      <c r="AE17" s="44"/>
      <c r="AF17" s="108"/>
      <c r="AG17" s="52"/>
      <c r="AH17" s="44"/>
      <c r="AI17" s="108"/>
      <c r="AJ17" s="52"/>
      <c r="AK17" s="108"/>
      <c r="AL17" s="59"/>
      <c r="AM17" s="52"/>
      <c r="AN17" s="108"/>
      <c r="AO17" s="59"/>
      <c r="AP17" s="52"/>
      <c r="AQ17" s="108"/>
      <c r="AR17" s="303"/>
      <c r="AS17" s="511"/>
      <c r="AT17" s="391"/>
      <c r="AU17" s="512"/>
    </row>
    <row r="18" spans="1:47">
      <c r="A18" s="22">
        <v>5</v>
      </c>
      <c r="C18" s="24" t="s">
        <v>12</v>
      </c>
      <c r="D18" s="24"/>
      <c r="E18" s="129"/>
      <c r="F18" s="129"/>
      <c r="G18" s="52"/>
      <c r="H18" s="108">
        <f>-'Cost Trends'!F19</f>
        <v>-59659</v>
      </c>
      <c r="I18" s="52"/>
      <c r="J18" s="108">
        <f>-'Cost Trends'!G19</f>
        <v>-106139</v>
      </c>
      <c r="K18" s="52"/>
      <c r="L18" s="108">
        <f>-'Cost Trends'!H19</f>
        <v>-109325</v>
      </c>
      <c r="M18" s="52"/>
      <c r="N18" s="108">
        <f>-'Cost Trends'!I19</f>
        <v>-96222</v>
      </c>
      <c r="O18" s="52"/>
      <c r="P18" s="108">
        <f>-'Cost Trends'!J19</f>
        <v>-114371</v>
      </c>
      <c r="Q18" s="52"/>
      <c r="R18" s="108">
        <f>-'Cost Trends'!K19</f>
        <v>-167251</v>
      </c>
      <c r="S18" s="52"/>
      <c r="T18" s="108">
        <f>-'Cost Trends'!L19</f>
        <v>-149802</v>
      </c>
      <c r="U18" s="52"/>
      <c r="V18" s="108"/>
      <c r="W18" s="108">
        <f>-'Cost Trends'!M19</f>
        <v>-222364</v>
      </c>
      <c r="X18" s="52"/>
      <c r="Y18" s="108"/>
      <c r="Z18" s="108">
        <f>-'Cost Trends'!N19</f>
        <v>-310276</v>
      </c>
      <c r="AA18" s="52"/>
      <c r="AB18" s="44"/>
      <c r="AC18" s="108">
        <f>-'Cost Trends'!O19</f>
        <v>-194267</v>
      </c>
      <c r="AD18" s="52"/>
      <c r="AE18" s="44"/>
      <c r="AF18" s="108">
        <f>-'Cost Trends'!P19</f>
        <v>-197494</v>
      </c>
      <c r="AG18" s="52"/>
      <c r="AH18" s="44"/>
      <c r="AI18" s="108">
        <f>-'Cost Trends'!Q19</f>
        <v>-188167</v>
      </c>
      <c r="AJ18" s="52"/>
      <c r="AK18" s="108"/>
      <c r="AL18" s="59">
        <f>-'Cost Trends'!R19</f>
        <v>-139073</v>
      </c>
      <c r="AM18" s="52"/>
      <c r="AN18" s="108"/>
      <c r="AO18" s="59">
        <f>-'Cost Trends'!S19</f>
        <v>-76801</v>
      </c>
      <c r="AP18" s="52"/>
      <c r="AQ18" s="108"/>
      <c r="AR18" s="303">
        <f>-'Cost Trends'!T19</f>
        <v>-84187</v>
      </c>
      <c r="AS18" s="511"/>
      <c r="AT18" s="391"/>
      <c r="AU18" s="512">
        <f>-'Cost Trends'!U19</f>
        <v>-79634</v>
      </c>
    </row>
    <row r="19" spans="1:47">
      <c r="A19" s="22">
        <v>6</v>
      </c>
      <c r="C19" s="24" t="s">
        <v>13</v>
      </c>
      <c r="D19" s="24"/>
      <c r="E19" s="129"/>
      <c r="F19" s="129"/>
      <c r="G19" s="52"/>
      <c r="H19" s="108">
        <f>-'Cost Trends'!F20+H63</f>
        <v>2078</v>
      </c>
      <c r="I19" s="52"/>
      <c r="J19" s="108">
        <f>-'Cost Trends'!G20+J63</f>
        <v>-756</v>
      </c>
      <c r="K19" s="52"/>
      <c r="L19" s="108">
        <f>-'Cost Trends'!H20+L63</f>
        <v>-916</v>
      </c>
      <c r="M19" s="52"/>
      <c r="N19" s="108">
        <f>-'Cost Trends'!I20+N63</f>
        <v>-901</v>
      </c>
      <c r="O19" s="52"/>
      <c r="P19" s="108">
        <f>-'Cost Trends'!J20+P63</f>
        <v>0</v>
      </c>
      <c r="Q19" s="52"/>
      <c r="R19" s="108">
        <f>-'Cost Trends'!K20+R63</f>
        <v>0</v>
      </c>
      <c r="S19" s="52"/>
      <c r="T19" s="108">
        <f>-'Cost Trends'!L20+T63</f>
        <v>0</v>
      </c>
      <c r="U19" s="52"/>
      <c r="V19" s="108"/>
      <c r="W19" s="108">
        <f>-'Cost Trends'!M20+W63</f>
        <v>0</v>
      </c>
      <c r="X19" s="52"/>
      <c r="Y19" s="108"/>
      <c r="Z19" s="108">
        <f>-'Cost Trends'!N20+Z63</f>
        <v>9886</v>
      </c>
      <c r="AA19" s="52"/>
      <c r="AB19" s="44"/>
      <c r="AC19" s="108">
        <f>-'Cost Trends'!O20+AC63</f>
        <v>-1</v>
      </c>
      <c r="AD19" s="52"/>
      <c r="AE19" s="44"/>
      <c r="AF19" s="108">
        <f>-'Cost Trends'!P20+AF63</f>
        <v>0</v>
      </c>
      <c r="AG19" s="52"/>
      <c r="AH19" s="44"/>
      <c r="AI19" s="108">
        <f>-'Cost Trends'!Q20+AI63</f>
        <v>967</v>
      </c>
      <c r="AJ19" s="52"/>
      <c r="AK19" s="108"/>
      <c r="AL19" s="59">
        <f>-'Cost Trends'!R20+AL63</f>
        <v>798</v>
      </c>
      <c r="AM19" s="52"/>
      <c r="AN19" s="108"/>
      <c r="AO19" s="59">
        <f>-'Cost Trends'!S20+AO63</f>
        <v>0</v>
      </c>
      <c r="AP19" s="52"/>
      <c r="AQ19" s="108"/>
      <c r="AR19" s="303">
        <f>-'Cost Trends'!T20+AR63</f>
        <v>0</v>
      </c>
      <c r="AS19" s="511"/>
      <c r="AT19" s="391"/>
      <c r="AU19" s="512">
        <f>-'Cost Trends'!U20+AU63</f>
        <v>0</v>
      </c>
    </row>
    <row r="20" spans="1:47">
      <c r="A20" s="22">
        <v>7</v>
      </c>
      <c r="C20" s="24" t="s">
        <v>14</v>
      </c>
      <c r="D20" s="24"/>
      <c r="E20" s="129"/>
      <c r="F20" s="129"/>
      <c r="G20" s="53"/>
      <c r="H20" s="108">
        <f>-'Cost Trends'!F21</f>
        <v>-38</v>
      </c>
      <c r="I20" s="53"/>
      <c r="J20" s="108">
        <f>-'Cost Trends'!G21</f>
        <v>-134</v>
      </c>
      <c r="K20" s="53"/>
      <c r="L20" s="108">
        <f>-'Cost Trends'!H21</f>
        <v>-128</v>
      </c>
      <c r="M20" s="53"/>
      <c r="N20" s="108">
        <f>-'Cost Trends'!I21</f>
        <v>0</v>
      </c>
      <c r="O20" s="53"/>
      <c r="P20" s="108">
        <f>-'Cost Trends'!J21</f>
        <v>0</v>
      </c>
      <c r="Q20" s="53"/>
      <c r="R20" s="108">
        <f>-'Cost Trends'!K21</f>
        <v>8407</v>
      </c>
      <c r="S20" s="53"/>
      <c r="T20" s="108">
        <f>-'Cost Trends'!L21</f>
        <v>0</v>
      </c>
      <c r="U20" s="53"/>
      <c r="V20" s="45"/>
      <c r="W20" s="108">
        <f>-'Cost Trends'!M21</f>
        <v>-283</v>
      </c>
      <c r="X20" s="53"/>
      <c r="Y20" s="108"/>
      <c r="Z20" s="108">
        <f>-'Cost Trends'!N21</f>
        <v>-2</v>
      </c>
      <c r="AA20" s="53"/>
      <c r="AB20" s="45"/>
      <c r="AC20" s="108">
        <f>-'Cost Trends'!O21</f>
        <v>-10720</v>
      </c>
      <c r="AD20" s="53"/>
      <c r="AE20" s="45"/>
      <c r="AF20" s="108">
        <f>-'Cost Trends'!P21</f>
        <v>3322</v>
      </c>
      <c r="AG20" s="53"/>
      <c r="AH20" s="45"/>
      <c r="AI20" s="108">
        <f>-'Cost Trends'!Q21</f>
        <v>4366</v>
      </c>
      <c r="AJ20" s="53"/>
      <c r="AK20" s="45"/>
      <c r="AL20" s="59">
        <f>-'Cost Trends'!R21</f>
        <v>-4352</v>
      </c>
      <c r="AM20" s="53"/>
      <c r="AN20" s="45"/>
      <c r="AO20" s="59">
        <f>-'Cost Trends'!S21</f>
        <v>0</v>
      </c>
      <c r="AP20" s="53"/>
      <c r="AQ20" s="45"/>
      <c r="AR20" s="303">
        <f>-'Cost Trends'!T21</f>
        <v>0</v>
      </c>
      <c r="AS20" s="513"/>
      <c r="AT20" s="514"/>
      <c r="AU20" s="512">
        <f>-'Cost Trends'!W21</f>
        <v>0</v>
      </c>
    </row>
    <row r="21" spans="1:47">
      <c r="A21" s="22">
        <v>8</v>
      </c>
      <c r="B21" s="24" t="s">
        <v>15</v>
      </c>
      <c r="C21" s="24"/>
      <c r="E21" s="129"/>
      <c r="F21" s="129"/>
      <c r="G21" s="52">
        <f t="shared" ref="G21:P21" si="5">SUM(G18:G20)</f>
        <v>0</v>
      </c>
      <c r="H21" s="110">
        <f>SUM(H18:H20)</f>
        <v>-57619</v>
      </c>
      <c r="I21" s="52">
        <f t="shared" si="5"/>
        <v>0</v>
      </c>
      <c r="J21" s="110">
        <f>SUM(J18:J20)</f>
        <v>-107029</v>
      </c>
      <c r="K21" s="52">
        <f t="shared" si="5"/>
        <v>0</v>
      </c>
      <c r="L21" s="110">
        <f t="shared" si="5"/>
        <v>-110369</v>
      </c>
      <c r="M21" s="52">
        <f t="shared" si="5"/>
        <v>0</v>
      </c>
      <c r="N21" s="110">
        <f t="shared" si="5"/>
        <v>-97123</v>
      </c>
      <c r="O21" s="52">
        <f t="shared" si="5"/>
        <v>0</v>
      </c>
      <c r="P21" s="110">
        <f t="shared" si="5"/>
        <v>-114371</v>
      </c>
      <c r="Q21" s="52">
        <f t="shared" ref="Q21:AI21" si="6">SUM(Q18:Q20)</f>
        <v>0</v>
      </c>
      <c r="R21" s="110">
        <f t="shared" si="6"/>
        <v>-158844</v>
      </c>
      <c r="S21" s="52">
        <f t="shared" si="6"/>
        <v>0</v>
      </c>
      <c r="T21" s="110">
        <f t="shared" si="6"/>
        <v>-149802</v>
      </c>
      <c r="U21" s="52">
        <f t="shared" si="6"/>
        <v>0</v>
      </c>
      <c r="V21" s="108">
        <f t="shared" si="6"/>
        <v>0</v>
      </c>
      <c r="W21" s="110">
        <f t="shared" si="6"/>
        <v>-222647</v>
      </c>
      <c r="X21" s="52">
        <f t="shared" si="6"/>
        <v>0</v>
      </c>
      <c r="Y21" s="109">
        <f t="shared" si="6"/>
        <v>0</v>
      </c>
      <c r="Z21" s="110">
        <f t="shared" si="6"/>
        <v>-300392</v>
      </c>
      <c r="AA21" s="52">
        <f t="shared" si="6"/>
        <v>0</v>
      </c>
      <c r="AB21" s="44">
        <f t="shared" si="6"/>
        <v>0</v>
      </c>
      <c r="AC21" s="110">
        <f t="shared" si="6"/>
        <v>-204988</v>
      </c>
      <c r="AD21" s="52">
        <f t="shared" si="6"/>
        <v>0</v>
      </c>
      <c r="AE21" s="44">
        <f t="shared" si="6"/>
        <v>0</v>
      </c>
      <c r="AF21" s="110">
        <f t="shared" si="6"/>
        <v>-194172</v>
      </c>
      <c r="AG21" s="52">
        <f t="shared" si="6"/>
        <v>0</v>
      </c>
      <c r="AH21" s="44">
        <f t="shared" si="6"/>
        <v>0</v>
      </c>
      <c r="AI21" s="110">
        <f t="shared" si="6"/>
        <v>-182834</v>
      </c>
      <c r="AJ21" s="52">
        <f t="shared" ref="AJ21:AO21" si="7">SUM(AJ18:AJ20)</f>
        <v>0</v>
      </c>
      <c r="AK21" s="108">
        <f t="shared" si="7"/>
        <v>0</v>
      </c>
      <c r="AL21" s="110">
        <f t="shared" si="7"/>
        <v>-142627</v>
      </c>
      <c r="AM21" s="52">
        <f t="shared" si="7"/>
        <v>0</v>
      </c>
      <c r="AN21" s="108">
        <f t="shared" si="7"/>
        <v>0</v>
      </c>
      <c r="AO21" s="110">
        <f t="shared" si="7"/>
        <v>-76801</v>
      </c>
      <c r="AP21" s="52">
        <f t="shared" ref="AP21:AR21" si="8">SUM(AP18:AP20)</f>
        <v>0</v>
      </c>
      <c r="AQ21" s="108">
        <f t="shared" si="8"/>
        <v>0</v>
      </c>
      <c r="AR21" s="304">
        <f t="shared" si="8"/>
        <v>-84187</v>
      </c>
      <c r="AS21" s="511">
        <f t="shared" ref="AS21:AU21" si="9">SUM(AS18:AS20)</f>
        <v>0</v>
      </c>
      <c r="AT21" s="391">
        <f t="shared" si="9"/>
        <v>0</v>
      </c>
      <c r="AU21" s="516">
        <f t="shared" si="9"/>
        <v>-79634</v>
      </c>
    </row>
    <row r="22" spans="1:47">
      <c r="B22" s="24"/>
      <c r="C22" s="24"/>
      <c r="E22" s="129"/>
      <c r="F22" s="129"/>
      <c r="G22" s="52"/>
      <c r="H22" s="108"/>
      <c r="I22" s="52"/>
      <c r="J22" s="108"/>
      <c r="K22" s="52"/>
      <c r="L22" s="108"/>
      <c r="M22" s="52"/>
      <c r="N22" s="108"/>
      <c r="O22" s="52"/>
      <c r="P22" s="108"/>
      <c r="Q22" s="52"/>
      <c r="R22" s="108"/>
      <c r="S22" s="52"/>
      <c r="T22" s="108"/>
      <c r="U22" s="52"/>
      <c r="V22" s="108"/>
      <c r="W22" s="108"/>
      <c r="X22" s="52"/>
      <c r="Y22" s="108"/>
      <c r="Z22" s="108"/>
      <c r="AA22" s="52"/>
      <c r="AB22" s="44"/>
      <c r="AC22" s="108"/>
      <c r="AD22" s="52"/>
      <c r="AE22" s="44"/>
      <c r="AF22" s="108"/>
      <c r="AG22" s="52"/>
      <c r="AH22" s="44"/>
      <c r="AI22" s="108"/>
      <c r="AJ22" s="52"/>
      <c r="AK22" s="108"/>
      <c r="AL22" s="59"/>
      <c r="AM22" s="52"/>
      <c r="AN22" s="108"/>
      <c r="AO22" s="59"/>
      <c r="AP22" s="52"/>
      <c r="AQ22" s="108"/>
      <c r="AR22" s="303"/>
      <c r="AS22" s="511"/>
      <c r="AT22" s="391"/>
      <c r="AU22" s="512"/>
    </row>
    <row r="23" spans="1:47">
      <c r="B23" s="24" t="s">
        <v>16</v>
      </c>
      <c r="D23" s="24"/>
      <c r="E23" s="129"/>
      <c r="F23" s="129"/>
      <c r="G23" s="52"/>
      <c r="H23" s="108"/>
      <c r="I23" s="52"/>
      <c r="J23" s="108"/>
      <c r="K23" s="52"/>
      <c r="L23" s="108"/>
      <c r="M23" s="52"/>
      <c r="N23" s="108"/>
      <c r="O23" s="52"/>
      <c r="P23" s="108"/>
      <c r="Q23" s="52"/>
      <c r="R23" s="108"/>
      <c r="S23" s="52"/>
      <c r="T23" s="108"/>
      <c r="U23" s="52"/>
      <c r="V23" s="108"/>
      <c r="W23" s="108"/>
      <c r="X23" s="52"/>
      <c r="Y23" s="108"/>
      <c r="Z23" s="108"/>
      <c r="AA23" s="52"/>
      <c r="AB23" s="44"/>
      <c r="AC23" s="108"/>
      <c r="AD23" s="52"/>
      <c r="AE23" s="44"/>
      <c r="AF23" s="108"/>
      <c r="AG23" s="52"/>
      <c r="AH23" s="44"/>
      <c r="AI23" s="108"/>
      <c r="AJ23" s="52"/>
      <c r="AK23" s="108"/>
      <c r="AL23" s="59"/>
      <c r="AM23" s="52"/>
      <c r="AN23" s="108"/>
      <c r="AO23" s="59"/>
      <c r="AP23" s="52"/>
      <c r="AQ23" s="108"/>
      <c r="AR23" s="303"/>
      <c r="AS23" s="511"/>
      <c r="AT23" s="391"/>
      <c r="AU23" s="512"/>
    </row>
    <row r="24" spans="1:47">
      <c r="A24" s="22">
        <v>9</v>
      </c>
      <c r="C24" s="24" t="s">
        <v>17</v>
      </c>
      <c r="D24" s="24"/>
      <c r="E24" s="129"/>
      <c r="F24" s="129"/>
      <c r="G24" s="52"/>
      <c r="H24" s="108"/>
      <c r="I24" s="52"/>
      <c r="J24" s="108"/>
      <c r="K24" s="52"/>
      <c r="L24" s="108"/>
      <c r="M24" s="52"/>
      <c r="N24" s="108"/>
      <c r="O24" s="52"/>
      <c r="P24" s="108"/>
      <c r="Q24" s="52"/>
      <c r="R24" s="108"/>
      <c r="S24" s="52"/>
      <c r="T24" s="108"/>
      <c r="U24" s="52"/>
      <c r="V24" s="108"/>
      <c r="W24" s="108"/>
      <c r="X24" s="52"/>
      <c r="Y24" s="108"/>
      <c r="Z24" s="108"/>
      <c r="AA24" s="52"/>
      <c r="AB24" s="44"/>
      <c r="AC24" s="108"/>
      <c r="AD24" s="52"/>
      <c r="AE24" s="44"/>
      <c r="AF24" s="108"/>
      <c r="AG24" s="52"/>
      <c r="AH24" s="44"/>
      <c r="AI24" s="108"/>
      <c r="AJ24" s="52"/>
      <c r="AK24" s="108"/>
      <c r="AL24" s="59"/>
      <c r="AM24" s="52"/>
      <c r="AN24" s="108"/>
      <c r="AO24" s="59"/>
      <c r="AP24" s="52"/>
      <c r="AQ24" s="108"/>
      <c r="AR24" s="303"/>
      <c r="AS24" s="511"/>
      <c r="AT24" s="391"/>
      <c r="AU24" s="512"/>
    </row>
    <row r="25" spans="1:47">
      <c r="A25" s="22">
        <v>10</v>
      </c>
      <c r="C25" s="24" t="s">
        <v>47</v>
      </c>
      <c r="D25" s="24"/>
      <c r="E25" s="129"/>
      <c r="F25" s="129"/>
      <c r="G25" s="52"/>
      <c r="H25" s="108"/>
      <c r="I25" s="52"/>
      <c r="J25" s="108"/>
      <c r="K25" s="52"/>
      <c r="L25" s="108"/>
      <c r="M25" s="52"/>
      <c r="N25" s="108"/>
      <c r="O25" s="52"/>
      <c r="P25" s="108"/>
      <c r="Q25" s="52"/>
      <c r="R25" s="108"/>
      <c r="S25" s="52"/>
      <c r="T25" s="108"/>
      <c r="U25" s="52"/>
      <c r="V25" s="108"/>
      <c r="W25" s="108"/>
      <c r="X25" s="52"/>
      <c r="Y25" s="108"/>
      <c r="Z25" s="108"/>
      <c r="AA25" s="52"/>
      <c r="AB25" s="44"/>
      <c r="AC25" s="108"/>
      <c r="AD25" s="52"/>
      <c r="AE25" s="44"/>
      <c r="AF25" s="108"/>
      <c r="AG25" s="52"/>
      <c r="AH25" s="44"/>
      <c r="AI25" s="108"/>
      <c r="AJ25" s="52"/>
      <c r="AK25" s="108"/>
      <c r="AL25" s="59"/>
      <c r="AM25" s="52"/>
      <c r="AN25" s="108"/>
      <c r="AO25" s="59"/>
      <c r="AP25" s="52"/>
      <c r="AQ25" s="108"/>
      <c r="AR25" s="303"/>
      <c r="AS25" s="511"/>
      <c r="AT25" s="391"/>
      <c r="AU25" s="512"/>
    </row>
    <row r="26" spans="1:47">
      <c r="A26" s="22">
        <v>11</v>
      </c>
      <c r="C26" s="24" t="s">
        <v>4</v>
      </c>
      <c r="D26" s="24"/>
      <c r="E26" s="129"/>
      <c r="F26" s="129"/>
      <c r="G26" s="53"/>
      <c r="H26" s="45"/>
      <c r="I26" s="53"/>
      <c r="J26" s="45"/>
      <c r="K26" s="53"/>
      <c r="L26" s="45"/>
      <c r="M26" s="53"/>
      <c r="N26" s="45"/>
      <c r="O26" s="53"/>
      <c r="P26" s="45"/>
      <c r="Q26" s="53"/>
      <c r="R26" s="45"/>
      <c r="S26" s="53"/>
      <c r="T26" s="45"/>
      <c r="U26" s="53"/>
      <c r="V26" s="45"/>
      <c r="W26" s="45"/>
      <c r="X26" s="53"/>
      <c r="Y26" s="108"/>
      <c r="Z26" s="45"/>
      <c r="AA26" s="53"/>
      <c r="AB26" s="45"/>
      <c r="AC26" s="45"/>
      <c r="AD26" s="53"/>
      <c r="AE26" s="45"/>
      <c r="AF26" s="45"/>
      <c r="AG26" s="53"/>
      <c r="AH26" s="45"/>
      <c r="AI26" s="45"/>
      <c r="AJ26" s="53"/>
      <c r="AK26" s="45"/>
      <c r="AL26" s="60"/>
      <c r="AM26" s="53"/>
      <c r="AN26" s="45"/>
      <c r="AO26" s="60"/>
      <c r="AP26" s="53"/>
      <c r="AQ26" s="45"/>
      <c r="AR26" s="302"/>
      <c r="AS26" s="513"/>
      <c r="AT26" s="514"/>
      <c r="AU26" s="515"/>
    </row>
    <row r="27" spans="1:47">
      <c r="A27" s="22">
        <v>12</v>
      </c>
      <c r="B27" s="24" t="s">
        <v>18</v>
      </c>
      <c r="C27" s="24"/>
      <c r="E27" s="129"/>
      <c r="F27" s="129"/>
      <c r="G27" s="52">
        <f t="shared" ref="G27:P27" si="10">SUM(G24:G26)</f>
        <v>0</v>
      </c>
      <c r="H27" s="108">
        <f>SUM(H24:H26)</f>
        <v>0</v>
      </c>
      <c r="I27" s="52">
        <f t="shared" si="10"/>
        <v>0</v>
      </c>
      <c r="J27" s="108">
        <f>SUM(J24:J26)</f>
        <v>0</v>
      </c>
      <c r="K27" s="52">
        <f t="shared" si="10"/>
        <v>0</v>
      </c>
      <c r="L27" s="108">
        <f t="shared" si="10"/>
        <v>0</v>
      </c>
      <c r="M27" s="52">
        <f t="shared" si="10"/>
        <v>0</v>
      </c>
      <c r="N27" s="108">
        <f t="shared" si="10"/>
        <v>0</v>
      </c>
      <c r="O27" s="52">
        <f t="shared" si="10"/>
        <v>0</v>
      </c>
      <c r="P27" s="108">
        <f t="shared" si="10"/>
        <v>0</v>
      </c>
      <c r="Q27" s="52">
        <f t="shared" ref="Q27:AI27" si="11">SUM(Q24:Q26)</f>
        <v>0</v>
      </c>
      <c r="R27" s="108">
        <f t="shared" si="11"/>
        <v>0</v>
      </c>
      <c r="S27" s="52">
        <f t="shared" si="11"/>
        <v>0</v>
      </c>
      <c r="T27" s="108">
        <f t="shared" si="11"/>
        <v>0</v>
      </c>
      <c r="U27" s="52">
        <f t="shared" si="11"/>
        <v>0</v>
      </c>
      <c r="V27" s="108">
        <f t="shared" si="11"/>
        <v>0</v>
      </c>
      <c r="W27" s="108">
        <f t="shared" si="11"/>
        <v>0</v>
      </c>
      <c r="X27" s="52">
        <f t="shared" si="11"/>
        <v>0</v>
      </c>
      <c r="Y27" s="109">
        <f t="shared" si="11"/>
        <v>0</v>
      </c>
      <c r="Z27" s="108">
        <f t="shared" si="11"/>
        <v>0</v>
      </c>
      <c r="AA27" s="52">
        <f t="shared" si="11"/>
        <v>0</v>
      </c>
      <c r="AB27" s="44">
        <f t="shared" si="11"/>
        <v>0</v>
      </c>
      <c r="AC27" s="108">
        <f t="shared" si="11"/>
        <v>0</v>
      </c>
      <c r="AD27" s="52">
        <f t="shared" si="11"/>
        <v>0</v>
      </c>
      <c r="AE27" s="44">
        <f t="shared" si="11"/>
        <v>0</v>
      </c>
      <c r="AF27" s="108">
        <f t="shared" si="11"/>
        <v>0</v>
      </c>
      <c r="AG27" s="52">
        <f t="shared" si="11"/>
        <v>0</v>
      </c>
      <c r="AH27" s="44">
        <f t="shared" si="11"/>
        <v>0</v>
      </c>
      <c r="AI27" s="108">
        <f t="shared" si="11"/>
        <v>0</v>
      </c>
      <c r="AJ27" s="52">
        <f t="shared" ref="AJ27:AO27" si="12">SUM(AJ24:AJ26)</f>
        <v>0</v>
      </c>
      <c r="AK27" s="108">
        <f t="shared" si="12"/>
        <v>0</v>
      </c>
      <c r="AL27" s="59">
        <f t="shared" si="12"/>
        <v>0</v>
      </c>
      <c r="AM27" s="52">
        <f t="shared" si="12"/>
        <v>0</v>
      </c>
      <c r="AN27" s="108">
        <f t="shared" si="12"/>
        <v>0</v>
      </c>
      <c r="AO27" s="59">
        <f t="shared" si="12"/>
        <v>0</v>
      </c>
      <c r="AP27" s="52">
        <f t="shared" ref="AP27:AR27" si="13">SUM(AP24:AP26)</f>
        <v>0</v>
      </c>
      <c r="AQ27" s="108">
        <f t="shared" si="13"/>
        <v>0</v>
      </c>
      <c r="AR27" s="303">
        <f t="shared" si="13"/>
        <v>0</v>
      </c>
      <c r="AS27" s="511">
        <f t="shared" ref="AS27:AU27" si="14">SUM(AS24:AS26)</f>
        <v>0</v>
      </c>
      <c r="AT27" s="391">
        <f t="shared" si="14"/>
        <v>0</v>
      </c>
      <c r="AU27" s="512">
        <f t="shared" si="14"/>
        <v>0</v>
      </c>
    </row>
    <row r="28" spans="1:47">
      <c r="B28" s="24"/>
      <c r="C28" s="24"/>
      <c r="E28" s="129"/>
      <c r="F28" s="129"/>
      <c r="G28" s="52"/>
      <c r="H28" s="108"/>
      <c r="I28" s="52"/>
      <c r="J28" s="108"/>
      <c r="K28" s="52"/>
      <c r="L28" s="108"/>
      <c r="M28" s="52"/>
      <c r="N28" s="108"/>
      <c r="O28" s="52"/>
      <c r="P28" s="108"/>
      <c r="Q28" s="52"/>
      <c r="R28" s="108"/>
      <c r="S28" s="52"/>
      <c r="T28" s="108"/>
      <c r="U28" s="52"/>
      <c r="V28" s="108"/>
      <c r="W28" s="108"/>
      <c r="X28" s="52"/>
      <c r="Y28" s="108"/>
      <c r="Z28" s="108"/>
      <c r="AA28" s="52"/>
      <c r="AB28" s="44"/>
      <c r="AC28" s="108"/>
      <c r="AD28" s="52"/>
      <c r="AE28" s="44"/>
      <c r="AF28" s="108"/>
      <c r="AG28" s="52"/>
      <c r="AH28" s="44"/>
      <c r="AI28" s="108"/>
      <c r="AJ28" s="52"/>
      <c r="AK28" s="108"/>
      <c r="AL28" s="59"/>
      <c r="AM28" s="52"/>
      <c r="AN28" s="108"/>
      <c r="AO28" s="59"/>
      <c r="AP28" s="52"/>
      <c r="AQ28" s="108"/>
      <c r="AR28" s="303"/>
      <c r="AS28" s="511"/>
      <c r="AT28" s="391"/>
      <c r="AU28" s="512"/>
    </row>
    <row r="29" spans="1:47">
      <c r="B29" s="24" t="s">
        <v>19</v>
      </c>
      <c r="D29" s="24"/>
      <c r="E29" s="129"/>
      <c r="F29" s="129"/>
      <c r="G29" s="52"/>
      <c r="H29" s="108"/>
      <c r="I29" s="52"/>
      <c r="J29" s="108"/>
      <c r="K29" s="52"/>
      <c r="L29" s="108"/>
      <c r="M29" s="52"/>
      <c r="N29" s="108"/>
      <c r="O29" s="52"/>
      <c r="P29" s="108"/>
      <c r="Q29" s="52"/>
      <c r="R29" s="108"/>
      <c r="S29" s="52"/>
      <c r="T29" s="108"/>
      <c r="U29" s="52"/>
      <c r="V29" s="108"/>
      <c r="W29" s="108"/>
      <c r="X29" s="52"/>
      <c r="Y29" s="108"/>
      <c r="Z29" s="108"/>
      <c r="AA29" s="52"/>
      <c r="AB29" s="44"/>
      <c r="AC29" s="108"/>
      <c r="AD29" s="52"/>
      <c r="AE29" s="44"/>
      <c r="AF29" s="108"/>
      <c r="AG29" s="52"/>
      <c r="AH29" s="44"/>
      <c r="AI29" s="108"/>
      <c r="AJ29" s="52"/>
      <c r="AK29" s="108"/>
      <c r="AL29" s="59"/>
      <c r="AM29" s="52"/>
      <c r="AN29" s="108"/>
      <c r="AO29" s="59"/>
      <c r="AP29" s="52"/>
      <c r="AQ29" s="108"/>
      <c r="AR29" s="303"/>
      <c r="AS29" s="511"/>
      <c r="AT29" s="391"/>
      <c r="AU29" s="512"/>
    </row>
    <row r="30" spans="1:47">
      <c r="A30" s="22">
        <v>13</v>
      </c>
      <c r="C30" s="24" t="s">
        <v>17</v>
      </c>
      <c r="D30" s="24"/>
      <c r="E30" s="129"/>
      <c r="F30" s="129"/>
      <c r="G30" s="52"/>
      <c r="H30" s="108"/>
      <c r="I30" s="52"/>
      <c r="J30" s="108"/>
      <c r="K30" s="52"/>
      <c r="L30" s="108"/>
      <c r="M30" s="52"/>
      <c r="N30" s="108"/>
      <c r="O30" s="52"/>
      <c r="P30" s="108"/>
      <c r="Q30" s="52"/>
      <c r="R30" s="108"/>
      <c r="S30" s="52"/>
      <c r="T30" s="108"/>
      <c r="U30" s="52"/>
      <c r="V30" s="108"/>
      <c r="W30" s="108"/>
      <c r="X30" s="52"/>
      <c r="Y30" s="108"/>
      <c r="Z30" s="108"/>
      <c r="AA30" s="52"/>
      <c r="AB30" s="44"/>
      <c r="AC30" s="108"/>
      <c r="AD30" s="52"/>
      <c r="AE30" s="44"/>
      <c r="AF30" s="108"/>
      <c r="AG30" s="52"/>
      <c r="AH30" s="44"/>
      <c r="AI30" s="108"/>
      <c r="AJ30" s="52"/>
      <c r="AK30" s="108"/>
      <c r="AL30" s="59"/>
      <c r="AM30" s="52"/>
      <c r="AN30" s="108"/>
      <c r="AO30" s="59"/>
      <c r="AP30" s="52"/>
      <c r="AQ30" s="108"/>
      <c r="AR30" s="303"/>
      <c r="AS30" s="511"/>
      <c r="AT30" s="391"/>
      <c r="AU30" s="512"/>
    </row>
    <row r="31" spans="1:47">
      <c r="A31" s="22">
        <v>14</v>
      </c>
      <c r="C31" s="24" t="s">
        <v>47</v>
      </c>
      <c r="D31" s="24"/>
      <c r="E31" s="129"/>
      <c r="F31" s="129"/>
      <c r="G31" s="52"/>
      <c r="H31" s="108"/>
      <c r="I31" s="52"/>
      <c r="J31" s="108"/>
      <c r="K31" s="52"/>
      <c r="L31" s="108"/>
      <c r="M31" s="52"/>
      <c r="N31" s="108"/>
      <c r="O31" s="52"/>
      <c r="P31" s="108"/>
      <c r="Q31" s="52"/>
      <c r="R31" s="108"/>
      <c r="S31" s="52"/>
      <c r="T31" s="108"/>
      <c r="U31" s="52"/>
      <c r="V31" s="108"/>
      <c r="W31" s="108"/>
      <c r="X31" s="52"/>
      <c r="Y31" s="108"/>
      <c r="Z31" s="108"/>
      <c r="AA31" s="52"/>
      <c r="AB31" s="44"/>
      <c r="AC31" s="108"/>
      <c r="AD31" s="52"/>
      <c r="AE31" s="44"/>
      <c r="AF31" s="108"/>
      <c r="AG31" s="52"/>
      <c r="AH31" s="44"/>
      <c r="AI31" s="108"/>
      <c r="AJ31" s="52"/>
      <c r="AK31" s="108"/>
      <c r="AL31" s="59"/>
      <c r="AM31" s="52"/>
      <c r="AN31" s="108"/>
      <c r="AO31" s="59"/>
      <c r="AP31" s="52"/>
      <c r="AQ31" s="108"/>
      <c r="AR31" s="303"/>
      <c r="AS31" s="511"/>
      <c r="AT31" s="391"/>
      <c r="AU31" s="512"/>
    </row>
    <row r="32" spans="1:47">
      <c r="A32" s="22">
        <v>15</v>
      </c>
      <c r="C32" s="24" t="s">
        <v>4</v>
      </c>
      <c r="D32" s="24"/>
      <c r="E32" s="129">
        <f>ROR!N16</f>
        <v>3.8260000000000002E-2</v>
      </c>
      <c r="F32" s="129"/>
      <c r="G32" s="53">
        <f>ROUND(G11*$E32,0)</f>
        <v>0</v>
      </c>
      <c r="H32" s="45">
        <f>ROUND(H11*$E32,0)</f>
        <v>-2304</v>
      </c>
      <c r="I32" s="53">
        <f t="shared" ref="I32:P32" si="15">ROUND(I11*$E32,0)</f>
        <v>-38</v>
      </c>
      <c r="J32" s="45">
        <f t="shared" si="15"/>
        <v>-4287</v>
      </c>
      <c r="K32" s="53">
        <f t="shared" si="15"/>
        <v>-68</v>
      </c>
      <c r="L32" s="45">
        <f t="shared" si="15"/>
        <v>-4425</v>
      </c>
      <c r="M32" s="53">
        <f t="shared" si="15"/>
        <v>-81</v>
      </c>
      <c r="N32" s="45">
        <f t="shared" si="15"/>
        <v>-3899</v>
      </c>
      <c r="O32" s="53">
        <f t="shared" si="15"/>
        <v>0</v>
      </c>
      <c r="P32" s="45">
        <f t="shared" si="15"/>
        <v>-4592</v>
      </c>
      <c r="Q32" s="53">
        <f t="shared" ref="Q32:AI32" si="16">ROUND(Q11*$E32,0)</f>
        <v>-114</v>
      </c>
      <c r="R32" s="45">
        <f t="shared" si="16"/>
        <v>-5240</v>
      </c>
      <c r="S32" s="53">
        <f t="shared" si="16"/>
        <v>0</v>
      </c>
      <c r="T32" s="45">
        <f t="shared" si="16"/>
        <v>-6014</v>
      </c>
      <c r="U32" s="53">
        <f t="shared" si="16"/>
        <v>-154</v>
      </c>
      <c r="V32" s="45">
        <f t="shared" si="16"/>
        <v>-3</v>
      </c>
      <c r="W32" s="45">
        <f t="shared" si="16"/>
        <v>-6261</v>
      </c>
      <c r="X32" s="53">
        <f t="shared" si="16"/>
        <v>-176</v>
      </c>
      <c r="Y32" s="108">
        <f t="shared" si="16"/>
        <v>-17</v>
      </c>
      <c r="Z32" s="45">
        <f t="shared" si="16"/>
        <v>-5917</v>
      </c>
      <c r="AA32" s="53">
        <f t="shared" si="16"/>
        <v>-272</v>
      </c>
      <c r="AB32" s="45">
        <f t="shared" si="16"/>
        <v>-28</v>
      </c>
      <c r="AC32" s="45">
        <f t="shared" si="16"/>
        <v>-4858</v>
      </c>
      <c r="AD32" s="53">
        <f t="shared" si="16"/>
        <v>-338</v>
      </c>
      <c r="AE32" s="45">
        <f t="shared" si="16"/>
        <v>-20</v>
      </c>
      <c r="AF32" s="45">
        <f t="shared" si="16"/>
        <v>-3171</v>
      </c>
      <c r="AG32" s="53">
        <f t="shared" si="16"/>
        <v>-359</v>
      </c>
      <c r="AH32" s="45">
        <f t="shared" si="16"/>
        <v>-20</v>
      </c>
      <c r="AI32" s="45">
        <f t="shared" si="16"/>
        <v>-3374</v>
      </c>
      <c r="AJ32" s="53">
        <f t="shared" ref="AJ32:AO32" si="17">ROUND(AJ11*$E32,0)</f>
        <v>-239</v>
      </c>
      <c r="AK32" s="45">
        <f t="shared" si="17"/>
        <v>-7</v>
      </c>
      <c r="AL32" s="60">
        <f t="shared" si="17"/>
        <v>-3003</v>
      </c>
      <c r="AM32" s="53">
        <f t="shared" si="17"/>
        <v>0</v>
      </c>
      <c r="AN32" s="45">
        <f t="shared" si="17"/>
        <v>0</v>
      </c>
      <c r="AO32" s="60">
        <f t="shared" si="17"/>
        <v>-3083</v>
      </c>
      <c r="AP32" s="53">
        <f t="shared" ref="AP32:AR32" si="18">ROUND(AP11*$E32,0)</f>
        <v>0</v>
      </c>
      <c r="AQ32" s="45">
        <f t="shared" si="18"/>
        <v>0</v>
      </c>
      <c r="AR32" s="302">
        <f t="shared" si="18"/>
        <v>-3380</v>
      </c>
      <c r="AS32" s="513">
        <f t="shared" ref="AS32:AU32" si="19">ROUND(AS11*$E32,0)</f>
        <v>0</v>
      </c>
      <c r="AT32" s="514">
        <f t="shared" si="19"/>
        <v>0</v>
      </c>
      <c r="AU32" s="515">
        <f t="shared" si="19"/>
        <v>-3197</v>
      </c>
    </row>
    <row r="33" spans="1:47">
      <c r="A33" s="22">
        <v>16</v>
      </c>
      <c r="B33" s="24" t="s">
        <v>20</v>
      </c>
      <c r="C33" s="24"/>
      <c r="E33" s="129"/>
      <c r="F33" s="129"/>
      <c r="G33" s="52">
        <f t="shared" ref="G33:P33" si="20">SUM(G30:G32)</f>
        <v>0</v>
      </c>
      <c r="H33" s="108">
        <f>SUM(H30:H32)</f>
        <v>-2304</v>
      </c>
      <c r="I33" s="52">
        <f t="shared" si="20"/>
        <v>-38</v>
      </c>
      <c r="J33" s="108">
        <f>SUM(J30:J32)</f>
        <v>-4287</v>
      </c>
      <c r="K33" s="52">
        <f t="shared" si="20"/>
        <v>-68</v>
      </c>
      <c r="L33" s="108">
        <f t="shared" si="20"/>
        <v>-4425</v>
      </c>
      <c r="M33" s="52">
        <f t="shared" si="20"/>
        <v>-81</v>
      </c>
      <c r="N33" s="108">
        <f t="shared" si="20"/>
        <v>-3899</v>
      </c>
      <c r="O33" s="52">
        <f t="shared" si="20"/>
        <v>0</v>
      </c>
      <c r="P33" s="108">
        <f t="shared" si="20"/>
        <v>-4592</v>
      </c>
      <c r="Q33" s="52">
        <f t="shared" ref="Q33:AI33" si="21">SUM(Q30:Q32)</f>
        <v>-114</v>
      </c>
      <c r="R33" s="108">
        <f t="shared" si="21"/>
        <v>-5240</v>
      </c>
      <c r="S33" s="52">
        <f t="shared" si="21"/>
        <v>0</v>
      </c>
      <c r="T33" s="108">
        <f t="shared" si="21"/>
        <v>-6014</v>
      </c>
      <c r="U33" s="52">
        <f t="shared" si="21"/>
        <v>-154</v>
      </c>
      <c r="V33" s="108">
        <f t="shared" si="21"/>
        <v>-3</v>
      </c>
      <c r="W33" s="108">
        <f t="shared" si="21"/>
        <v>-6261</v>
      </c>
      <c r="X33" s="52">
        <f t="shared" si="21"/>
        <v>-176</v>
      </c>
      <c r="Y33" s="109">
        <f t="shared" si="21"/>
        <v>-17</v>
      </c>
      <c r="Z33" s="108">
        <f t="shared" si="21"/>
        <v>-5917</v>
      </c>
      <c r="AA33" s="52">
        <f t="shared" si="21"/>
        <v>-272</v>
      </c>
      <c r="AB33" s="44">
        <f t="shared" si="21"/>
        <v>-28</v>
      </c>
      <c r="AC33" s="108">
        <f t="shared" si="21"/>
        <v>-4858</v>
      </c>
      <c r="AD33" s="52">
        <f t="shared" si="21"/>
        <v>-338</v>
      </c>
      <c r="AE33" s="44">
        <f t="shared" si="21"/>
        <v>-20</v>
      </c>
      <c r="AF33" s="108">
        <f t="shared" si="21"/>
        <v>-3171</v>
      </c>
      <c r="AG33" s="52">
        <f t="shared" si="21"/>
        <v>-359</v>
      </c>
      <c r="AH33" s="44">
        <f t="shared" si="21"/>
        <v>-20</v>
      </c>
      <c r="AI33" s="108">
        <f t="shared" si="21"/>
        <v>-3374</v>
      </c>
      <c r="AJ33" s="52">
        <f t="shared" ref="AJ33:AO33" si="22">SUM(AJ30:AJ32)</f>
        <v>-239</v>
      </c>
      <c r="AK33" s="108">
        <f t="shared" si="22"/>
        <v>-7</v>
      </c>
      <c r="AL33" s="59">
        <f t="shared" si="22"/>
        <v>-3003</v>
      </c>
      <c r="AM33" s="52">
        <f t="shared" si="22"/>
        <v>0</v>
      </c>
      <c r="AN33" s="108">
        <f t="shared" si="22"/>
        <v>0</v>
      </c>
      <c r="AO33" s="59">
        <f t="shared" si="22"/>
        <v>-3083</v>
      </c>
      <c r="AP33" s="52">
        <f t="shared" ref="AP33:AR33" si="23">SUM(AP30:AP32)</f>
        <v>0</v>
      </c>
      <c r="AQ33" s="108">
        <f t="shared" si="23"/>
        <v>0</v>
      </c>
      <c r="AR33" s="303">
        <f t="shared" si="23"/>
        <v>-3380</v>
      </c>
      <c r="AS33" s="511">
        <f t="shared" ref="AS33:AU33" si="24">SUM(AS30:AS32)</f>
        <v>0</v>
      </c>
      <c r="AT33" s="391">
        <f t="shared" si="24"/>
        <v>0</v>
      </c>
      <c r="AU33" s="512">
        <f t="shared" si="24"/>
        <v>-3197</v>
      </c>
    </row>
    <row r="34" spans="1:47">
      <c r="C34" s="24"/>
      <c r="D34" s="24"/>
      <c r="E34" s="129"/>
      <c r="F34" s="129"/>
      <c r="G34" s="52"/>
      <c r="H34" s="108"/>
      <c r="I34" s="52"/>
      <c r="J34" s="108"/>
      <c r="K34" s="52"/>
      <c r="L34" s="108"/>
      <c r="M34" s="52"/>
      <c r="N34" s="108"/>
      <c r="O34" s="52"/>
      <c r="P34" s="108"/>
      <c r="Q34" s="52"/>
      <c r="R34" s="108"/>
      <c r="S34" s="52"/>
      <c r="T34" s="108"/>
      <c r="U34" s="52"/>
      <c r="V34" s="108"/>
      <c r="W34" s="108"/>
      <c r="X34" s="52"/>
      <c r="Y34" s="108"/>
      <c r="Z34" s="108"/>
      <c r="AA34" s="52"/>
      <c r="AB34" s="44"/>
      <c r="AC34" s="108"/>
      <c r="AD34" s="52"/>
      <c r="AE34" s="44"/>
      <c r="AF34" s="108"/>
      <c r="AG34" s="52"/>
      <c r="AH34" s="44"/>
      <c r="AI34" s="108"/>
      <c r="AJ34" s="52"/>
      <c r="AK34" s="108"/>
      <c r="AL34" s="59"/>
      <c r="AM34" s="52"/>
      <c r="AN34" s="108"/>
      <c r="AO34" s="59"/>
      <c r="AP34" s="52"/>
      <c r="AQ34" s="108"/>
      <c r="AR34" s="303"/>
      <c r="AS34" s="511"/>
      <c r="AT34" s="391"/>
      <c r="AU34" s="512"/>
    </row>
    <row r="35" spans="1:47">
      <c r="A35" s="22">
        <v>17</v>
      </c>
      <c r="B35" s="3" t="s">
        <v>21</v>
      </c>
      <c r="C35" s="24"/>
      <c r="D35" s="24"/>
      <c r="E35" s="129">
        <f>ROR!N12</f>
        <v>6.7400000000000003E-3</v>
      </c>
      <c r="F35" s="129"/>
      <c r="G35" s="52">
        <f>ROUND(G11*$E35,0)</f>
        <v>0</v>
      </c>
      <c r="H35" s="108">
        <f>ROUND(H11*$E35,0)</f>
        <v>-406</v>
      </c>
      <c r="I35" s="52">
        <f t="shared" ref="I35:P35" si="25">ROUND(I11*$E35,0)</f>
        <v>-7</v>
      </c>
      <c r="J35" s="108">
        <f t="shared" si="25"/>
        <v>-755</v>
      </c>
      <c r="K35" s="52">
        <f t="shared" si="25"/>
        <v>-12</v>
      </c>
      <c r="L35" s="108">
        <f t="shared" si="25"/>
        <v>-780</v>
      </c>
      <c r="M35" s="52">
        <f t="shared" si="25"/>
        <v>-14</v>
      </c>
      <c r="N35" s="108">
        <f t="shared" si="25"/>
        <v>-687</v>
      </c>
      <c r="O35" s="52">
        <f t="shared" si="25"/>
        <v>0</v>
      </c>
      <c r="P35" s="108">
        <f t="shared" si="25"/>
        <v>-809</v>
      </c>
      <c r="Q35" s="52">
        <f t="shared" ref="Q35:AI35" si="26">ROUND(Q11*$E35,0)</f>
        <v>-20</v>
      </c>
      <c r="R35" s="108">
        <f t="shared" si="26"/>
        <v>-923</v>
      </c>
      <c r="S35" s="52">
        <f t="shared" si="26"/>
        <v>0</v>
      </c>
      <c r="T35" s="108">
        <f t="shared" si="26"/>
        <v>-1059</v>
      </c>
      <c r="U35" s="52">
        <f t="shared" si="26"/>
        <v>-27</v>
      </c>
      <c r="V35" s="108">
        <f t="shared" si="26"/>
        <v>-1</v>
      </c>
      <c r="W35" s="108">
        <f t="shared" si="26"/>
        <v>-1103</v>
      </c>
      <c r="X35" s="52">
        <f t="shared" si="26"/>
        <v>-31</v>
      </c>
      <c r="Y35" s="108">
        <f t="shared" si="26"/>
        <v>-3</v>
      </c>
      <c r="Z35" s="108">
        <f t="shared" si="26"/>
        <v>-1042</v>
      </c>
      <c r="AA35" s="52">
        <f t="shared" si="26"/>
        <v>-48</v>
      </c>
      <c r="AB35" s="44">
        <f t="shared" si="26"/>
        <v>-5</v>
      </c>
      <c r="AC35" s="108">
        <f t="shared" si="26"/>
        <v>-856</v>
      </c>
      <c r="AD35" s="52">
        <f t="shared" si="26"/>
        <v>-60</v>
      </c>
      <c r="AE35" s="44">
        <f t="shared" si="26"/>
        <v>-3</v>
      </c>
      <c r="AF35" s="108">
        <f t="shared" si="26"/>
        <v>-559</v>
      </c>
      <c r="AG35" s="52">
        <f t="shared" si="26"/>
        <v>-63</v>
      </c>
      <c r="AH35" s="44">
        <f t="shared" si="26"/>
        <v>-3</v>
      </c>
      <c r="AI35" s="108">
        <f t="shared" si="26"/>
        <v>-594</v>
      </c>
      <c r="AJ35" s="52">
        <f t="shared" ref="AJ35:AO35" si="27">ROUND(AJ11*$E35,0)</f>
        <v>-42</v>
      </c>
      <c r="AK35" s="108">
        <f t="shared" si="27"/>
        <v>-1</v>
      </c>
      <c r="AL35" s="59">
        <f t="shared" si="27"/>
        <v>-529</v>
      </c>
      <c r="AM35" s="52">
        <f t="shared" si="27"/>
        <v>0</v>
      </c>
      <c r="AN35" s="108">
        <f t="shared" si="27"/>
        <v>0</v>
      </c>
      <c r="AO35" s="59">
        <f t="shared" si="27"/>
        <v>-543</v>
      </c>
      <c r="AP35" s="52">
        <f t="shared" ref="AP35:AR35" si="28">ROUND(AP11*$E35,0)</f>
        <v>0</v>
      </c>
      <c r="AQ35" s="108">
        <f t="shared" si="28"/>
        <v>0</v>
      </c>
      <c r="AR35" s="303">
        <f t="shared" si="28"/>
        <v>-595</v>
      </c>
      <c r="AS35" s="511">
        <f t="shared" ref="AS35:AU35" si="29">ROUND(AS11*$E35,0)</f>
        <v>0</v>
      </c>
      <c r="AT35" s="391">
        <f t="shared" si="29"/>
        <v>0</v>
      </c>
      <c r="AU35" s="512">
        <f t="shared" si="29"/>
        <v>-563</v>
      </c>
    </row>
    <row r="36" spans="1:47">
      <c r="A36" s="22">
        <v>18</v>
      </c>
      <c r="B36" s="3" t="s">
        <v>22</v>
      </c>
      <c r="C36" s="24"/>
      <c r="D36" s="24"/>
      <c r="E36" s="129"/>
      <c r="F36" s="129"/>
      <c r="G36" s="52">
        <v>0</v>
      </c>
      <c r="H36" s="108"/>
      <c r="I36" s="52">
        <v>-949</v>
      </c>
      <c r="J36" s="108"/>
      <c r="K36" s="52">
        <v>-1696</v>
      </c>
      <c r="L36" s="108"/>
      <c r="M36" s="52">
        <v>-2029</v>
      </c>
      <c r="N36" s="108"/>
      <c r="O36" s="52">
        <v>0</v>
      </c>
      <c r="P36" s="108"/>
      <c r="Q36" s="52">
        <v>-2842</v>
      </c>
      <c r="R36" s="108"/>
      <c r="S36" s="52">
        <v>0</v>
      </c>
      <c r="T36" s="108"/>
      <c r="U36" s="52">
        <v>-3835</v>
      </c>
      <c r="V36" s="108"/>
      <c r="W36" s="108"/>
      <c r="X36" s="52">
        <v>-4381</v>
      </c>
      <c r="Y36" s="108"/>
      <c r="Z36" s="108"/>
      <c r="AA36" s="52">
        <v>-6777</v>
      </c>
      <c r="AB36" s="44"/>
      <c r="AC36" s="108"/>
      <c r="AD36" s="52">
        <v>-8416</v>
      </c>
      <c r="AE36" s="44"/>
      <c r="AF36" s="108"/>
      <c r="AG36" s="52">
        <v>-8953</v>
      </c>
      <c r="AH36" s="44"/>
      <c r="AI36" s="108"/>
      <c r="AJ36" s="52">
        <f>-6212+270</f>
        <v>-5942</v>
      </c>
      <c r="AK36" s="108"/>
      <c r="AL36" s="59"/>
      <c r="AM36" s="52">
        <v>0</v>
      </c>
      <c r="AN36" s="108"/>
      <c r="AO36" s="59"/>
      <c r="AP36" s="52">
        <v>0</v>
      </c>
      <c r="AQ36" s="108"/>
      <c r="AR36" s="303"/>
      <c r="AS36" s="511">
        <v>0</v>
      </c>
      <c r="AT36" s="391"/>
      <c r="AU36" s="512"/>
    </row>
    <row r="37" spans="1:47">
      <c r="A37" s="22">
        <v>19</v>
      </c>
      <c r="B37" s="3" t="s">
        <v>23</v>
      </c>
      <c r="C37" s="24"/>
      <c r="D37" s="24"/>
      <c r="E37" s="129"/>
      <c r="F37" s="129"/>
      <c r="G37" s="52"/>
      <c r="H37" s="108"/>
      <c r="I37" s="52"/>
      <c r="J37" s="108"/>
      <c r="K37" s="52"/>
      <c r="L37" s="108"/>
      <c r="M37" s="52"/>
      <c r="N37" s="108"/>
      <c r="O37" s="52"/>
      <c r="P37" s="108"/>
      <c r="Q37" s="52"/>
      <c r="R37" s="108"/>
      <c r="S37" s="52"/>
      <c r="T37" s="108"/>
      <c r="U37" s="52"/>
      <c r="V37" s="108"/>
      <c r="W37" s="108"/>
      <c r="X37" s="52"/>
      <c r="Y37" s="108"/>
      <c r="Z37" s="108"/>
      <c r="AA37" s="52"/>
      <c r="AB37" s="44"/>
      <c r="AC37" s="108"/>
      <c r="AD37" s="52"/>
      <c r="AE37" s="44"/>
      <c r="AF37" s="108"/>
      <c r="AG37" s="52"/>
      <c r="AH37" s="44"/>
      <c r="AI37" s="108"/>
      <c r="AJ37" s="52"/>
      <c r="AK37" s="108"/>
      <c r="AL37" s="59"/>
      <c r="AM37" s="52"/>
      <c r="AN37" s="108"/>
      <c r="AO37" s="59"/>
      <c r="AP37" s="52"/>
      <c r="AQ37" s="108"/>
      <c r="AR37" s="303"/>
      <c r="AS37" s="511"/>
      <c r="AT37" s="391"/>
      <c r="AU37" s="512"/>
    </row>
    <row r="38" spans="1:47">
      <c r="C38" s="24"/>
      <c r="D38" s="24"/>
      <c r="E38" s="129"/>
      <c r="F38" s="129"/>
      <c r="G38" s="52"/>
      <c r="H38" s="108"/>
      <c r="I38" s="52"/>
      <c r="J38" s="108"/>
      <c r="K38" s="52"/>
      <c r="L38" s="108"/>
      <c r="M38" s="52"/>
      <c r="N38" s="108"/>
      <c r="O38" s="52"/>
      <c r="P38" s="108"/>
      <c r="Q38" s="52"/>
      <c r="R38" s="108"/>
      <c r="S38" s="52"/>
      <c r="T38" s="108"/>
      <c r="U38" s="52"/>
      <c r="V38" s="108"/>
      <c r="W38" s="108"/>
      <c r="X38" s="52"/>
      <c r="Y38" s="108"/>
      <c r="Z38" s="108"/>
      <c r="AA38" s="52"/>
      <c r="AB38" s="44"/>
      <c r="AC38" s="108"/>
      <c r="AD38" s="52"/>
      <c r="AE38" s="44"/>
      <c r="AF38" s="108"/>
      <c r="AG38" s="52"/>
      <c r="AH38" s="44"/>
      <c r="AI38" s="108"/>
      <c r="AJ38" s="52"/>
      <c r="AK38" s="108"/>
      <c r="AL38" s="59"/>
      <c r="AM38" s="52"/>
      <c r="AN38" s="108"/>
      <c r="AO38" s="59"/>
      <c r="AP38" s="52"/>
      <c r="AQ38" s="108"/>
      <c r="AR38" s="303"/>
      <c r="AS38" s="511"/>
      <c r="AT38" s="391"/>
      <c r="AU38" s="512"/>
    </row>
    <row r="39" spans="1:47">
      <c r="B39" s="3" t="s">
        <v>24</v>
      </c>
      <c r="C39" s="24"/>
      <c r="D39" s="24"/>
      <c r="E39" s="129"/>
      <c r="F39" s="129"/>
      <c r="G39" s="52"/>
      <c r="H39" s="108"/>
      <c r="I39" s="52"/>
      <c r="J39" s="108"/>
      <c r="K39" s="52"/>
      <c r="L39" s="108"/>
      <c r="M39" s="52"/>
      <c r="N39" s="108"/>
      <c r="O39" s="52"/>
      <c r="P39" s="108"/>
      <c r="Q39" s="52"/>
      <c r="R39" s="108"/>
      <c r="S39" s="52"/>
      <c r="T39" s="108"/>
      <c r="U39" s="52"/>
      <c r="V39" s="108"/>
      <c r="W39" s="108"/>
      <c r="X39" s="52"/>
      <c r="Y39" s="108"/>
      <c r="Z39" s="108"/>
      <c r="AA39" s="52"/>
      <c r="AB39" s="44"/>
      <c r="AC39" s="108"/>
      <c r="AD39" s="52"/>
      <c r="AE39" s="44"/>
      <c r="AF39" s="108"/>
      <c r="AG39" s="52"/>
      <c r="AH39" s="44"/>
      <c r="AI39" s="108"/>
      <c r="AJ39" s="52"/>
      <c r="AK39" s="108"/>
      <c r="AL39" s="59"/>
      <c r="AM39" s="52"/>
      <c r="AN39" s="108"/>
      <c r="AO39" s="59"/>
      <c r="AP39" s="52"/>
      <c r="AQ39" s="108"/>
      <c r="AR39" s="303"/>
      <c r="AS39" s="511"/>
      <c r="AT39" s="391"/>
      <c r="AU39" s="512"/>
    </row>
    <row r="40" spans="1:47">
      <c r="A40" s="22">
        <v>20</v>
      </c>
      <c r="C40" s="24" t="s">
        <v>17</v>
      </c>
      <c r="D40" s="24"/>
      <c r="E40" s="129">
        <f>ROR!N14</f>
        <v>2E-3</v>
      </c>
      <c r="F40" s="129"/>
      <c r="G40" s="52">
        <f>ROUND(G11*$E40,0)</f>
        <v>0</v>
      </c>
      <c r="H40" s="108">
        <f>ROUND(H11*$E40,0)</f>
        <v>-120</v>
      </c>
      <c r="I40" s="52">
        <f t="shared" ref="I40:P40" si="30">ROUND(I11*$E40,0)</f>
        <v>-2</v>
      </c>
      <c r="J40" s="108">
        <f t="shared" si="30"/>
        <v>-224</v>
      </c>
      <c r="K40" s="52">
        <f t="shared" si="30"/>
        <v>-4</v>
      </c>
      <c r="L40" s="108">
        <f t="shared" si="30"/>
        <v>-231</v>
      </c>
      <c r="M40" s="52">
        <f t="shared" si="30"/>
        <v>-4</v>
      </c>
      <c r="N40" s="108">
        <f t="shared" si="30"/>
        <v>-204</v>
      </c>
      <c r="O40" s="52">
        <f t="shared" si="30"/>
        <v>0</v>
      </c>
      <c r="P40" s="108">
        <f t="shared" si="30"/>
        <v>-240</v>
      </c>
      <c r="Q40" s="52">
        <f t="shared" ref="Q40:AI40" si="31">ROUND(Q11*$E40,0)</f>
        <v>-6</v>
      </c>
      <c r="R40" s="108">
        <f t="shared" si="31"/>
        <v>-274</v>
      </c>
      <c r="S40" s="52">
        <f t="shared" si="31"/>
        <v>0</v>
      </c>
      <c r="T40" s="108">
        <f t="shared" si="31"/>
        <v>-314</v>
      </c>
      <c r="U40" s="52">
        <f t="shared" si="31"/>
        <v>-8</v>
      </c>
      <c r="V40" s="108">
        <f t="shared" si="31"/>
        <v>0</v>
      </c>
      <c r="W40" s="108">
        <f t="shared" si="31"/>
        <v>-327</v>
      </c>
      <c r="X40" s="52">
        <f t="shared" si="31"/>
        <v>-9</v>
      </c>
      <c r="Y40" s="108">
        <f t="shared" si="31"/>
        <v>-1</v>
      </c>
      <c r="Z40" s="108">
        <f t="shared" si="31"/>
        <v>-309</v>
      </c>
      <c r="AA40" s="52">
        <f t="shared" si="31"/>
        <v>-14</v>
      </c>
      <c r="AB40" s="44">
        <f t="shared" si="31"/>
        <v>-1</v>
      </c>
      <c r="AC40" s="108">
        <f t="shared" si="31"/>
        <v>-254</v>
      </c>
      <c r="AD40" s="52">
        <f t="shared" si="31"/>
        <v>-18</v>
      </c>
      <c r="AE40" s="44">
        <f t="shared" si="31"/>
        <v>-1</v>
      </c>
      <c r="AF40" s="108">
        <f t="shared" si="31"/>
        <v>-166</v>
      </c>
      <c r="AG40" s="52">
        <f t="shared" si="31"/>
        <v>-19</v>
      </c>
      <c r="AH40" s="44">
        <f t="shared" si="31"/>
        <v>-1</v>
      </c>
      <c r="AI40" s="108">
        <f t="shared" si="31"/>
        <v>-176</v>
      </c>
      <c r="AJ40" s="52">
        <f t="shared" ref="AJ40:AO40" si="32">ROUND(AJ11*$E40,0)</f>
        <v>-12</v>
      </c>
      <c r="AK40" s="108">
        <f t="shared" si="32"/>
        <v>0</v>
      </c>
      <c r="AL40" s="59">
        <f t="shared" si="32"/>
        <v>-157</v>
      </c>
      <c r="AM40" s="52">
        <f t="shared" si="32"/>
        <v>0</v>
      </c>
      <c r="AN40" s="108">
        <f t="shared" si="32"/>
        <v>0</v>
      </c>
      <c r="AO40" s="59">
        <f t="shared" si="32"/>
        <v>-161</v>
      </c>
      <c r="AP40" s="52">
        <f t="shared" ref="AP40:AR40" si="33">ROUND(AP11*$E40,0)</f>
        <v>0</v>
      </c>
      <c r="AQ40" s="108">
        <f t="shared" si="33"/>
        <v>0</v>
      </c>
      <c r="AR40" s="303">
        <f t="shared" si="33"/>
        <v>-177</v>
      </c>
      <c r="AS40" s="511">
        <f t="shared" ref="AS40:AT40" si="34">ROUND(AS11*$E40,0)</f>
        <v>0</v>
      </c>
      <c r="AT40" s="391">
        <f t="shared" si="34"/>
        <v>0</v>
      </c>
      <c r="AU40" s="512">
        <f>ROUND(AU11*$E40,0)</f>
        <v>-167</v>
      </c>
    </row>
    <row r="41" spans="1:47">
      <c r="A41" s="22">
        <v>21</v>
      </c>
      <c r="C41" s="24" t="s">
        <v>47</v>
      </c>
      <c r="D41" s="24"/>
      <c r="G41" s="52"/>
      <c r="H41" s="108"/>
      <c r="I41" s="52"/>
      <c r="J41" s="108"/>
      <c r="K41" s="52"/>
      <c r="L41" s="108"/>
      <c r="M41" s="52"/>
      <c r="N41" s="108"/>
      <c r="O41" s="52"/>
      <c r="P41" s="108"/>
      <c r="Q41" s="52"/>
      <c r="R41" s="108"/>
      <c r="S41" s="52"/>
      <c r="T41" s="108"/>
      <c r="U41" s="52"/>
      <c r="V41" s="108">
        <v>-85</v>
      </c>
      <c r="W41" s="108"/>
      <c r="X41" s="52"/>
      <c r="Y41" s="108">
        <v>-432</v>
      </c>
      <c r="Z41" s="108"/>
      <c r="AA41" s="52"/>
      <c r="AB41" s="44">
        <v>-710</v>
      </c>
      <c r="AC41" s="108"/>
      <c r="AD41" s="52"/>
      <c r="AE41" s="44">
        <v>-494</v>
      </c>
      <c r="AF41" s="108"/>
      <c r="AG41" s="52"/>
      <c r="AH41" s="44">
        <v>-494</v>
      </c>
      <c r="AI41" s="108"/>
      <c r="AJ41" s="52"/>
      <c r="AK41" s="108">
        <f>-184+1</f>
        <v>-183</v>
      </c>
      <c r="AL41" s="59"/>
      <c r="AM41" s="52"/>
      <c r="AN41" s="108">
        <v>0</v>
      </c>
      <c r="AO41" s="59"/>
      <c r="AP41" s="52"/>
      <c r="AQ41" s="108">
        <v>0</v>
      </c>
      <c r="AR41" s="303"/>
      <c r="AS41" s="511"/>
      <c r="AT41" s="391">
        <v>0</v>
      </c>
      <c r="AU41" s="512"/>
    </row>
    <row r="42" spans="1:47">
      <c r="A42" s="22">
        <v>22</v>
      </c>
      <c r="C42" s="1" t="s">
        <v>52</v>
      </c>
      <c r="D42" s="24"/>
      <c r="G42" s="52"/>
      <c r="H42" s="108"/>
      <c r="I42" s="52"/>
      <c r="J42" s="108"/>
      <c r="K42" s="52"/>
      <c r="L42" s="108"/>
      <c r="M42" s="52"/>
      <c r="N42" s="108"/>
      <c r="O42" s="52"/>
      <c r="P42" s="108"/>
      <c r="Q42" s="52"/>
      <c r="R42" s="108"/>
      <c r="S42" s="52"/>
      <c r="T42" s="108"/>
      <c r="U42" s="52"/>
      <c r="V42" s="108"/>
      <c r="W42" s="108"/>
      <c r="X42" s="52"/>
      <c r="Y42" s="108"/>
      <c r="Z42" s="108"/>
      <c r="AA42" s="52"/>
      <c r="AB42" s="44"/>
      <c r="AC42" s="108"/>
      <c r="AD42" s="52"/>
      <c r="AE42" s="44"/>
      <c r="AF42" s="108"/>
      <c r="AG42" s="52"/>
      <c r="AH42" s="44"/>
      <c r="AI42" s="108"/>
      <c r="AJ42" s="52"/>
      <c r="AK42" s="108"/>
      <c r="AL42" s="59"/>
      <c r="AM42" s="52"/>
      <c r="AN42" s="108"/>
      <c r="AO42" s="59"/>
      <c r="AP42" s="52"/>
      <c r="AQ42" s="108"/>
      <c r="AR42" s="303"/>
      <c r="AS42" s="511"/>
      <c r="AT42" s="391"/>
      <c r="AU42" s="512"/>
    </row>
    <row r="43" spans="1:47">
      <c r="A43" s="22">
        <v>23</v>
      </c>
      <c r="C43" s="24" t="s">
        <v>4</v>
      </c>
      <c r="D43" s="24"/>
      <c r="G43" s="53"/>
      <c r="H43" s="45"/>
      <c r="I43" s="53"/>
      <c r="J43" s="45"/>
      <c r="K43" s="53"/>
      <c r="L43" s="45"/>
      <c r="M43" s="53"/>
      <c r="N43" s="45"/>
      <c r="O43" s="53"/>
      <c r="P43" s="45"/>
      <c r="Q43" s="53"/>
      <c r="R43" s="45"/>
      <c r="S43" s="53"/>
      <c r="T43" s="45"/>
      <c r="U43" s="53"/>
      <c r="V43" s="45"/>
      <c r="W43" s="45"/>
      <c r="X43" s="53"/>
      <c r="Y43" s="108"/>
      <c r="Z43" s="45"/>
      <c r="AA43" s="53"/>
      <c r="AB43" s="45"/>
      <c r="AC43" s="45"/>
      <c r="AD43" s="53"/>
      <c r="AE43" s="45"/>
      <c r="AF43" s="45"/>
      <c r="AG43" s="53"/>
      <c r="AH43" s="45"/>
      <c r="AI43" s="45"/>
      <c r="AJ43" s="53"/>
      <c r="AK43" s="45"/>
      <c r="AL43" s="60"/>
      <c r="AM43" s="53"/>
      <c r="AN43" s="45"/>
      <c r="AO43" s="60"/>
      <c r="AP43" s="53"/>
      <c r="AQ43" s="45"/>
      <c r="AR43" s="302"/>
      <c r="AS43" s="513"/>
      <c r="AT43" s="514"/>
      <c r="AU43" s="515"/>
    </row>
    <row r="44" spans="1:47">
      <c r="A44" s="22">
        <v>24</v>
      </c>
      <c r="B44" s="24" t="s">
        <v>25</v>
      </c>
      <c r="C44" s="24"/>
      <c r="G44" s="54">
        <f t="shared" ref="G44:P44" si="35">SUM(G40:G43)</f>
        <v>0</v>
      </c>
      <c r="H44" s="46">
        <f>SUM(H40:H43)</f>
        <v>-120</v>
      </c>
      <c r="I44" s="54">
        <f t="shared" si="35"/>
        <v>-2</v>
      </c>
      <c r="J44" s="46">
        <f>SUM(J40:J43)</f>
        <v>-224</v>
      </c>
      <c r="K44" s="54">
        <f t="shared" si="35"/>
        <v>-4</v>
      </c>
      <c r="L44" s="46">
        <f t="shared" si="35"/>
        <v>-231</v>
      </c>
      <c r="M44" s="54">
        <f t="shared" si="35"/>
        <v>-4</v>
      </c>
      <c r="N44" s="46">
        <f t="shared" si="35"/>
        <v>-204</v>
      </c>
      <c r="O44" s="54">
        <f t="shared" si="35"/>
        <v>0</v>
      </c>
      <c r="P44" s="46">
        <f t="shared" si="35"/>
        <v>-240</v>
      </c>
      <c r="Q44" s="54">
        <f t="shared" ref="Q44:AI44" si="36">SUM(Q40:Q43)</f>
        <v>-6</v>
      </c>
      <c r="R44" s="46">
        <f t="shared" si="36"/>
        <v>-274</v>
      </c>
      <c r="S44" s="54">
        <f t="shared" si="36"/>
        <v>0</v>
      </c>
      <c r="T44" s="46">
        <f t="shared" si="36"/>
        <v>-314</v>
      </c>
      <c r="U44" s="54">
        <f t="shared" si="36"/>
        <v>-8</v>
      </c>
      <c r="V44" s="46">
        <f t="shared" si="36"/>
        <v>-85</v>
      </c>
      <c r="W44" s="46">
        <f t="shared" si="36"/>
        <v>-327</v>
      </c>
      <c r="X44" s="54">
        <f t="shared" si="36"/>
        <v>-9</v>
      </c>
      <c r="Y44" s="109">
        <f t="shared" si="36"/>
        <v>-433</v>
      </c>
      <c r="Z44" s="46">
        <f t="shared" si="36"/>
        <v>-309</v>
      </c>
      <c r="AA44" s="54">
        <f t="shared" si="36"/>
        <v>-14</v>
      </c>
      <c r="AB44" s="46">
        <f t="shared" si="36"/>
        <v>-711</v>
      </c>
      <c r="AC44" s="46">
        <f t="shared" si="36"/>
        <v>-254</v>
      </c>
      <c r="AD44" s="54">
        <f t="shared" si="36"/>
        <v>-18</v>
      </c>
      <c r="AE44" s="46">
        <f t="shared" si="36"/>
        <v>-495</v>
      </c>
      <c r="AF44" s="46">
        <f t="shared" si="36"/>
        <v>-166</v>
      </c>
      <c r="AG44" s="54">
        <f t="shared" si="36"/>
        <v>-19</v>
      </c>
      <c r="AH44" s="46">
        <f t="shared" si="36"/>
        <v>-495</v>
      </c>
      <c r="AI44" s="46">
        <f t="shared" si="36"/>
        <v>-176</v>
      </c>
      <c r="AJ44" s="54">
        <f t="shared" ref="AJ44:AO44" si="37">SUM(AJ40:AJ43)</f>
        <v>-12</v>
      </c>
      <c r="AK44" s="46">
        <f t="shared" si="37"/>
        <v>-183</v>
      </c>
      <c r="AL44" s="61">
        <f t="shared" si="37"/>
        <v>-157</v>
      </c>
      <c r="AM44" s="54">
        <f t="shared" si="37"/>
        <v>0</v>
      </c>
      <c r="AN44" s="46">
        <f t="shared" si="37"/>
        <v>0</v>
      </c>
      <c r="AO44" s="61">
        <f t="shared" si="37"/>
        <v>-161</v>
      </c>
      <c r="AP44" s="54">
        <f t="shared" ref="AP44:AR44" si="38">SUM(AP40:AP43)</f>
        <v>0</v>
      </c>
      <c r="AQ44" s="46">
        <f t="shared" si="38"/>
        <v>0</v>
      </c>
      <c r="AR44" s="340">
        <f t="shared" si="38"/>
        <v>-177</v>
      </c>
      <c r="AS44" s="517">
        <f t="shared" ref="AS44:AU44" si="39">SUM(AS40:AS43)</f>
        <v>0</v>
      </c>
      <c r="AT44" s="518">
        <f t="shared" si="39"/>
        <v>0</v>
      </c>
      <c r="AU44" s="519">
        <f t="shared" si="39"/>
        <v>-167</v>
      </c>
    </row>
    <row r="45" spans="1:47">
      <c r="A45" s="22">
        <v>25</v>
      </c>
      <c r="B45" s="3" t="s">
        <v>26</v>
      </c>
      <c r="C45" s="24"/>
      <c r="D45" s="24"/>
      <c r="G45" s="54">
        <f t="shared" ref="G45:P45" si="40">G21+G27+G33+G35+G36+G37+G44</f>
        <v>0</v>
      </c>
      <c r="H45" s="46">
        <f>H21+H27+H33+H35+H36+H37+H44</f>
        <v>-60449</v>
      </c>
      <c r="I45" s="54">
        <f t="shared" si="40"/>
        <v>-996</v>
      </c>
      <c r="J45" s="46">
        <f>J21+J27+J33+J35+J36+J37+J44</f>
        <v>-112295</v>
      </c>
      <c r="K45" s="54">
        <f t="shared" si="40"/>
        <v>-1780</v>
      </c>
      <c r="L45" s="46">
        <f t="shared" si="40"/>
        <v>-115805</v>
      </c>
      <c r="M45" s="54">
        <f t="shared" si="40"/>
        <v>-2128</v>
      </c>
      <c r="N45" s="46">
        <f t="shared" si="40"/>
        <v>-101913</v>
      </c>
      <c r="O45" s="54">
        <f t="shared" si="40"/>
        <v>0</v>
      </c>
      <c r="P45" s="46">
        <f t="shared" si="40"/>
        <v>-120012</v>
      </c>
      <c r="Q45" s="54">
        <f t="shared" ref="Q45:AI45" si="41">Q21+Q27+Q33+Q35+Q36+Q37+Q44</f>
        <v>-2982</v>
      </c>
      <c r="R45" s="46">
        <f t="shared" si="41"/>
        <v>-165281</v>
      </c>
      <c r="S45" s="54">
        <f t="shared" si="41"/>
        <v>0</v>
      </c>
      <c r="T45" s="46">
        <f t="shared" si="41"/>
        <v>-157189</v>
      </c>
      <c r="U45" s="54">
        <f t="shared" si="41"/>
        <v>-4024</v>
      </c>
      <c r="V45" s="46">
        <f t="shared" si="41"/>
        <v>-89</v>
      </c>
      <c r="W45" s="46">
        <f t="shared" si="41"/>
        <v>-230338</v>
      </c>
      <c r="X45" s="54">
        <f t="shared" si="41"/>
        <v>-4597</v>
      </c>
      <c r="Y45" s="109">
        <f t="shared" si="41"/>
        <v>-453</v>
      </c>
      <c r="Z45" s="46">
        <f t="shared" si="41"/>
        <v>-307660</v>
      </c>
      <c r="AA45" s="54">
        <f t="shared" si="41"/>
        <v>-7111</v>
      </c>
      <c r="AB45" s="46">
        <f t="shared" si="41"/>
        <v>-744</v>
      </c>
      <c r="AC45" s="46">
        <f t="shared" si="41"/>
        <v>-210956</v>
      </c>
      <c r="AD45" s="54">
        <f t="shared" si="41"/>
        <v>-8832</v>
      </c>
      <c r="AE45" s="46">
        <f t="shared" si="41"/>
        <v>-518</v>
      </c>
      <c r="AF45" s="46">
        <f t="shared" si="41"/>
        <v>-198068</v>
      </c>
      <c r="AG45" s="54">
        <f t="shared" si="41"/>
        <v>-9394</v>
      </c>
      <c r="AH45" s="46">
        <f t="shared" si="41"/>
        <v>-518</v>
      </c>
      <c r="AI45" s="46">
        <f t="shared" si="41"/>
        <v>-186978</v>
      </c>
      <c r="AJ45" s="54">
        <f t="shared" ref="AJ45:AO45" si="42">AJ21+AJ27+AJ33+AJ35+AJ36+AJ37+AJ44</f>
        <v>-6235</v>
      </c>
      <c r="AK45" s="46">
        <f t="shared" si="42"/>
        <v>-191</v>
      </c>
      <c r="AL45" s="61">
        <f t="shared" si="42"/>
        <v>-146316</v>
      </c>
      <c r="AM45" s="54">
        <f t="shared" si="42"/>
        <v>0</v>
      </c>
      <c r="AN45" s="46">
        <f t="shared" si="42"/>
        <v>0</v>
      </c>
      <c r="AO45" s="61">
        <f t="shared" si="42"/>
        <v>-80588</v>
      </c>
      <c r="AP45" s="54">
        <f t="shared" ref="AP45:AR45" si="43">AP21+AP27+AP33+AP35+AP36+AP37+AP44</f>
        <v>0</v>
      </c>
      <c r="AQ45" s="46">
        <f t="shared" si="43"/>
        <v>0</v>
      </c>
      <c r="AR45" s="340">
        <f t="shared" si="43"/>
        <v>-88339</v>
      </c>
      <c r="AS45" s="517">
        <f t="shared" ref="AS45:AU45" si="44">AS21+AS27+AS33+AS35+AS36+AS37+AS44</f>
        <v>0</v>
      </c>
      <c r="AT45" s="518">
        <f t="shared" si="44"/>
        <v>0</v>
      </c>
      <c r="AU45" s="519">
        <f t="shared" si="44"/>
        <v>-83561</v>
      </c>
    </row>
    <row r="46" spans="1:47">
      <c r="C46" s="24"/>
      <c r="D46" s="24"/>
      <c r="G46" s="52"/>
      <c r="H46" s="108"/>
      <c r="I46" s="52"/>
      <c r="J46" s="108"/>
      <c r="K46" s="52"/>
      <c r="L46" s="108"/>
      <c r="M46" s="52"/>
      <c r="N46" s="108"/>
      <c r="O46" s="52"/>
      <c r="P46" s="108"/>
      <c r="Q46" s="52"/>
      <c r="R46" s="108"/>
      <c r="S46" s="52"/>
      <c r="T46" s="108"/>
      <c r="U46" s="52"/>
      <c r="V46" s="108"/>
      <c r="W46" s="108"/>
      <c r="X46" s="52"/>
      <c r="Y46" s="109"/>
      <c r="Z46" s="108"/>
      <c r="AA46" s="52"/>
      <c r="AB46" s="44"/>
      <c r="AC46" s="108"/>
      <c r="AD46" s="52"/>
      <c r="AE46" s="44"/>
      <c r="AF46" s="108"/>
      <c r="AG46" s="52"/>
      <c r="AH46" s="44"/>
      <c r="AI46" s="108"/>
      <c r="AJ46" s="52"/>
      <c r="AK46" s="108"/>
      <c r="AL46" s="59"/>
      <c r="AM46" s="52"/>
      <c r="AN46" s="108"/>
      <c r="AO46" s="59"/>
      <c r="AP46" s="52"/>
      <c r="AQ46" s="108"/>
      <c r="AR46" s="303"/>
      <c r="AS46" s="511"/>
      <c r="AT46" s="391"/>
      <c r="AU46" s="512"/>
    </row>
    <row r="47" spans="1:47">
      <c r="A47" s="22">
        <v>26</v>
      </c>
      <c r="B47" s="3" t="s">
        <v>27</v>
      </c>
      <c r="C47" s="24"/>
      <c r="D47" s="24"/>
      <c r="G47" s="52">
        <f>G14-G45</f>
        <v>0</v>
      </c>
      <c r="H47" s="108">
        <f>H14-H45</f>
        <v>0</v>
      </c>
      <c r="I47" s="52">
        <f t="shared" ref="I47:P47" si="45">I14-I45</f>
        <v>0</v>
      </c>
      <c r="J47" s="108">
        <f t="shared" si="45"/>
        <v>0</v>
      </c>
      <c r="K47" s="52">
        <f t="shared" si="45"/>
        <v>0</v>
      </c>
      <c r="L47" s="108">
        <f t="shared" si="45"/>
        <v>0</v>
      </c>
      <c r="M47" s="52">
        <f t="shared" si="45"/>
        <v>0</v>
      </c>
      <c r="N47" s="108">
        <f t="shared" si="45"/>
        <v>0</v>
      </c>
      <c r="O47" s="52">
        <f t="shared" si="45"/>
        <v>0</v>
      </c>
      <c r="P47" s="108">
        <f t="shared" si="45"/>
        <v>0</v>
      </c>
      <c r="Q47" s="52">
        <f t="shared" ref="Q47:AI47" si="46">Q14-Q45</f>
        <v>0</v>
      </c>
      <c r="R47" s="108">
        <f t="shared" si="46"/>
        <v>0</v>
      </c>
      <c r="S47" s="52">
        <f t="shared" si="46"/>
        <v>0</v>
      </c>
      <c r="T47" s="108">
        <f t="shared" si="46"/>
        <v>0</v>
      </c>
      <c r="U47" s="52">
        <f t="shared" si="46"/>
        <v>0</v>
      </c>
      <c r="V47" s="108">
        <f t="shared" si="46"/>
        <v>0</v>
      </c>
      <c r="W47" s="108">
        <f t="shared" si="46"/>
        <v>0</v>
      </c>
      <c r="X47" s="52">
        <f t="shared" si="46"/>
        <v>0</v>
      </c>
      <c r="Y47" s="108">
        <f t="shared" si="46"/>
        <v>0</v>
      </c>
      <c r="Z47" s="108">
        <f t="shared" si="46"/>
        <v>0</v>
      </c>
      <c r="AA47" s="52">
        <f t="shared" si="46"/>
        <v>0</v>
      </c>
      <c r="AB47" s="44">
        <f t="shared" si="46"/>
        <v>0</v>
      </c>
      <c r="AC47" s="108">
        <f t="shared" si="46"/>
        <v>0</v>
      </c>
      <c r="AD47" s="52">
        <f t="shared" si="46"/>
        <v>0</v>
      </c>
      <c r="AE47" s="44">
        <f t="shared" si="46"/>
        <v>0</v>
      </c>
      <c r="AF47" s="108">
        <f t="shared" si="46"/>
        <v>0</v>
      </c>
      <c r="AG47" s="52">
        <f t="shared" si="46"/>
        <v>0</v>
      </c>
      <c r="AH47" s="44">
        <f t="shared" si="46"/>
        <v>0</v>
      </c>
      <c r="AI47" s="108">
        <f t="shared" si="46"/>
        <v>0</v>
      </c>
      <c r="AJ47" s="52">
        <f t="shared" ref="AJ47:AO47" si="47">AJ14-AJ45</f>
        <v>0</v>
      </c>
      <c r="AK47" s="108">
        <f t="shared" si="47"/>
        <v>0</v>
      </c>
      <c r="AL47" s="59">
        <f t="shared" si="47"/>
        <v>0</v>
      </c>
      <c r="AM47" s="52">
        <f t="shared" si="47"/>
        <v>0</v>
      </c>
      <c r="AN47" s="108">
        <f t="shared" si="47"/>
        <v>0</v>
      </c>
      <c r="AO47" s="59">
        <f t="shared" si="47"/>
        <v>0</v>
      </c>
      <c r="AP47" s="52">
        <f t="shared" ref="AP47:AR47" si="48">AP14-AP45</f>
        <v>0</v>
      </c>
      <c r="AQ47" s="108">
        <f t="shared" si="48"/>
        <v>0</v>
      </c>
      <c r="AR47" s="303">
        <f t="shared" si="48"/>
        <v>0</v>
      </c>
      <c r="AS47" s="511">
        <f t="shared" ref="AS47:AU47" si="49">AS14-AS45</f>
        <v>0</v>
      </c>
      <c r="AT47" s="391">
        <f t="shared" si="49"/>
        <v>0</v>
      </c>
      <c r="AU47" s="512">
        <f t="shared" si="49"/>
        <v>0</v>
      </c>
    </row>
    <row r="48" spans="1:47">
      <c r="C48" s="24"/>
      <c r="D48" s="24"/>
      <c r="G48" s="52"/>
      <c r="H48" s="108"/>
      <c r="I48" s="52"/>
      <c r="J48" s="108"/>
      <c r="K48" s="52"/>
      <c r="L48" s="108"/>
      <c r="M48" s="52"/>
      <c r="N48" s="108"/>
      <c r="O48" s="52"/>
      <c r="P48" s="108"/>
      <c r="Q48" s="52"/>
      <c r="R48" s="108"/>
      <c r="S48" s="52"/>
      <c r="T48" s="108"/>
      <c r="U48" s="52"/>
      <c r="V48" s="108"/>
      <c r="W48" s="108"/>
      <c r="X48" s="52"/>
      <c r="Y48" s="108"/>
      <c r="Z48" s="108"/>
      <c r="AA48" s="52"/>
      <c r="AB48" s="44"/>
      <c r="AC48" s="108"/>
      <c r="AD48" s="52"/>
      <c r="AE48" s="44"/>
      <c r="AF48" s="108"/>
      <c r="AG48" s="52"/>
      <c r="AH48" s="44"/>
      <c r="AI48" s="108"/>
      <c r="AJ48" s="52"/>
      <c r="AK48" s="108"/>
      <c r="AL48" s="59"/>
      <c r="AM48" s="52"/>
      <c r="AN48" s="108"/>
      <c r="AO48" s="59"/>
      <c r="AP48" s="52"/>
      <c r="AQ48" s="108"/>
      <c r="AR48" s="303"/>
      <c r="AS48" s="511"/>
      <c r="AT48" s="391"/>
      <c r="AU48" s="512"/>
    </row>
    <row r="49" spans="1:47">
      <c r="B49" s="3" t="s">
        <v>28</v>
      </c>
      <c r="C49" s="24"/>
      <c r="D49" s="24"/>
      <c r="G49" s="52"/>
      <c r="H49" s="108"/>
      <c r="I49" s="52"/>
      <c r="J49" s="108"/>
      <c r="K49" s="52"/>
      <c r="L49" s="108"/>
      <c r="M49" s="52"/>
      <c r="N49" s="108"/>
      <c r="O49" s="52"/>
      <c r="P49" s="108"/>
      <c r="Q49" s="52"/>
      <c r="R49" s="108"/>
      <c r="S49" s="52"/>
      <c r="T49" s="108"/>
      <c r="U49" s="52"/>
      <c r="V49" s="108"/>
      <c r="W49" s="108"/>
      <c r="X49" s="52"/>
      <c r="Y49" s="108"/>
      <c r="Z49" s="108"/>
      <c r="AA49" s="52"/>
      <c r="AB49" s="44"/>
      <c r="AC49" s="108"/>
      <c r="AD49" s="52"/>
      <c r="AE49" s="44"/>
      <c r="AF49" s="108"/>
      <c r="AG49" s="52"/>
      <c r="AH49" s="44"/>
      <c r="AI49" s="108"/>
      <c r="AJ49" s="52"/>
      <c r="AK49" s="108"/>
      <c r="AL49" s="59"/>
      <c r="AM49" s="52"/>
      <c r="AN49" s="108"/>
      <c r="AO49" s="59"/>
      <c r="AP49" s="52"/>
      <c r="AQ49" s="108"/>
      <c r="AR49" s="303"/>
      <c r="AS49" s="511"/>
      <c r="AT49" s="391"/>
      <c r="AU49" s="512"/>
    </row>
    <row r="50" spans="1:47">
      <c r="A50" s="22">
        <v>27</v>
      </c>
      <c r="B50" s="24" t="s">
        <v>29</v>
      </c>
      <c r="D50" s="24"/>
      <c r="G50" s="52"/>
      <c r="H50" s="108"/>
      <c r="I50" s="52"/>
      <c r="J50" s="108"/>
      <c r="K50" s="52"/>
      <c r="L50" s="108"/>
      <c r="M50" s="52"/>
      <c r="N50" s="108"/>
      <c r="O50" s="52"/>
      <c r="P50" s="108"/>
      <c r="Q50" s="52"/>
      <c r="R50" s="108"/>
      <c r="S50" s="52"/>
      <c r="T50" s="108"/>
      <c r="U50" s="52"/>
      <c r="V50" s="108"/>
      <c r="W50" s="108"/>
      <c r="X50" s="52"/>
      <c r="Y50" s="108"/>
      <c r="Z50" s="108"/>
      <c r="AA50" s="52"/>
      <c r="AB50" s="44"/>
      <c r="AC50" s="108"/>
      <c r="AD50" s="52"/>
      <c r="AE50" s="44"/>
      <c r="AF50" s="108"/>
      <c r="AG50" s="52"/>
      <c r="AH50" s="44"/>
      <c r="AI50" s="108"/>
      <c r="AJ50" s="52"/>
      <c r="AK50" s="108"/>
      <c r="AL50" s="59"/>
      <c r="AM50" s="52"/>
      <c r="AN50" s="108"/>
      <c r="AO50" s="59"/>
      <c r="AP50" s="52"/>
      <c r="AQ50" s="108"/>
      <c r="AR50" s="303"/>
      <c r="AS50" s="511"/>
      <c r="AT50" s="391"/>
      <c r="AU50" s="512"/>
    </row>
    <row r="51" spans="1:47">
      <c r="A51" s="22">
        <v>28</v>
      </c>
      <c r="B51" s="24" t="s">
        <v>46</v>
      </c>
      <c r="D51" s="24"/>
      <c r="G51" s="52"/>
      <c r="H51" s="108"/>
      <c r="I51" s="52"/>
      <c r="J51" s="108"/>
      <c r="K51" s="52"/>
      <c r="L51" s="108"/>
      <c r="M51" s="52"/>
      <c r="N51" s="108"/>
      <c r="O51" s="52"/>
      <c r="P51" s="108"/>
      <c r="Q51" s="52"/>
      <c r="R51" s="108"/>
      <c r="S51" s="52"/>
      <c r="T51" s="108"/>
      <c r="U51" s="52"/>
      <c r="V51" s="108"/>
      <c r="W51" s="108"/>
      <c r="X51" s="52"/>
      <c r="Y51" s="108"/>
      <c r="Z51" s="108"/>
      <c r="AA51" s="52"/>
      <c r="AB51" s="44"/>
      <c r="AC51" s="108"/>
      <c r="AD51" s="52"/>
      <c r="AE51" s="44"/>
      <c r="AF51" s="108"/>
      <c r="AG51" s="52"/>
      <c r="AH51" s="44"/>
      <c r="AI51" s="108"/>
      <c r="AJ51" s="52"/>
      <c r="AK51" s="108"/>
      <c r="AL51" s="59"/>
      <c r="AM51" s="52"/>
      <c r="AN51" s="108"/>
      <c r="AO51" s="59"/>
      <c r="AP51" s="52"/>
      <c r="AQ51" s="108"/>
      <c r="AR51" s="303"/>
      <c r="AS51" s="511"/>
      <c r="AT51" s="391"/>
      <c r="AU51" s="512"/>
    </row>
    <row r="52" spans="1:47">
      <c r="A52" s="22">
        <v>29</v>
      </c>
      <c r="B52" s="24" t="s">
        <v>30</v>
      </c>
      <c r="D52" s="24"/>
      <c r="G52" s="52"/>
      <c r="H52" s="108"/>
      <c r="I52" s="52"/>
      <c r="J52" s="108"/>
      <c r="K52" s="52"/>
      <c r="L52" s="108"/>
      <c r="M52" s="52"/>
      <c r="N52" s="108"/>
      <c r="O52" s="52"/>
      <c r="P52" s="108"/>
      <c r="Q52" s="52"/>
      <c r="R52" s="108"/>
      <c r="S52" s="52"/>
      <c r="T52" s="108"/>
      <c r="U52" s="52"/>
      <c r="V52" s="108"/>
      <c r="W52" s="108"/>
      <c r="X52" s="52"/>
      <c r="Y52" s="108"/>
      <c r="Z52" s="108"/>
      <c r="AA52" s="52"/>
      <c r="AB52" s="44"/>
      <c r="AC52" s="108"/>
      <c r="AD52" s="52"/>
      <c r="AE52" s="44"/>
      <c r="AF52" s="108"/>
      <c r="AG52" s="52"/>
      <c r="AH52" s="44"/>
      <c r="AI52" s="108"/>
      <c r="AJ52" s="52"/>
      <c r="AK52" s="108"/>
      <c r="AL52" s="59"/>
      <c r="AM52" s="52"/>
      <c r="AN52" s="108"/>
      <c r="AO52" s="59"/>
      <c r="AP52" s="52"/>
      <c r="AQ52" s="108"/>
      <c r="AR52" s="303"/>
      <c r="AS52" s="511"/>
      <c r="AT52" s="391"/>
      <c r="AU52" s="512"/>
    </row>
    <row r="53" spans="1:47">
      <c r="A53" s="22">
        <v>30</v>
      </c>
      <c r="B53" s="24" t="s">
        <v>31</v>
      </c>
      <c r="D53" s="24"/>
      <c r="G53" s="53"/>
      <c r="H53" s="45"/>
      <c r="I53" s="53"/>
      <c r="J53" s="45"/>
      <c r="K53" s="53"/>
      <c r="L53" s="45"/>
      <c r="M53" s="53"/>
      <c r="N53" s="45"/>
      <c r="O53" s="53"/>
      <c r="P53" s="45"/>
      <c r="Q53" s="53"/>
      <c r="R53" s="45"/>
      <c r="S53" s="53"/>
      <c r="T53" s="45"/>
      <c r="U53" s="53"/>
      <c r="V53" s="45"/>
      <c r="W53" s="45"/>
      <c r="X53" s="53"/>
      <c r="Y53" s="108"/>
      <c r="Z53" s="45"/>
      <c r="AA53" s="53"/>
      <c r="AB53" s="45"/>
      <c r="AC53" s="45"/>
      <c r="AD53" s="53"/>
      <c r="AE53" s="45"/>
      <c r="AF53" s="45"/>
      <c r="AG53" s="53"/>
      <c r="AH53" s="45"/>
      <c r="AI53" s="45"/>
      <c r="AJ53" s="53"/>
      <c r="AK53" s="45"/>
      <c r="AL53" s="60"/>
      <c r="AM53" s="53"/>
      <c r="AN53" s="45"/>
      <c r="AO53" s="60"/>
      <c r="AP53" s="53"/>
      <c r="AQ53" s="45"/>
      <c r="AR53" s="302"/>
      <c r="AS53" s="513"/>
      <c r="AT53" s="514"/>
      <c r="AU53" s="515"/>
    </row>
    <row r="54" spans="1:47">
      <c r="G54" s="52"/>
      <c r="H54" s="108"/>
      <c r="I54" s="52"/>
      <c r="J54" s="108"/>
      <c r="K54" s="52"/>
      <c r="L54" s="108"/>
      <c r="M54" s="52"/>
      <c r="N54" s="108"/>
      <c r="O54" s="52"/>
      <c r="P54" s="108"/>
      <c r="Q54" s="52"/>
      <c r="R54" s="108"/>
      <c r="S54" s="52"/>
      <c r="T54" s="108"/>
      <c r="U54" s="52"/>
      <c r="V54" s="108"/>
      <c r="W54" s="108"/>
      <c r="X54" s="52"/>
      <c r="Y54" s="109"/>
      <c r="Z54" s="108"/>
      <c r="AA54" s="52"/>
      <c r="AB54" s="44"/>
      <c r="AC54" s="108"/>
      <c r="AD54" s="52"/>
      <c r="AE54" s="44"/>
      <c r="AF54" s="108"/>
      <c r="AG54" s="52"/>
      <c r="AH54" s="44"/>
      <c r="AI54" s="108"/>
      <c r="AJ54" s="52"/>
      <c r="AK54" s="108"/>
      <c r="AL54" s="59"/>
      <c r="AM54" s="52"/>
      <c r="AN54" s="108"/>
      <c r="AO54" s="59"/>
      <c r="AP54" s="52"/>
      <c r="AQ54" s="108"/>
      <c r="AR54" s="303"/>
      <c r="AS54" s="511"/>
      <c r="AT54" s="391"/>
      <c r="AU54" s="512"/>
    </row>
    <row r="55" spans="1:47">
      <c r="A55" s="22">
        <v>31</v>
      </c>
      <c r="B55" s="23" t="s">
        <v>32</v>
      </c>
      <c r="C55" s="23"/>
      <c r="D55" s="23"/>
      <c r="G55" s="52">
        <f>G47-G50-G51-G52-G53</f>
        <v>0</v>
      </c>
      <c r="H55" s="108">
        <f>H47-H50-H51-H52-H53</f>
        <v>0</v>
      </c>
      <c r="I55" s="52">
        <f t="shared" ref="I55:P55" si="50">I47-I50-I51-I52-I53</f>
        <v>0</v>
      </c>
      <c r="J55" s="108">
        <f t="shared" si="50"/>
        <v>0</v>
      </c>
      <c r="K55" s="52">
        <f t="shared" si="50"/>
        <v>0</v>
      </c>
      <c r="L55" s="108">
        <f t="shared" si="50"/>
        <v>0</v>
      </c>
      <c r="M55" s="52">
        <f t="shared" si="50"/>
        <v>0</v>
      </c>
      <c r="N55" s="108">
        <f t="shared" si="50"/>
        <v>0</v>
      </c>
      <c r="O55" s="52">
        <f t="shared" si="50"/>
        <v>0</v>
      </c>
      <c r="P55" s="108">
        <f t="shared" si="50"/>
        <v>0</v>
      </c>
      <c r="Q55" s="52">
        <f t="shared" ref="Q55:AI55" si="51">Q47-Q50-Q51-Q52-Q53</f>
        <v>0</v>
      </c>
      <c r="R55" s="108">
        <f t="shared" si="51"/>
        <v>0</v>
      </c>
      <c r="S55" s="52">
        <f t="shared" si="51"/>
        <v>0</v>
      </c>
      <c r="T55" s="108">
        <f t="shared" si="51"/>
        <v>0</v>
      </c>
      <c r="U55" s="52">
        <f t="shared" si="51"/>
        <v>0</v>
      </c>
      <c r="V55" s="108">
        <f t="shared" si="51"/>
        <v>0</v>
      </c>
      <c r="W55" s="108">
        <f t="shared" si="51"/>
        <v>0</v>
      </c>
      <c r="X55" s="52">
        <f t="shared" si="51"/>
        <v>0</v>
      </c>
      <c r="Y55" s="108">
        <f t="shared" si="51"/>
        <v>0</v>
      </c>
      <c r="Z55" s="108">
        <f t="shared" si="51"/>
        <v>0</v>
      </c>
      <c r="AA55" s="52">
        <f t="shared" si="51"/>
        <v>0</v>
      </c>
      <c r="AB55" s="44">
        <f t="shared" si="51"/>
        <v>0</v>
      </c>
      <c r="AC55" s="108">
        <f t="shared" si="51"/>
        <v>0</v>
      </c>
      <c r="AD55" s="52">
        <f t="shared" si="51"/>
        <v>0</v>
      </c>
      <c r="AE55" s="44">
        <f t="shared" si="51"/>
        <v>0</v>
      </c>
      <c r="AF55" s="108">
        <f t="shared" si="51"/>
        <v>0</v>
      </c>
      <c r="AG55" s="52">
        <f t="shared" si="51"/>
        <v>0</v>
      </c>
      <c r="AH55" s="44">
        <f t="shared" si="51"/>
        <v>0</v>
      </c>
      <c r="AI55" s="108">
        <f t="shared" si="51"/>
        <v>0</v>
      </c>
      <c r="AJ55" s="52">
        <f t="shared" ref="AJ55:AO55" si="52">AJ47-AJ50-AJ51-AJ52-AJ53</f>
        <v>0</v>
      </c>
      <c r="AK55" s="108">
        <f t="shared" si="52"/>
        <v>0</v>
      </c>
      <c r="AL55" s="59">
        <f t="shared" si="52"/>
        <v>0</v>
      </c>
      <c r="AM55" s="52">
        <f t="shared" si="52"/>
        <v>0</v>
      </c>
      <c r="AN55" s="108">
        <f t="shared" si="52"/>
        <v>0</v>
      </c>
      <c r="AO55" s="59">
        <f t="shared" si="52"/>
        <v>0</v>
      </c>
      <c r="AP55" s="52">
        <f t="shared" ref="AP55:AR55" si="53">AP47-AP50-AP51-AP52-AP53</f>
        <v>0</v>
      </c>
      <c r="AQ55" s="108">
        <f t="shared" si="53"/>
        <v>0</v>
      </c>
      <c r="AR55" s="303">
        <f t="shared" si="53"/>
        <v>0</v>
      </c>
      <c r="AS55" s="511">
        <f t="shared" ref="AS55:AU55" si="54">AS47-AS50-AS51-AS52-AS53</f>
        <v>0</v>
      </c>
      <c r="AT55" s="391">
        <f t="shared" si="54"/>
        <v>0</v>
      </c>
      <c r="AU55" s="512">
        <f t="shared" si="54"/>
        <v>0</v>
      </c>
    </row>
    <row r="56" spans="1:47">
      <c r="G56" s="47"/>
      <c r="H56" s="104"/>
      <c r="I56" s="47"/>
      <c r="J56" s="104"/>
      <c r="K56" s="47"/>
      <c r="L56" s="104"/>
      <c r="M56" s="47"/>
      <c r="N56" s="104"/>
      <c r="O56" s="47"/>
      <c r="P56" s="104"/>
      <c r="Q56" s="47"/>
      <c r="R56" s="104"/>
      <c r="S56" s="47"/>
      <c r="T56" s="104"/>
      <c r="U56" s="47"/>
      <c r="V56" s="104"/>
      <c r="W56" s="104"/>
      <c r="X56" s="47"/>
      <c r="Y56" s="104"/>
      <c r="Z56" s="104"/>
      <c r="AA56" s="47"/>
      <c r="AC56" s="104"/>
      <c r="AD56" s="47"/>
      <c r="AF56" s="104"/>
      <c r="AG56" s="47"/>
      <c r="AI56" s="104"/>
      <c r="AJ56" s="47"/>
      <c r="AK56" s="104"/>
      <c r="AL56" s="104"/>
      <c r="AM56" s="47"/>
      <c r="AN56" s="104"/>
      <c r="AO56" s="104"/>
      <c r="AP56" s="47"/>
      <c r="AQ56" s="104"/>
      <c r="AR56" s="137"/>
      <c r="AS56" s="500"/>
      <c r="AT56" s="501"/>
      <c r="AU56" s="501"/>
    </row>
    <row r="57" spans="1:47">
      <c r="B57" s="28" t="s">
        <v>377</v>
      </c>
      <c r="C57" s="28"/>
      <c r="D57" s="28"/>
      <c r="K57" s="104"/>
      <c r="S57" s="104"/>
      <c r="AS57" s="388"/>
      <c r="AT57" s="388"/>
      <c r="AU57" s="388"/>
    </row>
    <row r="58" spans="1:47">
      <c r="B58" s="3" t="s">
        <v>70</v>
      </c>
      <c r="C58" s="3" t="s">
        <v>71</v>
      </c>
      <c r="K58" s="104"/>
      <c r="S58" s="104"/>
      <c r="AS58" s="388"/>
      <c r="AT58" s="388"/>
      <c r="AU58" s="388"/>
    </row>
    <row r="59" spans="1:47">
      <c r="B59" s="3" t="s">
        <v>375</v>
      </c>
      <c r="D59" s="3" t="s">
        <v>376</v>
      </c>
      <c r="K59" s="104"/>
      <c r="S59" s="104"/>
      <c r="AS59" s="388"/>
      <c r="AT59" s="388"/>
      <c r="AU59" s="388"/>
    </row>
    <row r="60" spans="1:47" ht="6" customHeight="1">
      <c r="K60" s="104"/>
      <c r="S60" s="104"/>
      <c r="AS60" s="388"/>
      <c r="AT60" s="388"/>
      <c r="AU60" s="388"/>
    </row>
    <row r="61" spans="1:47">
      <c r="D61" s="3" t="s">
        <v>153</v>
      </c>
      <c r="G61" s="93"/>
      <c r="H61" s="93">
        <v>242</v>
      </c>
      <c r="I61" s="93"/>
      <c r="J61" s="93">
        <v>244</v>
      </c>
      <c r="K61" s="93"/>
      <c r="L61" s="93">
        <v>144</v>
      </c>
      <c r="M61" s="93"/>
      <c r="N61" s="93">
        <v>0</v>
      </c>
      <c r="O61" s="93"/>
      <c r="P61" s="93">
        <v>0</v>
      </c>
      <c r="Q61" s="93"/>
      <c r="R61" s="93">
        <f>27855+479</f>
        <v>28334</v>
      </c>
      <c r="S61" s="93"/>
      <c r="T61" s="93">
        <f>36725+0</f>
        <v>36725</v>
      </c>
      <c r="U61" s="93"/>
      <c r="V61" s="93"/>
      <c r="W61" s="93">
        <f>66526+160</f>
        <v>66686</v>
      </c>
      <c r="X61" s="93"/>
      <c r="Y61" s="93"/>
      <c r="Z61" s="93">
        <f>149894+3124</f>
        <v>153018</v>
      </c>
      <c r="AA61" s="93"/>
      <c r="AB61" s="93"/>
      <c r="AC61" s="93">
        <f>78622+5370</f>
        <v>83992</v>
      </c>
      <c r="AD61" s="93"/>
      <c r="AE61" s="93"/>
      <c r="AF61" s="93">
        <f>109009+6184</f>
        <v>115193</v>
      </c>
      <c r="AG61" s="93"/>
      <c r="AH61" s="93"/>
      <c r="AI61" s="93">
        <f>94024+4770</f>
        <v>98794</v>
      </c>
      <c r="AJ61" s="93"/>
      <c r="AK61" s="93"/>
      <c r="AL61" s="93">
        <f>63689+4133</f>
        <v>67822</v>
      </c>
      <c r="AM61" s="93"/>
      <c r="AN61" s="93"/>
      <c r="AO61" s="93">
        <v>0</v>
      </c>
      <c r="AP61" s="93"/>
      <c r="AQ61" s="93"/>
      <c r="AR61" s="237">
        <v>0</v>
      </c>
      <c r="AS61" s="520"/>
      <c r="AT61" s="520"/>
      <c r="AU61" s="520">
        <v>0</v>
      </c>
    </row>
    <row r="62" spans="1:47">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237"/>
      <c r="AS62" s="520"/>
      <c r="AT62" s="520"/>
      <c r="AU62" s="520"/>
    </row>
    <row r="63" spans="1:47">
      <c r="D63" s="3" t="s">
        <v>154</v>
      </c>
      <c r="G63" s="93"/>
      <c r="H63" s="93">
        <f>125+38</f>
        <v>163</v>
      </c>
      <c r="I63" s="93"/>
      <c r="J63" s="93">
        <f>134+98</f>
        <v>232</v>
      </c>
      <c r="K63" s="93"/>
      <c r="L63" s="93">
        <f>131+128+2</f>
        <v>261</v>
      </c>
      <c r="M63" s="93"/>
      <c r="N63" s="93">
        <f>142+141+2</f>
        <v>285</v>
      </c>
      <c r="O63" s="93"/>
      <c r="P63" s="93">
        <f>148+181+48-8</f>
        <v>369</v>
      </c>
      <c r="Q63" s="93"/>
      <c r="R63" s="93">
        <f>643+8</f>
        <v>651</v>
      </c>
      <c r="S63" s="93"/>
      <c r="T63" s="93">
        <v>653</v>
      </c>
      <c r="U63" s="93"/>
      <c r="V63" s="93"/>
      <c r="W63" s="93">
        <v>792</v>
      </c>
      <c r="X63" s="93"/>
      <c r="Y63" s="93"/>
      <c r="Z63" s="93">
        <v>783</v>
      </c>
      <c r="AA63" s="93"/>
      <c r="AB63" s="93"/>
      <c r="AC63" s="93">
        <v>802</v>
      </c>
      <c r="AD63" s="93"/>
      <c r="AE63" s="93"/>
      <c r="AF63" s="93">
        <f>801-1</f>
        <v>800</v>
      </c>
      <c r="AG63" s="93"/>
      <c r="AH63" s="93"/>
      <c r="AI63" s="93">
        <f>903+78</f>
        <v>981</v>
      </c>
      <c r="AJ63" s="93"/>
      <c r="AK63" s="93"/>
      <c r="AL63" s="93">
        <f>857+71</f>
        <v>928</v>
      </c>
      <c r="AM63" s="93"/>
      <c r="AN63" s="93"/>
      <c r="AO63" s="93">
        <v>891</v>
      </c>
      <c r="AP63" s="93"/>
      <c r="AQ63" s="93"/>
      <c r="AR63" s="237">
        <v>779</v>
      </c>
      <c r="AS63" s="520"/>
      <c r="AT63" s="520"/>
      <c r="AU63" s="512">
        <f>'Cost Trends'!U20</f>
        <v>840</v>
      </c>
    </row>
    <row r="64" spans="1:47">
      <c r="K64" s="104"/>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237"/>
      <c r="AS64" s="520"/>
      <c r="AT64" s="520"/>
      <c r="AU64" s="520"/>
    </row>
    <row r="65" spans="4:47">
      <c r="D65" s="3" t="s">
        <v>155</v>
      </c>
      <c r="H65" s="114">
        <f>'Cost Trends'!F22+H21</f>
        <v>163</v>
      </c>
      <c r="J65" s="114">
        <f>'Cost Trends'!G22+J21</f>
        <v>232</v>
      </c>
      <c r="K65" s="104"/>
      <c r="L65" s="114">
        <f>'Cost Trends'!H22+L21</f>
        <v>261</v>
      </c>
      <c r="N65" s="114">
        <f>'Cost Trends'!I22+N21</f>
        <v>285</v>
      </c>
      <c r="P65" s="114">
        <f>'Cost Trends'!J22+P21</f>
        <v>369</v>
      </c>
      <c r="R65" s="114">
        <f>'Cost Trends'!K22+R21</f>
        <v>651</v>
      </c>
      <c r="T65" s="114">
        <f>'Cost Trends'!L22+T21</f>
        <v>653</v>
      </c>
      <c r="W65" s="114">
        <f>'Cost Trends'!M22+W21</f>
        <v>792</v>
      </c>
      <c r="Z65" s="114">
        <f>'Cost Trends'!N22+Z21</f>
        <v>783</v>
      </c>
      <c r="AC65" s="114">
        <f>'Cost Trends'!O22+AC21</f>
        <v>802</v>
      </c>
      <c r="AF65" s="114">
        <f>'Cost Trends'!P22+AF21</f>
        <v>800</v>
      </c>
      <c r="AI65" s="114">
        <f>'Cost Trends'!Q22+AI21</f>
        <v>981</v>
      </c>
      <c r="AL65" s="114">
        <f>'Cost Trends'!R22+AL21</f>
        <v>928</v>
      </c>
      <c r="AO65" s="114">
        <f>'Cost Trends'!S22+AO21</f>
        <v>891</v>
      </c>
      <c r="AR65" s="341">
        <f>'Cost Trends'!T22+AR21</f>
        <v>779</v>
      </c>
      <c r="AS65" s="388"/>
      <c r="AT65" s="388"/>
      <c r="AU65" s="521">
        <f>'Cost Trends'!U22+AU21</f>
        <v>840</v>
      </c>
    </row>
  </sheetData>
  <mergeCells count="4">
    <mergeCell ref="AJ6:AL6"/>
    <mergeCell ref="AM6:AO6"/>
    <mergeCell ref="AP6:AR6"/>
    <mergeCell ref="AS6:AU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T68"/>
  <sheetViews>
    <sheetView workbookViewId="0">
      <selection activeCell="T63" sqref="T63"/>
    </sheetView>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20"/>
    <col min="20" max="20" width="9.140625" style="120"/>
  </cols>
  <sheetData>
    <row r="1" spans="1:20">
      <c r="A1" s="90" t="s">
        <v>130</v>
      </c>
      <c r="B1" s="90"/>
      <c r="C1" s="90"/>
      <c r="D1" s="90"/>
      <c r="E1" s="90"/>
      <c r="F1" s="90"/>
      <c r="G1" s="90"/>
      <c r="H1" s="90"/>
      <c r="I1" s="90"/>
      <c r="J1" s="90"/>
      <c r="K1" s="90"/>
      <c r="L1" s="90"/>
      <c r="M1" s="90"/>
      <c r="N1" s="90"/>
      <c r="O1" s="90"/>
      <c r="P1" s="90"/>
      <c r="Q1" s="90"/>
    </row>
    <row r="2" spans="1:20">
      <c r="A2" s="90" t="s">
        <v>141</v>
      </c>
      <c r="B2" s="90"/>
      <c r="C2" s="90"/>
      <c r="D2" s="90"/>
      <c r="E2" s="90"/>
      <c r="F2" s="90"/>
      <c r="G2" s="90"/>
      <c r="H2" s="90"/>
      <c r="I2" s="90"/>
      <c r="J2" s="90"/>
      <c r="K2" s="90"/>
      <c r="L2" s="90"/>
      <c r="M2" s="90"/>
      <c r="N2" s="90"/>
      <c r="O2" s="90"/>
      <c r="P2" s="90"/>
      <c r="Q2" s="90"/>
    </row>
    <row r="3" spans="1:20">
      <c r="A3" s="90" t="s">
        <v>451</v>
      </c>
      <c r="B3" s="90"/>
      <c r="C3" s="90"/>
      <c r="D3" s="90"/>
      <c r="E3" s="90"/>
      <c r="F3" s="90"/>
      <c r="G3" s="90"/>
      <c r="H3" s="90"/>
      <c r="I3" s="90"/>
      <c r="J3" s="90"/>
      <c r="K3" s="90"/>
      <c r="L3" s="90"/>
      <c r="M3" s="90"/>
      <c r="N3" s="90"/>
      <c r="O3" s="90"/>
      <c r="P3" s="90"/>
      <c r="Q3" s="90"/>
    </row>
    <row r="4" spans="1:20">
      <c r="A4" s="90" t="s">
        <v>131</v>
      </c>
      <c r="B4" s="90"/>
      <c r="C4" s="90"/>
      <c r="D4" s="90"/>
      <c r="E4" s="90"/>
      <c r="F4" s="90"/>
      <c r="G4" s="90"/>
      <c r="H4" s="90"/>
      <c r="I4" s="90"/>
      <c r="J4" s="90"/>
      <c r="K4" s="90"/>
      <c r="L4" s="90"/>
      <c r="M4" s="90"/>
      <c r="N4" s="90"/>
      <c r="O4" s="90"/>
      <c r="P4" s="90"/>
      <c r="Q4" s="90"/>
    </row>
    <row r="5" spans="1:20">
      <c r="A5" s="90"/>
      <c r="B5" s="90"/>
      <c r="C5" s="90"/>
      <c r="D5" s="90"/>
      <c r="E5" s="90"/>
      <c r="F5" s="90"/>
      <c r="G5" s="90"/>
      <c r="H5" s="90"/>
      <c r="I5" s="90"/>
      <c r="J5" s="90"/>
      <c r="K5" s="90"/>
      <c r="L5" s="90"/>
      <c r="M5" s="90"/>
      <c r="N5" s="90"/>
      <c r="O5" s="90"/>
      <c r="P5" s="90"/>
      <c r="Q5" s="90"/>
      <c r="S5" s="360"/>
      <c r="T5" s="360"/>
    </row>
    <row r="6" spans="1:20">
      <c r="A6" s="90"/>
      <c r="B6" s="90"/>
      <c r="C6" s="90"/>
      <c r="D6" s="90"/>
      <c r="E6" s="91">
        <v>2000</v>
      </c>
      <c r="F6" s="91">
        <v>2001</v>
      </c>
      <c r="G6" s="91">
        <v>2002</v>
      </c>
      <c r="H6" s="91">
        <v>2003</v>
      </c>
      <c r="I6" s="91">
        <v>2004</v>
      </c>
      <c r="J6" s="91">
        <v>2005</v>
      </c>
      <c r="K6" s="91">
        <v>2006</v>
      </c>
      <c r="L6" s="91">
        <v>2007</v>
      </c>
      <c r="M6" s="91">
        <v>2008</v>
      </c>
      <c r="N6" s="91">
        <v>2009</v>
      </c>
      <c r="O6" s="91">
        <v>2010</v>
      </c>
      <c r="P6" s="91">
        <v>2011</v>
      </c>
      <c r="Q6" s="91">
        <v>2012</v>
      </c>
      <c r="R6" s="91">
        <v>2013</v>
      </c>
      <c r="S6" s="342">
        <v>2014</v>
      </c>
      <c r="T6" s="342">
        <v>9.2014999999999993</v>
      </c>
    </row>
    <row r="9" spans="1:20">
      <c r="A9" t="s">
        <v>142</v>
      </c>
    </row>
    <row r="10" spans="1:20">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33">
        <v>3868</v>
      </c>
      <c r="S10" s="233">
        <v>4389</v>
      </c>
      <c r="T10" s="233">
        <v>5649</v>
      </c>
    </row>
    <row r="11" spans="1:20">
      <c r="A11" s="22">
        <v>22</v>
      </c>
      <c r="B11" s="1" t="s">
        <v>52</v>
      </c>
      <c r="C11" s="1"/>
      <c r="D11" s="24"/>
      <c r="E11" s="32"/>
      <c r="F11" s="32"/>
      <c r="G11" s="32"/>
      <c r="H11" s="32"/>
      <c r="I11" s="32"/>
      <c r="J11" s="32"/>
      <c r="K11" s="32"/>
      <c r="L11" s="32"/>
      <c r="M11" s="32"/>
      <c r="N11" s="32"/>
      <c r="O11" s="32"/>
      <c r="P11" s="32">
        <v>-186</v>
      </c>
      <c r="Q11" s="32">
        <v>171</v>
      </c>
      <c r="R11" s="233">
        <v>91</v>
      </c>
      <c r="S11" s="233">
        <v>-91</v>
      </c>
      <c r="T11" s="524">
        <v>-2087</v>
      </c>
    </row>
    <row r="12" spans="1:20">
      <c r="A12" s="70"/>
    </row>
    <row r="13" spans="1:20">
      <c r="A13" s="70"/>
      <c r="B13" s="70"/>
      <c r="E13" s="92"/>
      <c r="F13" s="92"/>
      <c r="G13" s="92"/>
      <c r="H13" s="92"/>
      <c r="I13" s="92"/>
      <c r="J13" s="92"/>
      <c r="K13" s="92"/>
      <c r="L13" s="92"/>
      <c r="M13" s="92"/>
      <c r="N13" s="92"/>
      <c r="O13" s="92"/>
      <c r="P13" s="92"/>
      <c r="Q13" s="92"/>
    </row>
    <row r="14" spans="1:20">
      <c r="A14" s="70" t="s">
        <v>143</v>
      </c>
      <c r="B14" s="70"/>
      <c r="E14" s="92">
        <v>565</v>
      </c>
      <c r="F14" s="92">
        <v>632</v>
      </c>
      <c r="G14" s="92">
        <v>811</v>
      </c>
      <c r="H14" s="92">
        <v>907</v>
      </c>
      <c r="I14" s="92">
        <f>291+478</f>
        <v>769</v>
      </c>
      <c r="J14" s="92">
        <f>827-54</f>
        <v>773</v>
      </c>
      <c r="K14" s="92">
        <v>903</v>
      </c>
      <c r="L14" s="92">
        <v>1014</v>
      </c>
      <c r="M14" s="92">
        <v>1151</v>
      </c>
      <c r="N14" s="92">
        <v>1220</v>
      </c>
      <c r="O14" s="92">
        <v>1478</v>
      </c>
      <c r="P14" s="92">
        <v>1642</v>
      </c>
      <c r="Q14" s="92">
        <v>1954</v>
      </c>
      <c r="R14" s="93">
        <f>2332+61</f>
        <v>2393</v>
      </c>
      <c r="S14" s="343">
        <f>2496+90</f>
        <v>2586</v>
      </c>
      <c r="T14" s="343">
        <f>2876+111</f>
        <v>2987</v>
      </c>
    </row>
    <row r="15" spans="1:20">
      <c r="A15" s="70" t="s">
        <v>144</v>
      </c>
      <c r="E15" s="93">
        <f>358+3</f>
        <v>361</v>
      </c>
      <c r="F15" s="93">
        <f>269+3</f>
        <v>272</v>
      </c>
      <c r="G15" s="93">
        <f>355+2</f>
        <v>357</v>
      </c>
      <c r="H15" s="93">
        <f>351+3</f>
        <v>354</v>
      </c>
      <c r="I15" s="93">
        <f>236+6</f>
        <v>242</v>
      </c>
      <c r="J15" s="93">
        <f>419+4</f>
        <v>423</v>
      </c>
      <c r="K15" s="93">
        <f>373+5+1</f>
        <v>379</v>
      </c>
      <c r="L15" s="93">
        <f>478+5</f>
        <v>483</v>
      </c>
      <c r="M15" s="93">
        <f>646+5</f>
        <v>651</v>
      </c>
      <c r="N15" s="93">
        <f>773+5</f>
        <v>778</v>
      </c>
      <c r="O15" s="93">
        <f>16+778+139</f>
        <v>933</v>
      </c>
      <c r="P15" s="93">
        <f>24+1066</f>
        <v>1090</v>
      </c>
      <c r="Q15" s="93">
        <f>1292+26</f>
        <v>1318</v>
      </c>
      <c r="R15" s="93">
        <v>1471</v>
      </c>
      <c r="S15" s="237">
        <v>1799</v>
      </c>
      <c r="T15" s="392">
        <v>2658</v>
      </c>
    </row>
    <row r="16" spans="1:20">
      <c r="A16" s="70" t="s">
        <v>145</v>
      </c>
      <c r="E16" s="93">
        <v>101</v>
      </c>
      <c r="F16" s="93">
        <v>116</v>
      </c>
      <c r="G16" s="93">
        <v>107</v>
      </c>
      <c r="H16" s="93">
        <v>102</v>
      </c>
      <c r="I16" s="93">
        <f>146+23</f>
        <v>169</v>
      </c>
      <c r="J16" s="93">
        <f>139+8</f>
        <v>147</v>
      </c>
      <c r="K16" s="93"/>
      <c r="L16" s="93">
        <v>1</v>
      </c>
      <c r="M16" s="93">
        <v>1</v>
      </c>
      <c r="N16" s="93">
        <v>1</v>
      </c>
      <c r="O16" s="93">
        <v>1</v>
      </c>
      <c r="P16" s="93">
        <v>2</v>
      </c>
      <c r="Q16" s="93">
        <v>4</v>
      </c>
      <c r="R16" s="93">
        <v>4</v>
      </c>
      <c r="S16" s="237">
        <v>4</v>
      </c>
      <c r="T16" s="392">
        <v>4</v>
      </c>
    </row>
    <row r="17" spans="1:20">
      <c r="A17" s="70" t="s">
        <v>146</v>
      </c>
      <c r="E17" s="101">
        <f>SUM(E14:E16)</f>
        <v>1027</v>
      </c>
      <c r="F17" s="101">
        <f t="shared" ref="F17:Q17" si="0">SUM(F14:F16)</f>
        <v>1020</v>
      </c>
      <c r="G17" s="101">
        <f t="shared" si="0"/>
        <v>1275</v>
      </c>
      <c r="H17" s="101">
        <f t="shared" si="0"/>
        <v>1363</v>
      </c>
      <c r="I17" s="101">
        <f t="shared" si="0"/>
        <v>1180</v>
      </c>
      <c r="J17" s="101">
        <f t="shared" si="0"/>
        <v>1343</v>
      </c>
      <c r="K17" s="101">
        <f t="shared" si="0"/>
        <v>1282</v>
      </c>
      <c r="L17" s="101">
        <f t="shared" si="0"/>
        <v>1498</v>
      </c>
      <c r="M17" s="101">
        <f t="shared" si="0"/>
        <v>1803</v>
      </c>
      <c r="N17" s="101">
        <f t="shared" si="0"/>
        <v>1999</v>
      </c>
      <c r="O17" s="101">
        <f t="shared" si="0"/>
        <v>2412</v>
      </c>
      <c r="P17" s="101">
        <f t="shared" si="0"/>
        <v>2734</v>
      </c>
      <c r="Q17" s="101">
        <f t="shared" si="0"/>
        <v>3276</v>
      </c>
      <c r="R17" s="101">
        <f>SUM(R14:R16)</f>
        <v>3868</v>
      </c>
      <c r="S17" s="344">
        <f>SUM(S14:S16)</f>
        <v>4389</v>
      </c>
      <c r="T17" s="344">
        <f>SUM(T14:T16)</f>
        <v>5649</v>
      </c>
    </row>
    <row r="18" spans="1:20">
      <c r="A18" s="70"/>
      <c r="E18" s="94"/>
      <c r="F18" s="93"/>
      <c r="G18" s="93"/>
      <c r="H18" s="93"/>
      <c r="I18" s="93"/>
      <c r="J18" s="93"/>
      <c r="K18" s="93"/>
      <c r="L18" s="93"/>
      <c r="M18" s="93"/>
      <c r="N18" s="93"/>
      <c r="O18" s="93"/>
      <c r="P18" s="93"/>
      <c r="Q18" s="93"/>
      <c r="R18" s="93"/>
      <c r="S18" s="237"/>
      <c r="T18" s="237"/>
    </row>
    <row r="19" spans="1:20">
      <c r="A19" s="70" t="s">
        <v>151</v>
      </c>
      <c r="B19" s="70"/>
      <c r="E19" s="100"/>
      <c r="F19" s="100">
        <v>167</v>
      </c>
      <c r="G19" s="100">
        <v>185</v>
      </c>
      <c r="H19" s="100">
        <v>159</v>
      </c>
      <c r="I19" s="100">
        <v>169</v>
      </c>
      <c r="J19" s="100">
        <v>0</v>
      </c>
      <c r="K19" s="100"/>
      <c r="L19" s="100"/>
      <c r="M19" s="100"/>
      <c r="N19" s="100"/>
      <c r="O19" s="100"/>
      <c r="P19" s="100"/>
      <c r="Q19" s="100"/>
      <c r="R19" s="100"/>
      <c r="S19" s="345"/>
      <c r="T19" s="345"/>
    </row>
    <row r="20" spans="1:20">
      <c r="A20" s="70" t="s">
        <v>148</v>
      </c>
      <c r="B20" s="70"/>
      <c r="E20" s="100"/>
      <c r="F20" s="100"/>
      <c r="G20" s="100"/>
      <c r="H20" s="100"/>
      <c r="I20" s="100"/>
      <c r="J20" s="100"/>
      <c r="K20" s="100"/>
      <c r="L20" s="100"/>
      <c r="M20" s="100"/>
      <c r="N20" s="100"/>
      <c r="O20" s="100"/>
      <c r="P20" s="100">
        <v>-449</v>
      </c>
      <c r="Q20" s="100"/>
      <c r="R20" s="100"/>
      <c r="S20" s="345"/>
      <c r="T20" s="345"/>
    </row>
    <row r="21" spans="1:20">
      <c r="A21" s="70" t="s">
        <v>149</v>
      </c>
      <c r="E21" s="93"/>
      <c r="F21" s="93"/>
      <c r="G21" s="93"/>
      <c r="H21" s="93"/>
      <c r="I21" s="93"/>
      <c r="J21" s="93"/>
      <c r="K21" s="93"/>
      <c r="L21" s="93">
        <v>-900</v>
      </c>
      <c r="M21" s="93">
        <v>-674</v>
      </c>
      <c r="N21" s="93">
        <v>-270</v>
      </c>
      <c r="O21" s="93">
        <v>-278</v>
      </c>
      <c r="P21" s="93">
        <v>-231</v>
      </c>
      <c r="Q21" s="93">
        <v>-13</v>
      </c>
      <c r="R21" s="237">
        <v>91</v>
      </c>
      <c r="S21" s="237">
        <v>-91</v>
      </c>
      <c r="T21" s="237">
        <v>0</v>
      </c>
    </row>
    <row r="22" spans="1:20">
      <c r="A22" s="70" t="s">
        <v>150</v>
      </c>
      <c r="D22" s="70" t="s">
        <v>100</v>
      </c>
      <c r="L22">
        <v>85</v>
      </c>
      <c r="M22">
        <v>432</v>
      </c>
      <c r="N22">
        <v>710</v>
      </c>
      <c r="O22">
        <v>494</v>
      </c>
      <c r="P22">
        <v>494</v>
      </c>
      <c r="Q22">
        <v>184</v>
      </c>
      <c r="R22" s="120">
        <v>0</v>
      </c>
      <c r="S22" s="120">
        <v>0</v>
      </c>
      <c r="T22" s="120">
        <v>0</v>
      </c>
    </row>
    <row r="23" spans="1:20">
      <c r="A23" s="393" t="s">
        <v>533</v>
      </c>
      <c r="B23" s="388"/>
      <c r="C23" s="388"/>
      <c r="T23" s="520">
        <v>-2087</v>
      </c>
    </row>
    <row r="25" spans="1:20">
      <c r="A25" s="70" t="s">
        <v>250</v>
      </c>
      <c r="E25" s="102">
        <f t="shared" ref="E25:P25" si="1">SUM(E19:E24)</f>
        <v>0</v>
      </c>
      <c r="F25" s="102">
        <f t="shared" si="1"/>
        <v>167</v>
      </c>
      <c r="G25" s="102">
        <f t="shared" si="1"/>
        <v>185</v>
      </c>
      <c r="H25" s="102">
        <f t="shared" si="1"/>
        <v>159</v>
      </c>
      <c r="I25" s="102">
        <f t="shared" si="1"/>
        <v>169</v>
      </c>
      <c r="J25" s="102">
        <f t="shared" si="1"/>
        <v>0</v>
      </c>
      <c r="K25" s="102">
        <f t="shared" si="1"/>
        <v>0</v>
      </c>
      <c r="L25" s="102">
        <f t="shared" si="1"/>
        <v>-815</v>
      </c>
      <c r="M25" s="102">
        <f t="shared" si="1"/>
        <v>-242</v>
      </c>
      <c r="N25" s="102">
        <f t="shared" si="1"/>
        <v>440</v>
      </c>
      <c r="O25" s="102">
        <f t="shared" si="1"/>
        <v>216</v>
      </c>
      <c r="P25" s="102">
        <f t="shared" si="1"/>
        <v>-186</v>
      </c>
      <c r="Q25" s="102">
        <f>SUM(Q19:Q24)</f>
        <v>171</v>
      </c>
      <c r="R25" s="102">
        <f>SUM(R19:R24)</f>
        <v>91</v>
      </c>
      <c r="S25" s="346">
        <f>SUM(S19:S24)</f>
        <v>-91</v>
      </c>
      <c r="T25" s="346">
        <f>SUM(T19:T24)</f>
        <v>-2087</v>
      </c>
    </row>
    <row r="27" spans="1:20">
      <c r="B27" s="70" t="s">
        <v>132</v>
      </c>
      <c r="E27" s="92">
        <f>E17+E25</f>
        <v>1027</v>
      </c>
      <c r="F27" s="92">
        <f t="shared" ref="F27:Q27" si="2">F17+F25</f>
        <v>1187</v>
      </c>
      <c r="G27" s="92">
        <f t="shared" si="2"/>
        <v>1460</v>
      </c>
      <c r="H27" s="92">
        <f t="shared" si="2"/>
        <v>1522</v>
      </c>
      <c r="I27" s="92">
        <f t="shared" si="2"/>
        <v>1349</v>
      </c>
      <c r="J27" s="92">
        <f t="shared" si="2"/>
        <v>1343</v>
      </c>
      <c r="K27" s="92">
        <f t="shared" si="2"/>
        <v>1282</v>
      </c>
      <c r="L27" s="92">
        <f t="shared" si="2"/>
        <v>683</v>
      </c>
      <c r="M27" s="92">
        <f t="shared" si="2"/>
        <v>1561</v>
      </c>
      <c r="N27" s="92">
        <f t="shared" si="2"/>
        <v>2439</v>
      </c>
      <c r="O27" s="92">
        <f t="shared" si="2"/>
        <v>2628</v>
      </c>
      <c r="P27" s="92">
        <f t="shared" si="2"/>
        <v>2548</v>
      </c>
      <c r="Q27" s="92">
        <f t="shared" si="2"/>
        <v>3447</v>
      </c>
      <c r="R27" s="92">
        <f>R17+R25</f>
        <v>3959</v>
      </c>
      <c r="S27" s="343">
        <f>S17+S25</f>
        <v>4298</v>
      </c>
      <c r="T27" s="343">
        <f>T17+T25</f>
        <v>3562</v>
      </c>
    </row>
    <row r="28" spans="1:20">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20" t="str">
        <f>IF(S27=S10+S11,"","check")</f>
        <v/>
      </c>
      <c r="T28" s="120" t="str">
        <f>IF(T27=T10+T11,"","check")</f>
        <v/>
      </c>
    </row>
    <row r="29" spans="1:20">
      <c r="B29" t="s">
        <v>133</v>
      </c>
    </row>
    <row r="30" spans="1:20">
      <c r="E30" s="92">
        <f>E25-E22</f>
        <v>0</v>
      </c>
      <c r="F30" s="92">
        <f t="shared" ref="F30:Q30" si="4">F25-F22</f>
        <v>167</v>
      </c>
      <c r="G30" s="92">
        <f t="shared" si="4"/>
        <v>185</v>
      </c>
      <c r="H30" s="92">
        <f t="shared" si="4"/>
        <v>159</v>
      </c>
      <c r="I30" s="92">
        <f t="shared" si="4"/>
        <v>169</v>
      </c>
      <c r="J30" s="92">
        <f t="shared" si="4"/>
        <v>0</v>
      </c>
      <c r="K30" s="92">
        <f t="shared" si="4"/>
        <v>0</v>
      </c>
      <c r="L30" s="92">
        <f t="shared" si="4"/>
        <v>-900</v>
      </c>
      <c r="M30" s="92">
        <f t="shared" si="4"/>
        <v>-674</v>
      </c>
      <c r="N30" s="92">
        <f t="shared" si="4"/>
        <v>-270</v>
      </c>
      <c r="O30" s="92">
        <f t="shared" si="4"/>
        <v>-278</v>
      </c>
      <c r="P30" s="92">
        <f t="shared" si="4"/>
        <v>-680</v>
      </c>
      <c r="Q30" s="92">
        <f t="shared" si="4"/>
        <v>-13</v>
      </c>
      <c r="R30" s="92">
        <f>R25-R22</f>
        <v>91</v>
      </c>
      <c r="S30" s="343">
        <f>S25-S22</f>
        <v>-91</v>
      </c>
      <c r="T30" s="343">
        <f>T25-T22</f>
        <v>-2087</v>
      </c>
    </row>
    <row r="31" spans="1:20">
      <c r="E31" s="92"/>
      <c r="F31" s="92"/>
      <c r="G31" s="92"/>
      <c r="H31" s="92"/>
      <c r="I31" s="92"/>
      <c r="J31" s="92"/>
      <c r="K31" s="92"/>
      <c r="L31" s="92"/>
      <c r="M31" s="92"/>
      <c r="N31" s="92"/>
      <c r="O31" s="92"/>
      <c r="P31" s="92"/>
      <c r="Q31" s="92"/>
      <c r="R31" s="92"/>
      <c r="S31" s="343"/>
      <c r="T31" s="343"/>
    </row>
    <row r="32" spans="1:20">
      <c r="E32" s="91">
        <v>2000</v>
      </c>
      <c r="F32" s="91">
        <v>2001</v>
      </c>
      <c r="G32" s="91">
        <v>2002</v>
      </c>
      <c r="H32" s="91">
        <v>2003</v>
      </c>
      <c r="I32" s="91">
        <v>2004</v>
      </c>
      <c r="J32" s="91">
        <v>2005</v>
      </c>
      <c r="K32" s="91">
        <v>2006</v>
      </c>
      <c r="L32" s="91">
        <v>2007</v>
      </c>
      <c r="M32" s="91">
        <v>2008</v>
      </c>
      <c r="N32" s="91">
        <v>2009</v>
      </c>
      <c r="O32" s="91">
        <v>2010</v>
      </c>
      <c r="P32" s="91">
        <v>2011</v>
      </c>
      <c r="Q32" s="91">
        <v>2012</v>
      </c>
      <c r="R32" s="91">
        <v>2013</v>
      </c>
      <c r="S32" s="342">
        <v>2013</v>
      </c>
      <c r="T32" s="342">
        <f>T6</f>
        <v>9.2014999999999993</v>
      </c>
    </row>
    <row r="33" spans="1:20">
      <c r="A33" s="22"/>
      <c r="B33" s="3" t="s">
        <v>40</v>
      </c>
      <c r="C33" s="3"/>
      <c r="D33" s="3"/>
      <c r="E33" s="32"/>
      <c r="F33" s="32"/>
      <c r="G33" s="32"/>
      <c r="H33" s="32"/>
      <c r="I33" s="32"/>
      <c r="J33" s="32"/>
      <c r="K33" s="32"/>
      <c r="L33" s="32"/>
      <c r="M33" s="32"/>
      <c r="N33" s="32"/>
      <c r="O33" s="32"/>
      <c r="P33" s="32"/>
      <c r="Q33" s="32"/>
      <c r="R33" s="32"/>
      <c r="S33" s="233"/>
      <c r="T33" s="233"/>
    </row>
    <row r="34" spans="1:20">
      <c r="A34" s="22"/>
      <c r="B34" s="3" t="s">
        <v>41</v>
      </c>
      <c r="C34" s="3"/>
      <c r="D34" s="3"/>
      <c r="E34" s="32"/>
      <c r="F34" s="32"/>
      <c r="G34" s="32"/>
      <c r="H34" s="32"/>
      <c r="I34" s="32"/>
      <c r="J34" s="32"/>
      <c r="K34" s="32"/>
      <c r="L34" s="32"/>
      <c r="M34" s="32"/>
      <c r="N34" s="32"/>
      <c r="O34" s="32"/>
      <c r="P34" s="32"/>
      <c r="Q34" s="32"/>
      <c r="R34" s="32"/>
      <c r="S34" s="233"/>
      <c r="T34" s="233"/>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34">
        <v>24711</v>
      </c>
      <c r="S35" s="234">
        <v>25235</v>
      </c>
      <c r="T35" s="234">
        <v>25720</v>
      </c>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33">
        <v>337894</v>
      </c>
      <c r="T36" s="233">
        <v>360612</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35">
        <v>59169</v>
      </c>
      <c r="T37" s="235">
        <v>75514</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T38" si="6">SUM(N35:N37)</f>
        <v>304124</v>
      </c>
      <c r="O38" s="32">
        <f t="shared" si="6"/>
        <v>321754</v>
      </c>
      <c r="P38" s="32">
        <f t="shared" si="6"/>
        <v>342258</v>
      </c>
      <c r="Q38" s="32">
        <f t="shared" si="6"/>
        <v>365326</v>
      </c>
      <c r="R38" s="32">
        <f t="shared" si="6"/>
        <v>390403</v>
      </c>
      <c r="S38" s="233">
        <f t="shared" si="6"/>
        <v>422298</v>
      </c>
      <c r="T38" s="233">
        <f t="shared" si="6"/>
        <v>461846</v>
      </c>
    </row>
    <row r="39" spans="1:20">
      <c r="A39" s="22"/>
      <c r="B39" s="24"/>
      <c r="C39" s="24"/>
      <c r="D39" s="3"/>
      <c r="E39" s="32"/>
      <c r="F39" s="32"/>
      <c r="G39" s="32"/>
      <c r="H39" s="32"/>
      <c r="I39" s="32"/>
      <c r="J39" s="32"/>
      <c r="K39" s="32"/>
      <c r="L39" s="32"/>
      <c r="M39" s="32"/>
      <c r="N39" s="32"/>
      <c r="O39" s="32"/>
      <c r="P39" s="32"/>
      <c r="Q39" s="32"/>
      <c r="R39" s="32"/>
      <c r="S39" s="233"/>
      <c r="T39" s="233"/>
    </row>
    <row r="40" spans="1:20">
      <c r="A40" s="22"/>
      <c r="B40" s="24" t="s">
        <v>49</v>
      </c>
      <c r="C40" s="24"/>
      <c r="D40" s="24"/>
      <c r="E40" s="32"/>
      <c r="F40" s="32"/>
      <c r="G40" s="32"/>
      <c r="H40" s="32"/>
      <c r="I40" s="32"/>
      <c r="J40" s="32"/>
      <c r="K40" s="32"/>
      <c r="L40" s="32"/>
      <c r="M40" s="32"/>
      <c r="N40" s="32"/>
      <c r="O40" s="32"/>
      <c r="P40" s="32"/>
      <c r="Q40" s="32"/>
      <c r="R40" s="32"/>
      <c r="S40" s="233"/>
      <c r="T40" s="233"/>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33">
        <v>9521</v>
      </c>
      <c r="T41" s="233">
        <v>9736</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33">
        <v>114795</v>
      </c>
      <c r="T42" s="233">
        <v>121623</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33">
        <v>17429</v>
      </c>
      <c r="T43" s="233">
        <f>15111+5798</f>
        <v>20909</v>
      </c>
    </row>
    <row r="44" spans="1:20">
      <c r="A44" s="22">
        <v>39</v>
      </c>
      <c r="B44" s="24" t="s">
        <v>53</v>
      </c>
      <c r="C44" s="24"/>
      <c r="D44" s="3"/>
      <c r="E44" s="34">
        <f t="shared" ref="E44:M44" si="7">SUM(E41:E43)</f>
        <v>59276</v>
      </c>
      <c r="F44" s="34">
        <f t="shared" si="7"/>
        <v>63560</v>
      </c>
      <c r="G44" s="34">
        <f t="shared" si="7"/>
        <v>68402</v>
      </c>
      <c r="H44" s="34">
        <f t="shared" si="7"/>
        <v>74180</v>
      </c>
      <c r="I44" s="34">
        <f t="shared" si="7"/>
        <v>78460</v>
      </c>
      <c r="J44" s="34">
        <f t="shared" si="7"/>
        <v>83560</v>
      </c>
      <c r="K44" s="34">
        <f t="shared" si="7"/>
        <v>88498</v>
      </c>
      <c r="L44" s="34">
        <f t="shared" si="7"/>
        <v>92560</v>
      </c>
      <c r="M44" s="34">
        <f t="shared" si="7"/>
        <v>97295</v>
      </c>
      <c r="N44" s="34">
        <f t="shared" ref="N44:T44" si="8">SUM(N41:N43)</f>
        <v>100710</v>
      </c>
      <c r="O44" s="34">
        <f t="shared" si="8"/>
        <v>108254</v>
      </c>
      <c r="P44" s="34">
        <f t="shared" si="8"/>
        <v>116701</v>
      </c>
      <c r="Q44" s="34">
        <f t="shared" si="8"/>
        <v>123541</v>
      </c>
      <c r="R44" s="34">
        <f t="shared" si="8"/>
        <v>132474</v>
      </c>
      <c r="S44" s="347">
        <f t="shared" si="8"/>
        <v>141745</v>
      </c>
      <c r="T44" s="347">
        <f t="shared" si="8"/>
        <v>152268</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 t="shared" ref="N45:T45" si="10">N38-N44</f>
        <v>203414</v>
      </c>
      <c r="O45" s="35">
        <f t="shared" si="10"/>
        <v>213500</v>
      </c>
      <c r="P45" s="35">
        <f t="shared" si="10"/>
        <v>225557</v>
      </c>
      <c r="Q45" s="35">
        <f t="shared" si="10"/>
        <v>241785</v>
      </c>
      <c r="R45" s="35">
        <f t="shared" si="10"/>
        <v>257929</v>
      </c>
      <c r="S45" s="236">
        <f t="shared" si="10"/>
        <v>280553</v>
      </c>
      <c r="T45" s="236">
        <f t="shared" si="10"/>
        <v>309578</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35">
        <v>-54652</v>
      </c>
      <c r="T46" s="235">
        <v>-65064</v>
      </c>
    </row>
    <row r="47" spans="1:20">
      <c r="A47" s="25">
        <v>42</v>
      </c>
      <c r="B47" s="26" t="s">
        <v>50</v>
      </c>
      <c r="C47" s="26"/>
      <c r="D47" s="26"/>
      <c r="E47" s="35">
        <f t="shared" ref="E47:M47" si="11">E45+E46</f>
        <v>128627</v>
      </c>
      <c r="F47" s="35">
        <f t="shared" si="11"/>
        <v>132804</v>
      </c>
      <c r="G47" s="35">
        <f t="shared" si="11"/>
        <v>132595</v>
      </c>
      <c r="H47" s="35">
        <f t="shared" si="11"/>
        <v>127437</v>
      </c>
      <c r="I47" s="35">
        <f t="shared" si="11"/>
        <v>126154</v>
      </c>
      <c r="J47" s="35">
        <f t="shared" si="11"/>
        <v>134146</v>
      </c>
      <c r="K47" s="35">
        <f t="shared" si="11"/>
        <v>141887</v>
      </c>
      <c r="L47" s="35">
        <f t="shared" si="11"/>
        <v>146289</v>
      </c>
      <c r="M47" s="35">
        <f t="shared" si="11"/>
        <v>154506</v>
      </c>
      <c r="N47" s="35">
        <f t="shared" ref="N47:T47" si="12">N45+N46</f>
        <v>172447</v>
      </c>
      <c r="O47" s="35">
        <f t="shared" si="12"/>
        <v>176738</v>
      </c>
      <c r="P47" s="35">
        <f t="shared" si="12"/>
        <v>183553</v>
      </c>
      <c r="Q47" s="35">
        <f t="shared" si="12"/>
        <v>195287</v>
      </c>
      <c r="R47" s="35">
        <f t="shared" si="12"/>
        <v>207759</v>
      </c>
      <c r="S47" s="236">
        <f t="shared" si="12"/>
        <v>225901</v>
      </c>
      <c r="T47" s="236">
        <f t="shared" si="12"/>
        <v>244514</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33">
        <v>14762</v>
      </c>
      <c r="T48" s="233">
        <v>12739</v>
      </c>
    </row>
    <row r="49" spans="1:20">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36">
        <v>0</v>
      </c>
      <c r="T49" s="236">
        <v>0</v>
      </c>
    </row>
    <row r="50" spans="1:20">
      <c r="A50" s="25">
        <v>45</v>
      </c>
      <c r="B50" s="26" t="s">
        <v>54</v>
      </c>
      <c r="C50" s="26"/>
      <c r="D50" s="26"/>
      <c r="E50" s="35"/>
      <c r="F50" s="35"/>
      <c r="G50" s="35"/>
      <c r="H50" s="35"/>
      <c r="I50" s="35"/>
      <c r="J50" s="35"/>
      <c r="K50" s="35"/>
      <c r="L50" s="35"/>
      <c r="M50" s="35"/>
      <c r="N50" s="35"/>
      <c r="O50" s="35"/>
      <c r="P50" s="35">
        <v>-1012</v>
      </c>
      <c r="Q50" s="35">
        <v>-816</v>
      </c>
      <c r="R50" s="35">
        <f>-12-320</f>
        <v>-332</v>
      </c>
      <c r="S50" s="236">
        <v>-479</v>
      </c>
      <c r="T50" s="236">
        <v>-484</v>
      </c>
    </row>
    <row r="51" spans="1:20">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35">
        <v>10073</v>
      </c>
      <c r="T51" s="235">
        <v>12310</v>
      </c>
    </row>
    <row r="52" spans="1:20">
      <c r="A52" s="22"/>
      <c r="B52" s="3"/>
      <c r="C52" s="3"/>
      <c r="D52" s="3"/>
      <c r="E52" s="4"/>
      <c r="F52" s="4"/>
      <c r="G52" s="4"/>
      <c r="H52" s="4"/>
      <c r="I52" s="4"/>
      <c r="J52" s="4"/>
      <c r="K52" s="4"/>
      <c r="L52" s="4"/>
      <c r="M52" s="4"/>
      <c r="N52" s="4"/>
      <c r="O52" s="4"/>
      <c r="P52" s="4"/>
      <c r="Q52" s="4"/>
      <c r="R52" s="4"/>
      <c r="S52" s="29"/>
      <c r="T52" s="29"/>
    </row>
    <row r="53" spans="1:20">
      <c r="A53" s="22"/>
      <c r="B53" s="3"/>
      <c r="C53" s="3"/>
      <c r="D53" s="3"/>
      <c r="E53" s="32"/>
      <c r="F53" s="32"/>
      <c r="G53" s="32"/>
      <c r="H53" s="32"/>
      <c r="I53" s="32"/>
      <c r="J53" s="32"/>
      <c r="K53" s="32"/>
      <c r="L53" s="32"/>
      <c r="M53" s="32"/>
      <c r="N53" s="32"/>
      <c r="O53" s="32"/>
      <c r="P53" s="32"/>
      <c r="Q53" s="32"/>
      <c r="R53" s="32"/>
      <c r="S53" s="233"/>
      <c r="T53" s="233"/>
    </row>
    <row r="54" spans="1:20" ht="13.5" thickBot="1">
      <c r="A54" s="5">
        <v>47</v>
      </c>
      <c r="B54" s="37" t="s">
        <v>38</v>
      </c>
      <c r="C54" s="37"/>
      <c r="D54" s="37"/>
      <c r="E54" s="38">
        <f t="shared" ref="E54:M54" si="13">SUM(E47:E51)</f>
        <v>130920</v>
      </c>
      <c r="F54" s="38">
        <f t="shared" si="13"/>
        <v>135524</v>
      </c>
      <c r="G54" s="38">
        <f t="shared" si="13"/>
        <v>136362</v>
      </c>
      <c r="H54" s="38">
        <f t="shared" si="13"/>
        <v>131627</v>
      </c>
      <c r="I54" s="38">
        <f t="shared" si="13"/>
        <v>130718</v>
      </c>
      <c r="J54" s="38">
        <f t="shared" si="13"/>
        <v>140796</v>
      </c>
      <c r="K54" s="38">
        <f t="shared" si="13"/>
        <v>149362</v>
      </c>
      <c r="L54" s="38">
        <f t="shared" si="13"/>
        <v>151699</v>
      </c>
      <c r="M54" s="38">
        <f t="shared" si="13"/>
        <v>169681</v>
      </c>
      <c r="N54" s="38">
        <f t="shared" ref="N54:S54" si="14">SUM(N47:N51)</f>
        <v>180778</v>
      </c>
      <c r="O54" s="38">
        <f t="shared" si="14"/>
        <v>186920</v>
      </c>
      <c r="P54" s="38">
        <f t="shared" si="14"/>
        <v>196280</v>
      </c>
      <c r="Q54" s="38">
        <f t="shared" si="14"/>
        <v>207578</v>
      </c>
      <c r="R54" s="38">
        <f t="shared" si="14"/>
        <v>224824</v>
      </c>
      <c r="S54" s="348">
        <f t="shared" si="14"/>
        <v>250257</v>
      </c>
      <c r="T54" s="348">
        <f t="shared" ref="T54" si="15">SUM(T47:T51)</f>
        <v>269079</v>
      </c>
    </row>
    <row r="55" spans="1:20" ht="13.5" thickTop="1">
      <c r="A55" s="95"/>
      <c r="B55" s="96"/>
      <c r="C55" s="96"/>
      <c r="D55" s="96"/>
      <c r="E55" s="103"/>
      <c r="F55" s="97"/>
      <c r="G55" s="97"/>
      <c r="H55" s="97"/>
      <c r="I55" s="97"/>
      <c r="J55" s="97"/>
      <c r="K55" s="97"/>
      <c r="L55" s="97"/>
      <c r="M55" s="97"/>
      <c r="N55" s="97"/>
      <c r="O55" s="97"/>
      <c r="P55" s="97"/>
      <c r="Q55" s="97"/>
    </row>
    <row r="56" spans="1:20">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20">
      <c r="B58" s="98" t="s">
        <v>134</v>
      </c>
    </row>
    <row r="59" spans="1:20">
      <c r="A59" s="70" t="s">
        <v>136</v>
      </c>
      <c r="D59" s="99" t="s">
        <v>137</v>
      </c>
      <c r="E59" s="93">
        <v>181</v>
      </c>
      <c r="F59" s="93">
        <v>164</v>
      </c>
      <c r="G59" s="93">
        <v>148</v>
      </c>
      <c r="H59" s="93">
        <v>132</v>
      </c>
      <c r="I59" s="93">
        <v>85</v>
      </c>
      <c r="J59" s="93">
        <v>100</v>
      </c>
      <c r="K59" s="93">
        <v>53</v>
      </c>
      <c r="L59" s="93">
        <v>69</v>
      </c>
      <c r="M59" s="93">
        <v>53</v>
      </c>
      <c r="N59" s="93">
        <v>38</v>
      </c>
      <c r="O59" s="93">
        <v>0</v>
      </c>
      <c r="P59" s="93">
        <v>0</v>
      </c>
      <c r="Q59" s="93">
        <v>0</v>
      </c>
      <c r="R59" s="93">
        <v>0</v>
      </c>
      <c r="S59" s="237">
        <v>0</v>
      </c>
      <c r="T59" s="237">
        <v>0</v>
      </c>
    </row>
    <row r="60" spans="1:20">
      <c r="A60" s="70" t="s">
        <v>147</v>
      </c>
      <c r="D60" s="99" t="s">
        <v>139</v>
      </c>
      <c r="E60" s="93">
        <v>3576</v>
      </c>
      <c r="F60" s="93">
        <v>3142</v>
      </c>
      <c r="G60" s="93">
        <v>2709</v>
      </c>
      <c r="H60" s="93">
        <v>2275</v>
      </c>
      <c r="I60" s="93">
        <v>1120</v>
      </c>
      <c r="J60" s="93">
        <v>1457</v>
      </c>
      <c r="K60" s="93">
        <v>1120</v>
      </c>
      <c r="L60" s="93">
        <v>784</v>
      </c>
      <c r="M60" s="93">
        <v>448</v>
      </c>
      <c r="N60" s="93">
        <v>0</v>
      </c>
      <c r="O60" s="93">
        <v>0</v>
      </c>
      <c r="P60" s="93">
        <v>0</v>
      </c>
      <c r="Q60" s="93">
        <v>0</v>
      </c>
      <c r="R60" s="93">
        <v>0</v>
      </c>
      <c r="S60" s="237">
        <v>0</v>
      </c>
      <c r="T60" s="237">
        <v>0</v>
      </c>
    </row>
    <row r="61" spans="1:20">
      <c r="A61" s="70" t="s">
        <v>138</v>
      </c>
      <c r="D61" s="99" t="s">
        <v>139</v>
      </c>
      <c r="E61" s="93">
        <v>-15</v>
      </c>
      <c r="F61" s="93">
        <v>-2</v>
      </c>
      <c r="G61" s="93">
        <v>-2</v>
      </c>
      <c r="H61" s="93">
        <v>-14</v>
      </c>
      <c r="I61" s="93">
        <v>-1</v>
      </c>
      <c r="J61" s="93">
        <v>-28</v>
      </c>
      <c r="K61" s="93">
        <v>-75</v>
      </c>
      <c r="L61" s="93">
        <v>-64</v>
      </c>
      <c r="M61" s="93">
        <v>-49</v>
      </c>
      <c r="N61" s="93">
        <v>-38</v>
      </c>
      <c r="O61" s="93">
        <v>-31</v>
      </c>
      <c r="P61" s="93">
        <v>-22</v>
      </c>
      <c r="Q61" s="93">
        <v>-18</v>
      </c>
      <c r="R61" s="93">
        <v>-12</v>
      </c>
      <c r="S61" s="237">
        <v>-12</v>
      </c>
      <c r="T61" s="237">
        <v>-12</v>
      </c>
    </row>
    <row r="62" spans="1:20">
      <c r="A62" s="70" t="s">
        <v>140</v>
      </c>
      <c r="D62" s="99" t="s">
        <v>139</v>
      </c>
      <c r="E62" s="93"/>
      <c r="F62" s="93"/>
      <c r="G62" s="93"/>
      <c r="H62" s="93"/>
      <c r="I62" s="93"/>
      <c r="J62" s="93"/>
      <c r="K62" s="93"/>
      <c r="L62" s="93"/>
      <c r="M62" s="93"/>
      <c r="N62" s="93">
        <v>-1359</v>
      </c>
      <c r="O62" s="93">
        <v>-1132</v>
      </c>
      <c r="P62" s="93">
        <v>-990</v>
      </c>
      <c r="Q62" s="93">
        <v>-798</v>
      </c>
      <c r="R62" s="93">
        <v>-320</v>
      </c>
      <c r="S62" s="237">
        <v>-467</v>
      </c>
      <c r="T62" s="237">
        <v>-472</v>
      </c>
    </row>
    <row r="63" spans="1:20">
      <c r="A63" s="70"/>
    </row>
    <row r="64" spans="1:20">
      <c r="A64" s="70" t="s">
        <v>5</v>
      </c>
      <c r="E64" s="92">
        <f t="shared" ref="E64:R64" si="16">SUM(E59:E62)</f>
        <v>3742</v>
      </c>
      <c r="F64" s="92">
        <f t="shared" si="16"/>
        <v>3304</v>
      </c>
      <c r="G64" s="92">
        <f t="shared" si="16"/>
        <v>2855</v>
      </c>
      <c r="H64" s="92">
        <f t="shared" si="16"/>
        <v>2393</v>
      </c>
      <c r="I64" s="92">
        <f t="shared" si="16"/>
        <v>1204</v>
      </c>
      <c r="J64" s="92">
        <f t="shared" si="16"/>
        <v>1529</v>
      </c>
      <c r="K64" s="92">
        <f t="shared" si="16"/>
        <v>1098</v>
      </c>
      <c r="L64" s="92">
        <f t="shared" si="16"/>
        <v>789</v>
      </c>
      <c r="M64" s="92">
        <f t="shared" si="16"/>
        <v>452</v>
      </c>
      <c r="N64" s="92">
        <f t="shared" si="16"/>
        <v>-1359</v>
      </c>
      <c r="O64" s="92">
        <f t="shared" si="16"/>
        <v>-1163</v>
      </c>
      <c r="P64" s="92">
        <f t="shared" si="16"/>
        <v>-1012</v>
      </c>
      <c r="Q64" s="92">
        <f t="shared" si="16"/>
        <v>-816</v>
      </c>
      <c r="R64" s="92">
        <f t="shared" si="16"/>
        <v>-332</v>
      </c>
      <c r="S64" s="343">
        <f t="shared" ref="S64:T64" si="17">SUM(S59:S62)</f>
        <v>-479</v>
      </c>
      <c r="T64" s="343">
        <f t="shared" si="17"/>
        <v>-484</v>
      </c>
    </row>
    <row r="65" spans="1:20">
      <c r="A65" s="70"/>
      <c r="E65" s="92"/>
      <c r="F65" s="92"/>
      <c r="G65" s="92"/>
      <c r="H65" s="92"/>
      <c r="I65" s="92"/>
      <c r="J65" s="92"/>
      <c r="K65" s="92"/>
      <c r="L65" s="92"/>
      <c r="M65" s="92"/>
      <c r="N65" s="92"/>
      <c r="O65" s="92"/>
      <c r="P65" s="92"/>
      <c r="Q65" s="92"/>
    </row>
    <row r="66" spans="1:20">
      <c r="A66" s="70" t="s">
        <v>33</v>
      </c>
      <c r="E66" s="92">
        <f>SUM(E60:E62)</f>
        <v>3561</v>
      </c>
      <c r="F66" s="92">
        <f t="shared" ref="F66:O66" si="18">SUM(F60:F62)</f>
        <v>3140</v>
      </c>
      <c r="G66" s="92">
        <f t="shared" si="18"/>
        <v>2707</v>
      </c>
      <c r="H66" s="92">
        <f t="shared" si="18"/>
        <v>2261</v>
      </c>
      <c r="I66" s="92">
        <f t="shared" si="18"/>
        <v>1119</v>
      </c>
      <c r="J66" s="92">
        <f t="shared" si="18"/>
        <v>1429</v>
      </c>
      <c r="K66" s="92">
        <f t="shared" si="18"/>
        <v>1045</v>
      </c>
      <c r="L66" s="92">
        <f t="shared" si="18"/>
        <v>720</v>
      </c>
      <c r="M66" s="92">
        <f t="shared" si="18"/>
        <v>399</v>
      </c>
      <c r="N66" s="92">
        <f t="shared" si="18"/>
        <v>-1397</v>
      </c>
      <c r="O66" s="92">
        <f t="shared" si="18"/>
        <v>-1163</v>
      </c>
      <c r="P66" s="92"/>
      <c r="Q66" s="92"/>
    </row>
    <row r="67" spans="1:20">
      <c r="A67" s="70" t="s">
        <v>137</v>
      </c>
      <c r="E67" s="92">
        <f>E59</f>
        <v>181</v>
      </c>
      <c r="F67" s="92">
        <f t="shared" ref="F67:O67" si="19">F59</f>
        <v>164</v>
      </c>
      <c r="G67" s="92">
        <f t="shared" si="19"/>
        <v>148</v>
      </c>
      <c r="H67" s="92">
        <f t="shared" si="19"/>
        <v>132</v>
      </c>
      <c r="I67" s="92">
        <f t="shared" si="19"/>
        <v>85</v>
      </c>
      <c r="J67" s="92">
        <f t="shared" si="19"/>
        <v>100</v>
      </c>
      <c r="K67" s="92">
        <f t="shared" si="19"/>
        <v>53</v>
      </c>
      <c r="L67" s="92">
        <f t="shared" si="19"/>
        <v>69</v>
      </c>
      <c r="M67" s="92">
        <f t="shared" si="19"/>
        <v>53</v>
      </c>
      <c r="N67" s="92">
        <f t="shared" si="19"/>
        <v>38</v>
      </c>
      <c r="O67" s="92">
        <f t="shared" si="19"/>
        <v>0</v>
      </c>
      <c r="P67" s="92"/>
      <c r="Q67" s="92"/>
    </row>
    <row r="68" spans="1:20">
      <c r="A68" s="70" t="s">
        <v>135</v>
      </c>
      <c r="E68" s="92"/>
      <c r="F68" s="92"/>
      <c r="G68" s="92"/>
      <c r="H68" s="92"/>
      <c r="I68" s="92"/>
      <c r="J68" s="92"/>
      <c r="K68" s="92"/>
      <c r="L68" s="92"/>
      <c r="M68" s="92"/>
      <c r="N68" s="92"/>
      <c r="O68" s="92"/>
      <c r="P68" s="92">
        <f>SUM(P59:P62)</f>
        <v>-1012</v>
      </c>
      <c r="Q68" s="92">
        <f>SUM(Q59:Q62)</f>
        <v>-816</v>
      </c>
      <c r="R68" s="92">
        <f>SUM(R59:R62)</f>
        <v>-332</v>
      </c>
      <c r="S68" s="343">
        <f>SUM(S59:S62)</f>
        <v>-479</v>
      </c>
      <c r="T68" s="343">
        <f>SUM(T59:T62)</f>
        <v>-484</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2016-08-17T21:44:47+00:00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8C61CF-7316-4437-A73E-E68504F63E7A}"/>
</file>

<file path=customXml/itemProps2.xml><?xml version="1.0" encoding="utf-8"?>
<ds:datastoreItem xmlns:ds="http://schemas.openxmlformats.org/officeDocument/2006/customXml" ds:itemID="{C6938AEA-C403-499B-9BD0-918D5C1F2451}"/>
</file>

<file path=customXml/itemProps3.xml><?xml version="1.0" encoding="utf-8"?>
<ds:datastoreItem xmlns:ds="http://schemas.openxmlformats.org/officeDocument/2006/customXml" ds:itemID="{7CE9EE3D-5184-4C90-ABC2-42717CF9757C}"/>
</file>

<file path=customXml/itemProps4.xml><?xml version="1.0" encoding="utf-8"?>
<ds:datastoreItem xmlns:ds="http://schemas.openxmlformats.org/officeDocument/2006/customXml" ds:itemID="{E3FDCB60-32DB-4097-8F16-5C59A1C8BA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24</vt:i4>
      </vt:variant>
    </vt:vector>
  </HeadingPairs>
  <TitlesOfParts>
    <vt:vector size="49" baseType="lpstr">
      <vt:lpstr>Summary</vt:lpstr>
      <vt:lpstr>ROR</vt:lpstr>
      <vt:lpstr>Attrition 12.2015 to 2017</vt:lpstr>
      <vt:lpstr>Cost Trends</vt:lpstr>
      <vt:lpstr>Net plant</vt:lpstr>
      <vt:lpstr>UTC - UGStorPlant</vt:lpstr>
      <vt:lpstr>UTC - DistrPlant</vt:lpstr>
      <vt:lpstr>UTC - GeneralPlant</vt:lpstr>
      <vt:lpstr>UTC - UGStorAccumDeprAmort</vt:lpstr>
      <vt:lpstr>UTC - DistrAccumAmortDepr</vt:lpstr>
      <vt:lpstr>UTC - GeneralAccumAmortDepr</vt:lpstr>
      <vt:lpstr>UTC - UGStorDeprAmorExp</vt:lpstr>
      <vt:lpstr>UTC - DistrDeprAmorExp</vt:lpstr>
      <vt:lpstr>UTC - GenrlDeprAmorExp</vt:lpstr>
      <vt:lpstr>Dep Amort</vt:lpstr>
      <vt:lpstr>Taxes (other than income)</vt:lpstr>
      <vt:lpstr>Op Exp</vt:lpstr>
      <vt:lpstr>Weighted Revenue Growth</vt:lpstr>
      <vt:lpstr>UTC - Other Revenue</vt:lpstr>
      <vt:lpstr>Op Exp-don't use</vt:lpstr>
      <vt:lpstr>UTC - Deferred Taxes</vt:lpstr>
      <vt:lpstr>09.2015 Revenue Model</vt:lpstr>
      <vt:lpstr>Forecast Bill Determinants</vt:lpstr>
      <vt:lpstr>Riders and Gas Cost Revenue</vt:lpstr>
      <vt:lpstr>Reg Amort and Other RB</vt:lpstr>
      <vt:lpstr>'09.2015 Revenue Model'!Print_Area</vt:lpstr>
      <vt:lpstr>'Attrition 12.2015 to 2017'!Print_Area</vt:lpstr>
      <vt:lpstr>'Cost Trends'!Print_Area</vt:lpstr>
      <vt:lpstr>'Dep Amort'!Print_Area</vt:lpstr>
      <vt:lpstr>'Net plant'!Print_Area</vt:lpstr>
      <vt:lpstr>'Op Exp'!Print_Area</vt:lpstr>
      <vt:lpstr>'Riders and Gas Cost Revenue'!Print_Area</vt:lpstr>
      <vt:lpstr>ROR!Print_Area</vt:lpstr>
      <vt:lpstr>Summary!Print_Area</vt:lpstr>
      <vt:lpstr>'Taxes (other than income)'!Print_Area</vt:lpstr>
      <vt:lpstr>'UTC - Deferred Taxes'!Print_Area</vt:lpstr>
      <vt:lpstr>'UTC - DistrAccumAmortDepr'!Print_Area</vt:lpstr>
      <vt:lpstr>'UTC - DistrDeprAmorExp'!Print_Area</vt:lpstr>
      <vt:lpstr>'UTC - DistrPlant'!Print_Area</vt:lpstr>
      <vt:lpstr>'UTC - GeneralAccumAmortDepr'!Print_Area</vt:lpstr>
      <vt:lpstr>'UTC - GeneralPlant'!Print_Area</vt:lpstr>
      <vt:lpstr>'UTC - GenrlDeprAmorExp'!Print_Area</vt:lpstr>
      <vt:lpstr>'UTC - Other Revenue'!Print_Area</vt:lpstr>
      <vt:lpstr>'UTC - UGStorAccumDeprAmort'!Print_Area</vt:lpstr>
      <vt:lpstr>'UTC - UGStorDeprAmorExp'!Print_Area</vt:lpstr>
      <vt:lpstr>'UTC - UGStorPlant'!Print_Area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CSH-7 - WA 2018 Natural Gas Attrition Study</dc:title>
  <dc:creator>Preferred Customer</dc:creator>
  <dc:description/>
  <cp:lastModifiedBy>Hancock, Christopher (UTC)</cp:lastModifiedBy>
  <cp:lastPrinted>2016-08-16T16:17:26Z</cp:lastPrinted>
  <dcterms:created xsi:type="dcterms:W3CDTF">1997-05-15T21:41:44Z</dcterms:created>
  <dcterms:modified xsi:type="dcterms:W3CDTF">2016-08-16T16:17:27Z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