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60228/Staffs Testimony and Exhibits/"/>
    </mc:Choice>
  </mc:AlternateContent>
  <bookViews>
    <workbookView xWindow="0" yWindow="0" windowWidth="21600" windowHeight="7185"/>
  </bookViews>
  <sheets>
    <sheet name="Electric Adj" sheetId="2" r:id="rId1"/>
    <sheet name="Gas Adj" sheetId="3" r:id="rId2"/>
    <sheet name="Summary" sheetId="4" r:id="rId3"/>
    <sheet name="Adjustment" sheetId="1" r:id="rId4"/>
    <sheet name="Pro-Forma" sheetId="11" r:id="rId5"/>
    <sheet name="Non-Util Benefit Calc" sheetId="6" r:id="rId6"/>
  </sheets>
  <externalReferences>
    <externalReference r:id="rId7"/>
    <externalReference r:id="rId8"/>
  </externalReferences>
  <definedNames>
    <definedName name="ID_Gas" localSheetId="4">'[1]DEBT CALC'!#REF!</definedName>
    <definedName name="ID_Gas">'[1]DEBT CALC'!#REF!</definedName>
    <definedName name="_xlnm.Print_Area" localSheetId="3">Adjustment!$A$1:$J$34</definedName>
    <definedName name="_xlnm.Print_Area" localSheetId="0">'Electric Adj'!$A$1:$E$79</definedName>
    <definedName name="_xlnm.Print_Area" localSheetId="1">'Gas Adj'!$A$1:$E$81</definedName>
    <definedName name="_xlnm.Print_Area" localSheetId="5">'Non-Util Benefit Calc'!$A$1:$G$11</definedName>
    <definedName name="_xlnm.Print_Area" localSheetId="4">'Pro-Forma'!$A$3:$T$36</definedName>
    <definedName name="_xlnm.Print_Area" localSheetId="2">Summary!$A$1:$H$28,Summary!$A$31:$H$57</definedName>
    <definedName name="Print_for_Checking" localSheetId="4">'[1]ADJ SUMMARY'!#REF!:'[1]ADJ SUMMARY'!#REF!</definedName>
    <definedName name="Print_for_Checking">'[1]ADJ SUMMARY'!#REF!:'[1]ADJ SUMMARY'!#REF!</definedName>
    <definedName name="_xlnm.Print_Titles" localSheetId="0">'Electric Adj'!$A:$D,'Electric Adj'!$1:$9</definedName>
    <definedName name="_xlnm.Print_Titles" localSheetId="1">'Gas Adj'!$A:$D,'Gas Adj'!$1:$10</definedName>
    <definedName name="Recover">[2]Macro1!$A$69</definedName>
    <definedName name="Summary" localSheetId="4">#REF!</definedName>
    <definedName name="Summary">#REF!</definedName>
    <definedName name="TableName">"Dummy"</definedName>
    <definedName name="WA_Gas" localSheetId="4">'[1]DEBT CALC'!#REF!</definedName>
    <definedName name="WA_Gas">'[1]DEBT CALC'!#REF!</definedName>
    <definedName name="Z_5BE913A1_B14F_11D2_B0DC_0000832CDFF0_.wvu.Cols" localSheetId="1" hidden="1">'Gas Adj'!$E:$E</definedName>
    <definedName name="Z_5BE913A1_B14F_11D2_B0DC_0000832CDFF0_.wvu.PrintArea" localSheetId="1" hidden="1">'Gas Adj'!$E$11:$E$82</definedName>
    <definedName name="Z_5BE913A1_B14F_11D2_B0DC_0000832CDFF0_.wvu.PrintTitles" localSheetId="1" hidden="1">'Gas Adj'!$A:$D,'Gas Adj'!$1:$10</definedName>
    <definedName name="Z_6E1B8C45_B07F_11D2_B0DC_0000832CDFF0_.wvu.Cols" localSheetId="0" hidden="1">'Electric Adj'!#REF!,'Electric Adj'!$E:$E</definedName>
    <definedName name="Z_6E1B8C45_B07F_11D2_B0DC_0000832CDFF0_.wvu.PrintArea" localSheetId="0" hidden="1">'Electric Adj'!#REF!</definedName>
    <definedName name="Z_6E1B8C45_B07F_11D2_B0DC_0000832CDFF0_.wvu.PrintTitles" localSheetId="0" hidden="1">'Electric Adj'!$A:$D,'Electric Adj'!$1:$9</definedName>
    <definedName name="Z_A15D1962_B049_11D2_8670_0000832CEEE8_.wvu.Cols" localSheetId="0" hidden="1">'Electric Adj'!$E:$E</definedName>
    <definedName name="Z_A15D1964_B049_11D2_8670_0000832CEEE8_.wvu.Cols" localSheetId="1" hidden="1">'Gas Adj'!$E:$E</definedName>
    <definedName name="Z_A15D1964_B049_11D2_8670_0000832CEEE8_.wvu.PrintArea" localSheetId="1" hidden="1">'Gas Adj'!$E$11:$E$82</definedName>
    <definedName name="Z_A15D1964_B049_11D2_8670_0000832CEEE8_.wvu.PrintTitles" localSheetId="1" hidden="1">'Gas Adj'!$A:$D,'Gas Adj'!$1:$10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5" i="1"/>
  <c r="G22" i="4"/>
  <c r="G20" i="4"/>
  <c r="F22" i="4"/>
  <c r="G52" i="4"/>
  <c r="G50" i="4"/>
  <c r="G49" i="4"/>
  <c r="G47" i="4"/>
  <c r="G46" i="4"/>
  <c r="G45" i="4"/>
  <c r="G43" i="4"/>
  <c r="G41" i="4"/>
  <c r="G39" i="4"/>
  <c r="F52" i="4"/>
  <c r="F50" i="4"/>
  <c r="F49" i="4"/>
  <c r="F47" i="4"/>
  <c r="F46" i="4"/>
  <c r="F45" i="4"/>
  <c r="F43" i="4"/>
  <c r="F41" i="4"/>
  <c r="F39" i="4"/>
  <c r="E52" i="4"/>
  <c r="E50" i="4"/>
  <c r="E49" i="4"/>
  <c r="E47" i="4"/>
  <c r="E46" i="4"/>
  <c r="E45" i="4"/>
  <c r="E43" i="4"/>
  <c r="E41" i="4"/>
  <c r="E39" i="4"/>
  <c r="G19" i="4"/>
  <c r="G17" i="4"/>
  <c r="G16" i="4"/>
  <c r="G15" i="4"/>
  <c r="G13" i="4"/>
  <c r="G11" i="4"/>
  <c r="G10" i="4"/>
  <c r="G9" i="4"/>
  <c r="F20" i="4"/>
  <c r="F19" i="4"/>
  <c r="F17" i="4"/>
  <c r="F16" i="4"/>
  <c r="F15" i="4"/>
  <c r="F13" i="4"/>
  <c r="F11" i="4"/>
  <c r="F10" i="4"/>
  <c r="F9" i="4"/>
  <c r="E22" i="4"/>
  <c r="E20" i="4"/>
  <c r="E19" i="4"/>
  <c r="E17" i="4"/>
  <c r="E16" i="4"/>
  <c r="E15" i="4"/>
  <c r="E13" i="4"/>
  <c r="E10" i="4"/>
  <c r="E9" i="4"/>
  <c r="E22" i="2" l="1"/>
  <c r="E53" i="3"/>
  <c r="Q54" i="4"/>
  <c r="L54" i="4"/>
  <c r="J52" i="4"/>
  <c r="R52" i="4"/>
  <c r="Q52" i="4"/>
  <c r="O52" i="4"/>
  <c r="L52" i="4"/>
  <c r="Q47" i="4"/>
  <c r="O47" i="4"/>
  <c r="L47" i="4"/>
  <c r="J47" i="4"/>
  <c r="T35" i="11"/>
  <c r="T33" i="11"/>
  <c r="T34" i="11"/>
  <c r="T32" i="11"/>
  <c r="T30" i="11"/>
  <c r="T31" i="11" s="1"/>
  <c r="J20" i="4"/>
  <c r="O22" i="4"/>
  <c r="O17" i="4"/>
  <c r="J22" i="4"/>
  <c r="J17" i="4"/>
  <c r="H7" i="1" l="1"/>
  <c r="G7" i="1"/>
  <c r="H6" i="1"/>
  <c r="G6" i="1"/>
  <c r="T29" i="11"/>
  <c r="T28" i="11"/>
  <c r="T27" i="11"/>
  <c r="T26" i="11"/>
  <c r="D23" i="11"/>
  <c r="T22" i="11"/>
  <c r="T21" i="11"/>
  <c r="D21" i="11"/>
  <c r="T18" i="11"/>
  <c r="T14" i="11"/>
  <c r="T15" i="11"/>
  <c r="T16" i="11"/>
  <c r="T13" i="11"/>
  <c r="T9" i="11"/>
  <c r="R27" i="11"/>
  <c r="C27" i="11"/>
  <c r="R26" i="11"/>
  <c r="C26" i="11"/>
  <c r="R21" i="11"/>
  <c r="R28" i="11" s="1"/>
  <c r="P20" i="4" l="1"/>
  <c r="K20" i="4" l="1"/>
  <c r="K22" i="4" l="1"/>
  <c r="G9" i="1"/>
  <c r="H9" i="1" s="1"/>
  <c r="I9" i="1" s="1"/>
  <c r="F19" i="6"/>
  <c r="E19" i="6"/>
  <c r="E20" i="6" s="1"/>
  <c r="D19" i="6"/>
  <c r="C19" i="6"/>
  <c r="G18" i="6"/>
  <c r="G19" i="6" s="1"/>
  <c r="F9" i="6"/>
  <c r="E9" i="6"/>
  <c r="D9" i="6"/>
  <c r="C9" i="6"/>
  <c r="G9" i="6" s="1"/>
  <c r="D52" i="4"/>
  <c r="P50" i="4"/>
  <c r="P52" i="4" s="1"/>
  <c r="O50" i="4"/>
  <c r="K50" i="4"/>
  <c r="K52" i="4" s="1"/>
  <c r="J50" i="4"/>
  <c r="R47" i="4"/>
  <c r="M47" i="4"/>
  <c r="D22" i="4"/>
  <c r="O20" i="4"/>
  <c r="P22" i="4"/>
  <c r="O11" i="4"/>
  <c r="J11" i="4"/>
  <c r="E71" i="3"/>
  <c r="E72" i="3" s="1"/>
  <c r="E74" i="3" s="1"/>
  <c r="E81" i="3" s="1"/>
  <c r="E65" i="3"/>
  <c r="E17" i="3"/>
  <c r="E71" i="2"/>
  <c r="E64" i="2"/>
  <c r="E18" i="2"/>
  <c r="D14" i="1"/>
  <c r="D30" i="1" s="1"/>
  <c r="E31" i="1" s="1"/>
  <c r="A18" i="1"/>
  <c r="A22" i="1" s="1"/>
  <c r="A26" i="1" s="1"/>
  <c r="A30" i="1" s="1"/>
  <c r="E15" i="1" l="1"/>
  <c r="G8" i="1"/>
  <c r="G10" i="1" s="1"/>
  <c r="G15" i="1" s="1"/>
  <c r="I7" i="1"/>
  <c r="E72" i="2"/>
  <c r="E75" i="2" s="1"/>
  <c r="E79" i="2" s="1"/>
  <c r="G20" i="6"/>
  <c r="D20" i="6"/>
  <c r="F20" i="6"/>
  <c r="C20" i="6"/>
  <c r="D18" i="1"/>
  <c r="E19" i="1" s="1"/>
  <c r="D26" i="1"/>
  <c r="E27" i="1" s="1"/>
  <c r="D22" i="1"/>
  <c r="E23" i="1" s="1"/>
  <c r="G23" i="1" l="1"/>
  <c r="E53" i="4" s="1"/>
  <c r="E23" i="4"/>
  <c r="E33" i="1"/>
  <c r="G27" i="1"/>
  <c r="G19" i="1"/>
  <c r="G31" i="1"/>
  <c r="H8" i="1" l="1"/>
  <c r="I6" i="1"/>
  <c r="L53" i="4"/>
  <c r="L9" i="4"/>
  <c r="L23" i="4"/>
  <c r="L24" i="4" s="1"/>
  <c r="G33" i="1"/>
  <c r="I8" i="1" l="1"/>
  <c r="H10" i="1"/>
  <c r="L13" i="4"/>
  <c r="M13" i="4" s="1"/>
  <c r="L39" i="4"/>
  <c r="M39" i="4" s="1"/>
  <c r="L10" i="4"/>
  <c r="M10" i="4" s="1"/>
  <c r="L41" i="4"/>
  <c r="M41" i="4" s="1"/>
  <c r="L45" i="4"/>
  <c r="M45" i="4" s="1"/>
  <c r="L49" i="4"/>
  <c r="L16" i="4"/>
  <c r="M16" i="4" s="1"/>
  <c r="E11" i="4"/>
  <c r="M53" i="4"/>
  <c r="L15" i="4"/>
  <c r="M23" i="4"/>
  <c r="L19" i="4"/>
  <c r="M19" i="4" s="1"/>
  <c r="L43" i="4"/>
  <c r="M43" i="4" s="1"/>
  <c r="L46" i="4"/>
  <c r="M46" i="4" s="1"/>
  <c r="M15" i="4" l="1"/>
  <c r="L17" i="4"/>
  <c r="M17" i="4" s="1"/>
  <c r="H31" i="1"/>
  <c r="I31" i="1" s="1"/>
  <c r="H23" i="1"/>
  <c r="H15" i="1"/>
  <c r="I15" i="1" s="1"/>
  <c r="H19" i="1"/>
  <c r="I19" i="1" s="1"/>
  <c r="I10" i="1"/>
  <c r="H27" i="1"/>
  <c r="I27" i="1" s="1"/>
  <c r="M52" i="4"/>
  <c r="M49" i="4"/>
  <c r="L50" i="4"/>
  <c r="M50" i="4" s="1"/>
  <c r="M9" i="4"/>
  <c r="L11" i="4"/>
  <c r="T52" i="4"/>
  <c r="L22" i="4" l="1"/>
  <c r="M22" i="4" s="1"/>
  <c r="F53" i="4"/>
  <c r="I23" i="1"/>
  <c r="N23" i="1" s="1"/>
  <c r="F23" i="4"/>
  <c r="H33" i="1"/>
  <c r="N15" i="1"/>
  <c r="T22" i="4"/>
  <c r="M11" i="4"/>
  <c r="L20" i="4"/>
  <c r="M20" i="4" s="1"/>
  <c r="I33" i="1" l="1"/>
  <c r="Q53" i="4"/>
  <c r="G53" i="4"/>
  <c r="G23" i="4"/>
  <c r="Q23" i="4"/>
  <c r="Q13" i="4" l="1"/>
  <c r="R13" i="4" s="1"/>
  <c r="E30" i="2"/>
  <c r="E34" i="2" s="1"/>
  <c r="Q10" i="4"/>
  <c r="R10" i="4" s="1"/>
  <c r="Q41" i="4"/>
  <c r="R41" i="4" s="1"/>
  <c r="E27" i="3"/>
  <c r="E30" i="3" s="1"/>
  <c r="Q39" i="4"/>
  <c r="E22" i="3"/>
  <c r="E24" i="3" s="1"/>
  <c r="Q16" i="4"/>
  <c r="R16" i="4" s="1"/>
  <c r="E37" i="2"/>
  <c r="Q49" i="4"/>
  <c r="Q46" i="4"/>
  <c r="R46" i="4" s="1"/>
  <c r="E39" i="3"/>
  <c r="R23" i="4"/>
  <c r="Q24" i="4"/>
  <c r="Q19" i="4"/>
  <c r="R19" i="4" s="1"/>
  <c r="E41" i="2"/>
  <c r="E44" i="2" s="1"/>
  <c r="Q43" i="4"/>
  <c r="R43" i="4" s="1"/>
  <c r="E33" i="3"/>
  <c r="E36" i="3" s="1"/>
  <c r="Q9" i="4"/>
  <c r="Q15" i="4"/>
  <c r="R53" i="4"/>
  <c r="Q45" i="4"/>
  <c r="R45" i="4" s="1"/>
  <c r="E38" i="3"/>
  <c r="E36" i="2" l="1"/>
  <c r="R15" i="4"/>
  <c r="Q17" i="4"/>
  <c r="R17" i="4" s="1"/>
  <c r="Q11" i="4"/>
  <c r="R9" i="4"/>
  <c r="E43" i="3"/>
  <c r="E47" i="3" s="1"/>
  <c r="E48" i="3" s="1"/>
  <c r="E50" i="3" s="1"/>
  <c r="E58" i="3" s="1"/>
  <c r="Q50" i="4"/>
  <c r="R50" i="4" s="1"/>
  <c r="R49" i="4"/>
  <c r="U52" i="4"/>
  <c r="V52" i="4" s="1"/>
  <c r="R39" i="4"/>
  <c r="Q22" i="4" l="1"/>
  <c r="R22" i="4" s="1"/>
  <c r="U22" i="4"/>
  <c r="V22" i="4" s="1"/>
  <c r="V3" i="4" s="1"/>
  <c r="Q20" i="4"/>
  <c r="R20" i="4" s="1"/>
  <c r="R11" i="4"/>
  <c r="E27" i="2"/>
  <c r="E47" i="2" l="1"/>
  <c r="E50" i="2" s="1"/>
  <c r="E45" i="2"/>
  <c r="E55" i="2" l="1"/>
</calcChain>
</file>

<file path=xl/comments1.xml><?xml version="1.0" encoding="utf-8"?>
<comments xmlns="http://schemas.openxmlformats.org/spreadsheetml/2006/main">
  <authors>
    <author>Melissa Cheesman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File:</t>
        </r>
        <r>
          <rPr>
            <sz val="9"/>
            <color indexed="81"/>
            <rFont val="Tahoma"/>
            <family val="2"/>
          </rPr>
          <t xml:space="preserve"> "Exhibit No. MC-2, Restate Incentive Expense (Electric 2.16, Gas 2.14).xlsx"
</t>
        </r>
        <r>
          <rPr>
            <b/>
            <sz val="9"/>
            <color indexed="81"/>
            <rFont val="Tahoma"/>
            <family val="2"/>
          </rPr>
          <t>Tab (Worksheet):</t>
        </r>
        <r>
          <rPr>
            <sz val="9"/>
            <color indexed="81"/>
            <rFont val="Tahoma"/>
            <family val="2"/>
          </rPr>
          <t xml:space="preserve"> Incentive Break-Out
</t>
        </r>
        <r>
          <rPr>
            <b/>
            <sz val="9"/>
            <color indexed="81"/>
            <rFont val="Tahoma"/>
            <family val="2"/>
          </rPr>
          <t>Cell:</t>
        </r>
        <r>
          <rPr>
            <sz val="9"/>
            <color indexed="81"/>
            <rFont val="Tahoma"/>
            <family val="2"/>
          </rPr>
          <t xml:space="preserve"> H46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File:</t>
        </r>
        <r>
          <rPr>
            <sz val="9"/>
            <color indexed="81"/>
            <rFont val="Tahoma"/>
            <family val="2"/>
          </rPr>
          <t xml:space="preserve"> "Exhibit No. MC-2, Restate Incentive Expense (Electric 2.16, Gas 2.14).xlsx"
</t>
        </r>
        <r>
          <rPr>
            <b/>
            <sz val="9"/>
            <color indexed="81"/>
            <rFont val="Tahoma"/>
            <family val="2"/>
          </rPr>
          <t>Tab (Worksheet):</t>
        </r>
        <r>
          <rPr>
            <sz val="9"/>
            <color indexed="81"/>
            <rFont val="Tahoma"/>
            <family val="2"/>
          </rPr>
          <t xml:space="preserve"> Incentive Break-Out
</t>
        </r>
        <r>
          <rPr>
            <b/>
            <sz val="9"/>
            <color indexed="81"/>
            <rFont val="Tahoma"/>
            <family val="2"/>
          </rPr>
          <t>Cell:</t>
        </r>
        <r>
          <rPr>
            <sz val="9"/>
            <color indexed="81"/>
            <rFont val="Tahoma"/>
            <family val="2"/>
          </rPr>
          <t xml:space="preserve"> H47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File:</t>
        </r>
        <r>
          <rPr>
            <sz val="9"/>
            <color indexed="81"/>
            <rFont val="Tahoma"/>
            <family val="2"/>
          </rPr>
          <t xml:space="preserve"> "Exhibit No. MC-2, Restate Incentive Expense (Electric 2.16, Gas 2.14).xlsx"
</t>
        </r>
        <r>
          <rPr>
            <b/>
            <sz val="9"/>
            <color indexed="81"/>
            <rFont val="Tahoma"/>
            <family val="2"/>
          </rPr>
          <t>Tab (Worksheet):</t>
        </r>
        <r>
          <rPr>
            <sz val="9"/>
            <color indexed="81"/>
            <rFont val="Tahoma"/>
            <family val="2"/>
          </rPr>
          <t xml:space="preserve"> Incentive Break-Out
</t>
        </r>
        <r>
          <rPr>
            <b/>
            <sz val="9"/>
            <color indexed="81"/>
            <rFont val="Tahoma"/>
            <family val="2"/>
          </rPr>
          <t>Cell:</t>
        </r>
        <r>
          <rPr>
            <sz val="9"/>
            <color indexed="81"/>
            <rFont val="Tahoma"/>
            <family val="2"/>
          </rPr>
          <t xml:space="preserve"> H48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File:</t>
        </r>
        <r>
          <rPr>
            <sz val="9"/>
            <color indexed="81"/>
            <rFont val="Tahoma"/>
            <family val="2"/>
          </rPr>
          <t xml:space="preserve"> "Exhibit No. MC-2, Restate Incentive Expense (Electric 2.16, Gas 2.14).xlsx"
</t>
        </r>
        <r>
          <rPr>
            <b/>
            <sz val="9"/>
            <color indexed="81"/>
            <rFont val="Tahoma"/>
            <family val="2"/>
          </rPr>
          <t>Tab (Worksheet):</t>
        </r>
        <r>
          <rPr>
            <sz val="9"/>
            <color indexed="81"/>
            <rFont val="Tahoma"/>
            <family val="2"/>
          </rPr>
          <t xml:space="preserve"> Incentive Break-Out
</t>
        </r>
        <r>
          <rPr>
            <b/>
            <sz val="9"/>
            <color indexed="81"/>
            <rFont val="Tahoma"/>
            <family val="2"/>
          </rPr>
          <t xml:space="preserve">Cell: </t>
        </r>
        <r>
          <rPr>
            <sz val="9"/>
            <color indexed="81"/>
            <rFont val="Tahoma"/>
            <family val="2"/>
          </rPr>
          <t>H49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File:</t>
        </r>
        <r>
          <rPr>
            <sz val="9"/>
            <color indexed="81"/>
            <rFont val="Tahoma"/>
            <family val="2"/>
          </rPr>
          <t xml:space="preserve"> "Exhibit No. MC-2, Restate Incentive Expense (Electric 2.16, Gas 2.14).xlsx"
</t>
        </r>
        <r>
          <rPr>
            <b/>
            <sz val="9"/>
            <color indexed="81"/>
            <rFont val="Tahoma"/>
            <family val="2"/>
          </rPr>
          <t>Tab (Worksheet):</t>
        </r>
        <r>
          <rPr>
            <sz val="9"/>
            <color indexed="81"/>
            <rFont val="Tahoma"/>
            <family val="2"/>
          </rPr>
          <t xml:space="preserve"> Incentive Break-Out
</t>
        </r>
        <r>
          <rPr>
            <b/>
            <sz val="9"/>
            <color indexed="81"/>
            <rFont val="Tahoma"/>
            <family val="2"/>
          </rPr>
          <t>Cell:</t>
        </r>
        <r>
          <rPr>
            <sz val="9"/>
            <color indexed="81"/>
            <rFont val="Tahoma"/>
            <family val="2"/>
          </rPr>
          <t xml:space="preserve"> H50</t>
        </r>
      </text>
    </comment>
  </commentList>
</comments>
</file>

<file path=xl/sharedStrings.xml><?xml version="1.0" encoding="utf-8"?>
<sst xmlns="http://schemas.openxmlformats.org/spreadsheetml/2006/main" count="388" uniqueCount="249">
  <si>
    <t>Medical and Retirement Adjustment</t>
  </si>
  <si>
    <t>Retirement</t>
  </si>
  <si>
    <t>Medical</t>
  </si>
  <si>
    <t>TOTAL</t>
  </si>
  <si>
    <t>Pro-Forma Adjustment</t>
  </si>
  <si>
    <t>12 Months Ending</t>
  </si>
  <si>
    <t>Total Adjustment</t>
  </si>
  <si>
    <t>O &amp; M Allocation Percent</t>
  </si>
  <si>
    <t xml:space="preserve">   Net O &amp; M increase to utility</t>
  </si>
  <si>
    <t>Washington Electric Labor</t>
  </si>
  <si>
    <t>Total OPER Labor</t>
  </si>
  <si>
    <t>% of total</t>
  </si>
  <si>
    <t xml:space="preserve"> Idaho Electric Labor</t>
  </si>
  <si>
    <t>Washington Gas Labor</t>
  </si>
  <si>
    <t>Idaho Gas Labor</t>
  </si>
  <si>
    <t>Oregon Gas Labor</t>
  </si>
  <si>
    <t xml:space="preserve">AVISTA UTILITIES  </t>
  </si>
  <si>
    <t xml:space="preserve">WASHINGTON ELECTRIC RESULTS - PRO FORMA </t>
  </si>
  <si>
    <t>PRO FORMA ADJUSTMENT</t>
  </si>
  <si>
    <t>TWELVE MONTHS ENDED SEPTEMBER 30, 2015</t>
  </si>
  <si>
    <t xml:space="preserve">(000'S OF DOLLARS)  </t>
  </si>
  <si>
    <t xml:space="preserve">Pro Forma </t>
  </si>
  <si>
    <t>Line</t>
  </si>
  <si>
    <t xml:space="preserve">Employee </t>
  </si>
  <si>
    <t>No.</t>
  </si>
  <si>
    <t>DESCRIPTION</t>
  </si>
  <si>
    <t>Benefits</t>
  </si>
  <si>
    <t xml:space="preserve">Pro Forma Adjustment Number 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</si>
  <si>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</si>
  <si>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</si>
  <si>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</si>
  <si>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</si>
  <si>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</si>
  <si>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</si>
  <si>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</si>
  <si>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</si>
  <si>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</si>
  <si>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</si>
  <si>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</si>
  <si>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</si>
  <si>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</si>
  <si>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</si>
  <si>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</si>
  <si>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</si>
  <si>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</si>
  <si>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</si>
  <si>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</si>
  <si>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</si>
  <si>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</si>
  <si>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</si>
  <si>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</si>
  <si>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</si>
  <si>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</si>
  <si>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</si>
  <si>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</si>
  <si>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</si>
  <si>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</si>
  <si>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</si>
  <si>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</si>
  <si>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</si>
  <si>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</si>
  <si>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</si>
  <si>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</si>
  <si>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</si>
  <si>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</si>
  <si>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</si>
  <si>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</si>
  <si>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</si>
  <si>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</si>
  <si>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</si>
  <si>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</si>
  <si>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</si>
  <si>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</si>
  <si>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</si>
  <si>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 xml:space="preserve">RATE OF RETURN  </t>
  </si>
  <si>
    <t xml:space="preserve">REVENUE REQUIREMENT </t>
  </si>
  <si>
    <t>AVISTA UTILITIES</t>
  </si>
  <si>
    <t>WASHINGTON GAS RESULTS - PRO FORMA STUDY</t>
  </si>
  <si>
    <t xml:space="preserve">(000'S OF DOLLARS)   </t>
  </si>
  <si>
    <t>Pro Forma</t>
  </si>
  <si>
    <t>Employee</t>
  </si>
  <si>
    <t>Pro Forma Adjustment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</si>
  <si>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</si>
  <si>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</si>
  <si>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</si>
  <si>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</si>
  <si>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</si>
  <si>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</si>
  <si>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</si>
  <si>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</si>
  <si>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</si>
  <si>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</si>
  <si>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</si>
  <si>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</si>
  <si>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</si>
  <si>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</si>
  <si>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</si>
  <si>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</si>
  <si>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</si>
  <si>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</si>
  <si>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</si>
  <si>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</si>
  <si>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</si>
  <si>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</si>
  <si>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</si>
  <si>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</si>
  <si>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</si>
  <si>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</si>
  <si>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</si>
  <si>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</si>
  <si>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</si>
  <si>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</si>
  <si>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</si>
  <si>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</si>
  <si>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</si>
  <si>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</si>
  <si>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</si>
  <si>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</si>
  <si>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</si>
  <si>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</si>
  <si>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</si>
  <si>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</si>
  <si>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</si>
  <si>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</si>
  <si>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RATE OF RETURN</t>
  </si>
  <si>
    <t>REVENUE REQUIREMENT</t>
  </si>
  <si>
    <t>Summary</t>
  </si>
  <si>
    <t>Pro Forma Adjustment 3.04</t>
  </si>
  <si>
    <t>Staff Adjustment</t>
  </si>
  <si>
    <t>Retirement Pro Forma</t>
  </si>
  <si>
    <t>Medical Pro Forma</t>
  </si>
  <si>
    <t>Total Increase</t>
  </si>
  <si>
    <t>Total</t>
  </si>
  <si>
    <t>Avista</t>
  </si>
  <si>
    <r>
      <t>Alloc</t>
    </r>
    <r>
      <rPr>
        <b/>
        <vertAlign val="superscript"/>
        <sz val="10"/>
        <rFont val="Times New Roman"/>
        <family val="1"/>
      </rPr>
      <t>1</t>
    </r>
  </si>
  <si>
    <t>Washington Electric</t>
  </si>
  <si>
    <t>%</t>
  </si>
  <si>
    <t>Benefit</t>
  </si>
  <si>
    <t xml:space="preserve">Initial </t>
  </si>
  <si>
    <t>Correction</t>
  </si>
  <si>
    <t>Staff</t>
  </si>
  <si>
    <t>Diff</t>
  </si>
  <si>
    <t>Initial</t>
  </si>
  <si>
    <t>(A)</t>
  </si>
  <si>
    <t>(B)</t>
  </si>
  <si>
    <t>(B-A)</t>
  </si>
  <si>
    <t>Total Transmission</t>
  </si>
  <si>
    <t>Total Production and Transmission</t>
  </si>
  <si>
    <t>Customer Accounts</t>
  </si>
  <si>
    <t>Cust Service &amp; Info</t>
  </si>
  <si>
    <t xml:space="preserve">Admin and General - Proforma </t>
  </si>
  <si>
    <t>Increase between Staff and Company's Initial Case</t>
  </si>
  <si>
    <t>(C)</t>
  </si>
  <si>
    <t>(D)</t>
  </si>
  <si>
    <t>(E)</t>
  </si>
  <si>
    <t>(C-E)</t>
  </si>
  <si>
    <t>(D-F)</t>
  </si>
  <si>
    <t>Total WA Electric Expense</t>
  </si>
  <si>
    <t>check</t>
  </si>
  <si>
    <t>Based on Labor and Wage adjustment -</t>
  </si>
  <si>
    <t>File: "1) (WA 2016) FLB Forecast Labor Non-Executive.xlsx"</t>
  </si>
  <si>
    <t>Tab (Worksheet): "Adjustment"</t>
  </si>
  <si>
    <t>Pro Forma Adjustment 3.02</t>
  </si>
  <si>
    <t>Washington Gas</t>
  </si>
  <si>
    <t>customer Accounts</t>
  </si>
  <si>
    <t>Admin&amp; General - Pro-Forma</t>
  </si>
  <si>
    <t>(F)</t>
  </si>
  <si>
    <t>Total WA Gas Expense</t>
  </si>
  <si>
    <t>Based on Labor and Wage adjustment</t>
  </si>
  <si>
    <t>Year End</t>
  </si>
  <si>
    <t>Actual SUM</t>
  </si>
  <si>
    <t>Test Period</t>
  </si>
  <si>
    <t>YE 12.31.2015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</si>
  <si>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</si>
  <si>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</si>
  <si>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</si>
  <si>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</si>
  <si>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</si>
  <si>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</si>
  <si>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</si>
  <si>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</si>
  <si>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</si>
  <si>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</si>
  <si>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</si>
  <si>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</si>
  <si>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Project Number</t>
  </si>
  <si>
    <t>Task Number</t>
  </si>
  <si>
    <t>Task Name</t>
  </si>
  <si>
    <t>09802910</t>
  </si>
  <si>
    <t>925200</t>
  </si>
  <si>
    <t>Inj and Damages PB</t>
  </si>
  <si>
    <t>926220</t>
  </si>
  <si>
    <t>Health Insurance (Group Health)</t>
  </si>
  <si>
    <t>(1)</t>
  </si>
  <si>
    <t>09902910</t>
  </si>
  <si>
    <t>926210</t>
  </si>
  <si>
    <t>Employee Assistance</t>
  </si>
  <si>
    <t>926215</t>
  </si>
  <si>
    <t>Life/Other Insurance</t>
  </si>
  <si>
    <t>Health Insurance (Premera)</t>
  </si>
  <si>
    <t>926225</t>
  </si>
  <si>
    <t>401 (k)</t>
  </si>
  <si>
    <t>(2)</t>
  </si>
  <si>
    <t>926226</t>
  </si>
  <si>
    <t>401(K) Non-Elect Con</t>
  </si>
  <si>
    <t>926230</t>
  </si>
  <si>
    <t>Pension FAS 87</t>
  </si>
  <si>
    <t>926235</t>
  </si>
  <si>
    <t>Deferred Comp</t>
  </si>
  <si>
    <t>926240</t>
  </si>
  <si>
    <t xml:space="preserve">FAS 106 (Post-Retirement Medical) </t>
  </si>
  <si>
    <t>926245</t>
  </si>
  <si>
    <t>HRA Benefit</t>
  </si>
  <si>
    <t>09905867</t>
  </si>
  <si>
    <t>926250</t>
  </si>
  <si>
    <t>Cafeteria Contract</t>
  </si>
  <si>
    <t>Pension/401K</t>
  </si>
  <si>
    <t>Accounting Period BETWEEN '201410' AND '201509', , Expenditure Type Parameter 1 : '510 Payroll Benefits loading'</t>
  </si>
  <si>
    <t>Accounting Period:&lt;All&gt;</t>
  </si>
  <si>
    <t>Transaction Amount</t>
  </si>
  <si>
    <t>Expenditure Type</t>
  </si>
  <si>
    <t>Desc</t>
  </si>
  <si>
    <t>CAP</t>
  </si>
  <si>
    <t>NONOP</t>
  </si>
  <si>
    <t>OPER</t>
  </si>
  <si>
    <t>510 Payroll Benefits loading</t>
  </si>
  <si>
    <t>Projects</t>
  </si>
  <si>
    <t>Percent</t>
  </si>
  <si>
    <t>Accounting Period BETWEEN '201501' AND '201512', , Expenditure Type Parameter 1 : '510 Payroll Benefits loading'</t>
  </si>
  <si>
    <t>YEAR END REVISION</t>
  </si>
  <si>
    <t>ORIGINAL FILING</t>
  </si>
  <si>
    <t>Test period</t>
  </si>
  <si>
    <t>12 Months Ended</t>
  </si>
  <si>
    <t>09.30.2015</t>
  </si>
  <si>
    <t>12 Months Ended 12.31.2015</t>
  </si>
  <si>
    <t>12 Months Ended 09.30.2015</t>
  </si>
  <si>
    <t>Change</t>
  </si>
  <si>
    <t>STAFF ADJUSTMENT</t>
  </si>
  <si>
    <t>STAFF</t>
  </si>
  <si>
    <t>Pro Forma Adjustment</t>
  </si>
  <si>
    <t>SubTotal - Pension, 401K, Post-Retirement Medical, Medical</t>
  </si>
  <si>
    <t>Total Customer</t>
  </si>
  <si>
    <t>O&amp;M Increase</t>
  </si>
  <si>
    <t>O&amp;M Allocation Percentage</t>
  </si>
  <si>
    <t>CK</t>
  </si>
  <si>
    <t>WA Electric Increase</t>
  </si>
  <si>
    <t>WA Gas Increase</t>
  </si>
  <si>
    <t>WA Electric Labor Percent</t>
  </si>
  <si>
    <t>WA Gas Labor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</si>
</sst>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000"/>
    <numFmt numFmtId="167" formatCode="_(* #,##0_);_(* \(#,##0\);_(* &quot;-&quot;??_);_(@_)"/>
    <numFmt numFmtId="168" formatCode="###,###,##0"/>
    <numFmt numFmtId="169" formatCode="#,###,###,###"/>
    <numFmt numFmtId="170" formatCode="0.000%"/>
  </numFmts>
  <fonts count="3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rgb="FF3333FF"/>
      <name val="Times New Roman"/>
      <family val="1"/>
    </font>
    <font>
      <b/>
      <sz val="10"/>
      <color rgb="FF3333FF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Geneva"/>
      <family val="2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Geneva"/>
    </font>
    <font>
      <sz val="10"/>
      <color indexed="12"/>
      <name val="Times New Roman"/>
      <family val="1"/>
    </font>
    <font>
      <sz val="11"/>
      <name val="Calibri"/>
      <family val="2"/>
      <scheme val="minor"/>
    </font>
    <font>
      <b/>
      <sz val="10"/>
      <color indexed="12"/>
      <name val="Times New Roman"/>
      <family val="1"/>
    </font>
    <font>
      <b/>
      <vertAlign val="superscript"/>
      <sz val="10"/>
      <name val="Times New Roman"/>
      <family val="1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Times New Roman"/>
      <family val="1"/>
    </font>
    <font>
      <vertAlign val="superscript"/>
      <sz val="10"/>
      <name val="Times New Roman"/>
      <family val="1"/>
    </font>
    <font>
      <sz val="10"/>
      <name val="Calibri"/>
      <family val="2"/>
      <scheme val="minor"/>
    </font>
    <font>
      <sz val="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ahoma"/>
      <family val="2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indexed="8"/>
      <name val="Calibri"/>
      <family val="2"/>
      <scheme val="minor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/>
      <diagonal/>
    </border>
    <border>
      <left style="double">
        <color rgb="FF7030A0"/>
      </left>
      <right style="double">
        <color rgb="FF7030A0"/>
      </right>
      <top/>
      <bottom/>
      <diagonal/>
    </border>
    <border>
      <left style="double">
        <color rgb="FF7030A0"/>
      </left>
      <right style="double">
        <color rgb="FF7030A0"/>
      </right>
      <top/>
      <bottom style="double">
        <color rgb="FF7030A0"/>
      </bottom>
      <diagonal/>
    </border>
    <border>
      <left style="double">
        <color rgb="FF7030A0"/>
      </left>
      <right style="double">
        <color rgb="FF7030A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5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43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" fillId="0" borderId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0" xfId="3" applyFon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/>
    <xf numFmtId="0" fontId="6" fillId="0" borderId="0" xfId="3" applyFont="1"/>
    <xf numFmtId="164" fontId="3" fillId="0" borderId="0" xfId="3" applyNumberFormat="1" applyFont="1"/>
    <xf numFmtId="164" fontId="3" fillId="0" borderId="0" xfId="3" applyNumberFormat="1" applyFont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0" borderId="0" xfId="3" applyFont="1" applyFill="1"/>
    <xf numFmtId="165" fontId="3" fillId="0" borderId="0" xfId="1" applyNumberFormat="1" applyFont="1" applyFill="1" applyBorder="1"/>
    <xf numFmtId="14" fontId="7" fillId="0" borderId="0" xfId="3" applyNumberFormat="1" applyFont="1"/>
    <xf numFmtId="14" fontId="8" fillId="0" borderId="0" xfId="3" applyNumberFormat="1" applyFont="1"/>
    <xf numFmtId="165" fontId="3" fillId="0" borderId="1" xfId="1" applyNumberFormat="1" applyFont="1" applyFill="1" applyBorder="1"/>
    <xf numFmtId="0" fontId="3" fillId="0" borderId="0" xfId="3" applyNumberFormat="1" applyFont="1" applyAlignment="1">
      <alignment horizontal="center"/>
    </xf>
    <xf numFmtId="164" fontId="3" fillId="0" borderId="0" xfId="3" applyNumberFormat="1" applyFont="1" applyFill="1"/>
    <xf numFmtId="10" fontId="3" fillId="0" borderId="1" xfId="3" applyNumberFormat="1" applyFont="1" applyFill="1" applyBorder="1"/>
    <xf numFmtId="0" fontId="3" fillId="0" borderId="0" xfId="3" applyFont="1" applyBorder="1"/>
    <xf numFmtId="0" fontId="3" fillId="0" borderId="0" xfId="3" applyFont="1" applyBorder="1" applyAlignment="1">
      <alignment horizontal="center"/>
    </xf>
    <xf numFmtId="0" fontId="9" fillId="0" borderId="0" xfId="3" applyFont="1" applyBorder="1"/>
    <xf numFmtId="0" fontId="10" fillId="0" borderId="0" xfId="3" applyFont="1"/>
    <xf numFmtId="44" fontId="7" fillId="0" borderId="0" xfId="1" applyFont="1" applyFill="1"/>
    <xf numFmtId="0" fontId="11" fillId="0" borderId="0" xfId="3" applyFont="1" applyFill="1"/>
    <xf numFmtId="0" fontId="12" fillId="0" borderId="0" xfId="3" applyFont="1"/>
    <xf numFmtId="44" fontId="3" fillId="0" borderId="0" xfId="1" applyFont="1" applyFill="1"/>
    <xf numFmtId="44" fontId="3" fillId="0" borderId="0" xfId="3" applyNumberFormat="1" applyFont="1" applyFill="1" applyBorder="1"/>
    <xf numFmtId="0" fontId="3" fillId="0" borderId="0" xfId="3" applyFont="1" applyFill="1" applyBorder="1"/>
    <xf numFmtId="10" fontId="3" fillId="0" borderId="1" xfId="2" applyNumberFormat="1" applyFont="1" applyFill="1" applyBorder="1"/>
    <xf numFmtId="164" fontId="3" fillId="2" borderId="2" xfId="3" applyNumberFormat="1" applyFont="1" applyFill="1" applyBorder="1"/>
    <xf numFmtId="164" fontId="3" fillId="2" borderId="3" xfId="3" applyNumberFormat="1" applyFont="1" applyFill="1" applyBorder="1"/>
    <xf numFmtId="164" fontId="3" fillId="2" borderId="4" xfId="3" applyNumberFormat="1" applyFont="1" applyFill="1" applyBorder="1"/>
    <xf numFmtId="164" fontId="3" fillId="0" borderId="0" xfId="3" applyNumberFormat="1" applyFont="1" applyFill="1" applyBorder="1"/>
    <xf numFmtId="164" fontId="3" fillId="0" borderId="5" xfId="3" applyNumberFormat="1" applyFont="1" applyFill="1" applyBorder="1"/>
    <xf numFmtId="10" fontId="3" fillId="0" borderId="0" xfId="3" applyNumberFormat="1" applyFont="1" applyFill="1" applyAlignment="1">
      <alignment horizontal="right"/>
    </xf>
    <xf numFmtId="164" fontId="3" fillId="3" borderId="0" xfId="3" applyNumberFormat="1" applyFont="1" applyFill="1"/>
    <xf numFmtId="10" fontId="3" fillId="0" borderId="0" xfId="2" applyNumberFormat="1" applyFont="1"/>
    <xf numFmtId="44" fontId="3" fillId="0" borderId="0" xfId="3" applyNumberFormat="1" applyFont="1"/>
    <xf numFmtId="44" fontId="0" fillId="0" borderId="0" xfId="0" applyNumberFormat="1"/>
    <xf numFmtId="166" fontId="0" fillId="0" borderId="0" xfId="0" applyNumberFormat="1"/>
    <xf numFmtId="0" fontId="12" fillId="0" borderId="0" xfId="4" applyNumberFormat="1" applyFont="1" applyAlignment="1">
      <alignment horizontal="left"/>
    </xf>
    <xf numFmtId="0" fontId="12" fillId="0" borderId="0" xfId="4" applyFont="1"/>
    <xf numFmtId="0" fontId="12" fillId="0" borderId="0" xfId="4" applyNumberFormat="1" applyFont="1" applyAlignment="1">
      <alignment horizontal="center"/>
    </xf>
    <xf numFmtId="41" fontId="12" fillId="0" borderId="0" xfId="4" applyNumberFormat="1" applyFont="1"/>
    <xf numFmtId="41" fontId="16" fillId="0" borderId="0" xfId="4" applyNumberFormat="1" applyFont="1" applyFill="1" applyAlignment="1">
      <alignment horizontal="center"/>
    </xf>
    <xf numFmtId="3" fontId="16" fillId="0" borderId="0" xfId="5" applyNumberFormat="1" applyFont="1" applyAlignment="1">
      <alignment horizontal="center"/>
    </xf>
    <xf numFmtId="0" fontId="16" fillId="0" borderId="0" xfId="4" applyFont="1" applyAlignment="1">
      <alignment horizontal="center"/>
    </xf>
    <xf numFmtId="0" fontId="16" fillId="0" borderId="0" xfId="4" applyNumberFormat="1" applyFont="1" applyAlignment="1">
      <alignment horizontal="center"/>
    </xf>
    <xf numFmtId="41" fontId="12" fillId="0" borderId="0" xfId="5" applyNumberFormat="1" applyFont="1" applyAlignment="1">
      <alignment horizontal="center"/>
    </xf>
    <xf numFmtId="0" fontId="16" fillId="0" borderId="6" xfId="4" applyNumberFormat="1" applyFont="1" applyBorder="1" applyAlignment="1">
      <alignment horizontal="center"/>
    </xf>
    <xf numFmtId="0" fontId="16" fillId="0" borderId="7" xfId="4" applyFont="1" applyBorder="1" applyAlignment="1">
      <alignment horizontal="center"/>
    </xf>
    <xf numFmtId="0" fontId="16" fillId="0" borderId="8" xfId="4" applyFont="1" applyBorder="1" applyAlignment="1">
      <alignment horizontal="center"/>
    </xf>
    <xf numFmtId="41" fontId="16" fillId="0" borderId="6" xfId="4" applyNumberFormat="1" applyFont="1" applyFill="1" applyBorder="1" applyAlignment="1">
      <alignment horizontal="center"/>
    </xf>
    <xf numFmtId="0" fontId="16" fillId="0" borderId="9" xfId="4" applyNumberFormat="1" applyFont="1" applyBorder="1" applyAlignment="1">
      <alignment horizontal="center"/>
    </xf>
    <xf numFmtId="0" fontId="16" fillId="0" borderId="10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41" fontId="16" fillId="0" borderId="9" xfId="4" applyNumberFormat="1" applyFont="1" applyFill="1" applyBorder="1" applyAlignment="1">
      <alignment horizontal="center"/>
    </xf>
    <xf numFmtId="0" fontId="16" fillId="0" borderId="11" xfId="4" applyNumberFormat="1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41" fontId="16" fillId="0" borderId="11" xfId="4" applyNumberFormat="1" applyFont="1" applyFill="1" applyBorder="1" applyAlignment="1">
      <alignment horizontal="center"/>
    </xf>
    <xf numFmtId="2" fontId="16" fillId="0" borderId="0" xfId="4" applyNumberFormat="1" applyFont="1" applyAlignment="1">
      <alignment horizontal="center"/>
    </xf>
    <xf numFmtId="2" fontId="12" fillId="0" borderId="0" xfId="4" applyNumberFormat="1" applyFont="1" applyAlignment="1">
      <alignment horizontal="left"/>
    </xf>
    <xf numFmtId="2" fontId="16" fillId="0" borderId="0" xfId="6" applyNumberFormat="1" applyFont="1" applyFill="1" applyAlignment="1" applyProtection="1">
      <alignment horizontal="center"/>
    </xf>
    <xf numFmtId="2" fontId="16" fillId="0" borderId="0" xfId="6" applyNumberFormat="1" applyFont="1" applyAlignment="1" applyProtection="1">
      <alignment horizontal="center"/>
    </xf>
    <xf numFmtId="37" fontId="12" fillId="0" borderId="0" xfId="4" applyNumberFormat="1" applyFont="1" applyAlignment="1">
      <alignment horizontal="center"/>
    </xf>
    <xf numFmtId="5" fontId="12" fillId="0" borderId="0" xfId="4" applyNumberFormat="1" applyFont="1"/>
    <xf numFmtId="42" fontId="12" fillId="0" borderId="0" xfId="7" applyNumberFormat="1" applyFont="1" applyFill="1"/>
    <xf numFmtId="37" fontId="12" fillId="0" borderId="0" xfId="4" applyNumberFormat="1" applyFont="1"/>
    <xf numFmtId="41" fontId="12" fillId="0" borderId="1" xfId="4" applyNumberFormat="1" applyFont="1" applyBorder="1"/>
    <xf numFmtId="37" fontId="12" fillId="0" borderId="0" xfId="4" applyNumberFormat="1" applyFont="1" applyFill="1"/>
    <xf numFmtId="41" fontId="12" fillId="0" borderId="0" xfId="4" applyNumberFormat="1" applyFont="1" applyFill="1"/>
    <xf numFmtId="37" fontId="12" fillId="0" borderId="0" xfId="4" applyNumberFormat="1" applyFont="1" applyFill="1" applyAlignment="1">
      <alignment horizontal="center"/>
    </xf>
    <xf numFmtId="1" fontId="12" fillId="0" borderId="0" xfId="8" applyNumberFormat="1" applyFont="1" applyAlignment="1">
      <alignment horizontal="center"/>
    </xf>
    <xf numFmtId="9" fontId="12" fillId="0" borderId="0" xfId="9" applyFont="1"/>
    <xf numFmtId="3" fontId="12" fillId="0" borderId="0" xfId="8" applyNumberFormat="1" applyFont="1" applyAlignment="1">
      <alignment horizontal="center"/>
    </xf>
    <xf numFmtId="41" fontId="12" fillId="0" borderId="5" xfId="4" applyNumberFormat="1" applyFont="1" applyBorder="1"/>
    <xf numFmtId="3" fontId="12" fillId="0" borderId="0" xfId="8" applyNumberFormat="1" applyFont="1" applyFill="1" applyAlignment="1">
      <alignment horizontal="center"/>
    </xf>
    <xf numFmtId="41" fontId="12" fillId="0" borderId="8" xfId="4" applyNumberFormat="1" applyFont="1" applyFill="1" applyBorder="1"/>
    <xf numFmtId="41" fontId="12" fillId="0" borderId="0" xfId="4" applyNumberFormat="1" applyFont="1" applyFill="1" applyBorder="1"/>
    <xf numFmtId="41" fontId="12" fillId="0" borderId="0" xfId="9" applyNumberFormat="1" applyFont="1" applyFill="1"/>
    <xf numFmtId="0" fontId="12" fillId="0" borderId="0" xfId="4" applyFont="1" applyAlignment="1">
      <alignment vertical="top"/>
    </xf>
    <xf numFmtId="0" fontId="12" fillId="0" borderId="0" xfId="10" applyNumberFormat="1" applyFont="1" applyAlignment="1">
      <alignment horizontal="left"/>
    </xf>
    <xf numFmtId="0" fontId="12" fillId="0" borderId="0" xfId="10" applyFont="1"/>
    <xf numFmtId="0" fontId="3" fillId="0" borderId="0" xfId="11" applyFont="1"/>
    <xf numFmtId="0" fontId="12" fillId="0" borderId="0" xfId="10" applyNumberFormat="1" applyFont="1" applyAlignment="1">
      <alignment horizontal="center"/>
    </xf>
    <xf numFmtId="41" fontId="12" fillId="0" borderId="0" xfId="12" applyNumberFormat="1" applyFont="1" applyFill="1" applyAlignment="1">
      <alignment horizontal="center"/>
    </xf>
    <xf numFmtId="0" fontId="12" fillId="0" borderId="0" xfId="10" applyFont="1" applyAlignment="1">
      <alignment horizontal="center"/>
    </xf>
    <xf numFmtId="3" fontId="16" fillId="0" borderId="0" xfId="10" applyNumberFormat="1" applyFont="1"/>
    <xf numFmtId="0" fontId="16" fillId="0" borderId="0" xfId="10" applyNumberFormat="1" applyFont="1" applyAlignment="1">
      <alignment horizontal="center"/>
    </xf>
    <xf numFmtId="0" fontId="16" fillId="0" borderId="0" xfId="10" applyFont="1" applyAlignment="1">
      <alignment horizontal="center"/>
    </xf>
    <xf numFmtId="3" fontId="5" fillId="0" borderId="0" xfId="11" applyNumberFormat="1" applyFont="1" applyFill="1" applyAlignment="1">
      <alignment horizontal="center"/>
    </xf>
    <xf numFmtId="3" fontId="16" fillId="0" borderId="0" xfId="10" applyNumberFormat="1" applyFont="1" applyFill="1" applyAlignment="1">
      <alignment horizontal="center"/>
    </xf>
    <xf numFmtId="0" fontId="16" fillId="0" borderId="0" xfId="10" applyFont="1" applyFill="1" applyAlignment="1">
      <alignment horizontal="center"/>
    </xf>
    <xf numFmtId="0" fontId="16" fillId="0" borderId="6" xfId="10" applyNumberFormat="1" applyFont="1" applyBorder="1" applyAlignment="1">
      <alignment horizontal="center"/>
    </xf>
    <xf numFmtId="0" fontId="16" fillId="0" borderId="7" xfId="10" applyFont="1" applyBorder="1" applyAlignment="1">
      <alignment horizontal="center"/>
    </xf>
    <xf numFmtId="0" fontId="16" fillId="0" borderId="8" xfId="10" applyFont="1" applyBorder="1" applyAlignment="1">
      <alignment horizontal="center"/>
    </xf>
    <xf numFmtId="0" fontId="12" fillId="0" borderId="13" xfId="10" applyFont="1" applyBorder="1"/>
    <xf numFmtId="3" fontId="16" fillId="0" borderId="6" xfId="10" applyNumberFormat="1" applyFont="1" applyBorder="1" applyAlignment="1">
      <alignment horizontal="center"/>
    </xf>
    <xf numFmtId="0" fontId="16" fillId="0" borderId="9" xfId="10" applyNumberFormat="1" applyFont="1" applyBorder="1" applyAlignment="1">
      <alignment horizontal="center"/>
    </xf>
    <xf numFmtId="0" fontId="16" fillId="0" borderId="10" xfId="10" applyFont="1" applyBorder="1" applyAlignment="1">
      <alignment horizontal="center"/>
    </xf>
    <xf numFmtId="0" fontId="16" fillId="0" borderId="0" xfId="10" applyFont="1" applyBorder="1" applyAlignment="1">
      <alignment horizontal="center"/>
    </xf>
    <xf numFmtId="0" fontId="12" fillId="0" borderId="14" xfId="10" applyFont="1" applyBorder="1"/>
    <xf numFmtId="3" fontId="16" fillId="0" borderId="9" xfId="12" applyNumberFormat="1" applyFont="1" applyBorder="1" applyAlignment="1">
      <alignment horizontal="center"/>
    </xf>
    <xf numFmtId="0" fontId="16" fillId="0" borderId="11" xfId="10" applyNumberFormat="1" applyFont="1" applyBorder="1" applyAlignment="1">
      <alignment horizontal="center"/>
    </xf>
    <xf numFmtId="0" fontId="16" fillId="0" borderId="12" xfId="10" applyFont="1" applyBorder="1" applyAlignment="1">
      <alignment horizontal="center"/>
    </xf>
    <xf numFmtId="0" fontId="16" fillId="0" borderId="1" xfId="10" applyFont="1" applyBorder="1" applyAlignment="1">
      <alignment horizontal="center"/>
    </xf>
    <xf numFmtId="0" fontId="16" fillId="0" borderId="15" xfId="10" applyFont="1" applyBorder="1" applyAlignment="1">
      <alignment horizontal="center"/>
    </xf>
    <xf numFmtId="3" fontId="16" fillId="0" borderId="11" xfId="12" applyNumberFormat="1" applyFont="1" applyBorder="1" applyAlignment="1">
      <alignment horizontal="center"/>
    </xf>
    <xf numFmtId="0" fontId="12" fillId="0" borderId="0" xfId="10" applyFont="1" applyAlignment="1">
      <alignment horizontal="left"/>
    </xf>
    <xf numFmtId="4" fontId="16" fillId="0" borderId="0" xfId="10" applyNumberFormat="1" applyFont="1" applyFill="1" applyBorder="1" applyAlignment="1">
      <alignment horizontal="center"/>
    </xf>
    <xf numFmtId="3" fontId="16" fillId="0" borderId="0" xfId="10" applyNumberFormat="1" applyFont="1" applyAlignment="1">
      <alignment horizontal="center"/>
    </xf>
    <xf numFmtId="3" fontId="12" fillId="0" borderId="0" xfId="10" applyNumberFormat="1" applyFont="1"/>
    <xf numFmtId="5" fontId="12" fillId="0" borderId="0" xfId="10" applyNumberFormat="1" applyFont="1"/>
    <xf numFmtId="37" fontId="12" fillId="0" borderId="0" xfId="10" applyNumberFormat="1" applyFont="1"/>
    <xf numFmtId="41" fontId="12" fillId="0" borderId="0" xfId="7" applyNumberFormat="1" applyFont="1" applyFill="1"/>
    <xf numFmtId="41" fontId="12" fillId="0" borderId="1" xfId="7" applyNumberFormat="1" applyFont="1" applyFill="1" applyBorder="1"/>
    <xf numFmtId="41" fontId="12" fillId="0" borderId="0" xfId="10" applyNumberFormat="1" applyFont="1"/>
    <xf numFmtId="41" fontId="12" fillId="0" borderId="0" xfId="10" applyNumberFormat="1" applyFont="1" applyFill="1"/>
    <xf numFmtId="0" fontId="12" fillId="0" borderId="0" xfId="11" applyFont="1"/>
    <xf numFmtId="41" fontId="12" fillId="0" borderId="1" xfId="10" applyNumberFormat="1" applyFont="1" applyBorder="1"/>
    <xf numFmtId="42" fontId="12" fillId="0" borderId="5" xfId="10" applyNumberFormat="1" applyFont="1" applyBorder="1"/>
    <xf numFmtId="41" fontId="16" fillId="0" borderId="0" xfId="10" applyNumberFormat="1" applyFont="1"/>
    <xf numFmtId="41" fontId="16" fillId="0" borderId="0" xfId="7" applyNumberFormat="1" applyFont="1" applyFill="1"/>
    <xf numFmtId="42" fontId="16" fillId="0" borderId="0" xfId="7" applyNumberFormat="1" applyFont="1" applyFill="1"/>
    <xf numFmtId="41" fontId="16" fillId="0" borderId="1" xfId="7" applyNumberFormat="1" applyFont="1" applyFill="1" applyBorder="1"/>
    <xf numFmtId="0" fontId="12" fillId="0" borderId="0" xfId="10" applyFont="1" applyBorder="1"/>
    <xf numFmtId="41" fontId="12" fillId="0" borderId="16" xfId="10" applyNumberFormat="1" applyFont="1" applyBorder="1"/>
    <xf numFmtId="41" fontId="12" fillId="0" borderId="0" xfId="10" applyNumberFormat="1" applyFont="1" applyBorder="1"/>
    <xf numFmtId="0" fontId="12" fillId="0" borderId="0" xfId="10" applyNumberFormat="1" applyFont="1" applyBorder="1" applyAlignment="1">
      <alignment horizontal="center"/>
    </xf>
    <xf numFmtId="37" fontId="12" fillId="0" borderId="0" xfId="10" applyNumberFormat="1" applyFont="1" applyBorder="1"/>
    <xf numFmtId="41" fontId="12" fillId="0" borderId="0" xfId="7" applyNumberFormat="1" applyFont="1" applyFill="1" applyBorder="1"/>
    <xf numFmtId="5" fontId="16" fillId="0" borderId="0" xfId="10" applyNumberFormat="1" applyFont="1"/>
    <xf numFmtId="42" fontId="16" fillId="0" borderId="5" xfId="10" applyNumberFormat="1" applyFont="1" applyBorder="1"/>
    <xf numFmtId="167" fontId="16" fillId="0" borderId="0" xfId="13" applyNumberFormat="1" applyFont="1"/>
    <xf numFmtId="0" fontId="12" fillId="0" borderId="0" xfId="10" applyNumberFormat="1" applyFont="1" applyFill="1" applyAlignment="1">
      <alignment horizontal="left"/>
    </xf>
    <xf numFmtId="0" fontId="12" fillId="0" borderId="0" xfId="10" applyFont="1" applyFill="1"/>
    <xf numFmtId="0" fontId="12" fillId="0" borderId="0" xfId="12" applyFont="1" applyFill="1"/>
    <xf numFmtId="3" fontId="12" fillId="0" borderId="0" xfId="12" applyNumberFormat="1" applyFont="1" applyFill="1"/>
    <xf numFmtId="0" fontId="12" fillId="0" borderId="0" xfId="10" applyNumberFormat="1" applyFont="1" applyFill="1" applyAlignment="1">
      <alignment horizontal="center"/>
    </xf>
    <xf numFmtId="0" fontId="12" fillId="0" borderId="0" xfId="10" applyNumberFormat="1" applyFont="1" applyFill="1" applyBorder="1" applyAlignment="1">
      <alignment horizontal="center"/>
    </xf>
    <xf numFmtId="0" fontId="12" fillId="0" borderId="0" xfId="10" applyFont="1" applyFill="1" applyBorder="1"/>
    <xf numFmtId="0" fontId="12" fillId="0" borderId="0" xfId="12" applyFont="1" applyFill="1" applyBorder="1"/>
    <xf numFmtId="3" fontId="12" fillId="0" borderId="0" xfId="12" applyNumberFormat="1" applyFont="1" applyFill="1" applyBorder="1"/>
    <xf numFmtId="0" fontId="12" fillId="0" borderId="0" xfId="12" applyFont="1" applyFill="1" applyBorder="1" applyAlignment="1">
      <alignment horizontal="right"/>
    </xf>
    <xf numFmtId="3" fontId="16" fillId="0" borderId="0" xfId="10" applyNumberFormat="1" applyFont="1" applyFill="1" applyBorder="1"/>
    <xf numFmtId="3" fontId="16" fillId="0" borderId="0" xfId="10" applyNumberFormat="1" applyFont="1" applyBorder="1"/>
    <xf numFmtId="0" fontId="5" fillId="0" borderId="0" xfId="14" applyFont="1" applyFill="1" applyAlignment="1">
      <alignment horizontal="left"/>
    </xf>
    <xf numFmtId="0" fontId="3" fillId="0" borderId="0" xfId="14" applyFont="1" applyFill="1" applyAlignment="1">
      <alignment horizontal="left"/>
    </xf>
    <xf numFmtId="0" fontId="3" fillId="0" borderId="0" xfId="14" applyFont="1" applyFill="1"/>
    <xf numFmtId="10" fontId="3" fillId="0" borderId="0" xfId="15" applyNumberFormat="1" applyFont="1" applyFill="1" applyBorder="1"/>
    <xf numFmtId="0" fontId="5" fillId="0" borderId="0" xfId="14" applyFont="1" applyFill="1"/>
    <xf numFmtId="0" fontId="3" fillId="0" borderId="0" xfId="14" applyFill="1"/>
    <xf numFmtId="0" fontId="3" fillId="0" borderId="0" xfId="14"/>
    <xf numFmtId="0" fontId="19" fillId="0" borderId="0" xfId="14" applyFont="1" applyFill="1" applyAlignment="1">
      <alignment horizontal="left"/>
    </xf>
    <xf numFmtId="165" fontId="20" fillId="0" borderId="17" xfId="14" applyNumberFormat="1" applyFont="1" applyBorder="1"/>
    <xf numFmtId="0" fontId="3" fillId="0" borderId="0" xfId="14" applyFont="1"/>
    <xf numFmtId="14" fontId="3" fillId="0" borderId="0" xfId="14" applyNumberFormat="1"/>
    <xf numFmtId="10" fontId="21" fillId="0" borderId="0" xfId="15" applyNumberFormat="1" applyFont="1" applyBorder="1" applyAlignment="1">
      <alignment horizontal="center"/>
    </xf>
    <xf numFmtId="0" fontId="5" fillId="0" borderId="0" xfId="14" applyFont="1" applyFill="1" applyAlignment="1">
      <alignment horizontal="center"/>
    </xf>
    <xf numFmtId="10" fontId="5" fillId="0" borderId="0" xfId="15" applyNumberFormat="1" applyFont="1" applyBorder="1" applyAlignment="1">
      <alignment horizontal="center"/>
    </xf>
    <xf numFmtId="0" fontId="6" fillId="2" borderId="0" xfId="14" applyFont="1" applyFill="1"/>
    <xf numFmtId="0" fontId="3" fillId="2" borderId="0" xfId="14" applyFont="1" applyFill="1" applyAlignment="1">
      <alignment horizontal="left"/>
    </xf>
    <xf numFmtId="10" fontId="5" fillId="0" borderId="0" xfId="15" applyNumberFormat="1" applyFont="1" applyFill="1" applyBorder="1" applyAlignment="1">
      <alignment horizontal="center"/>
    </xf>
    <xf numFmtId="0" fontId="5" fillId="0" borderId="1" xfId="14" applyFont="1" applyFill="1" applyBorder="1" applyAlignment="1">
      <alignment horizontal="center"/>
    </xf>
    <xf numFmtId="0" fontId="5" fillId="0" borderId="0" xfId="14" applyFont="1"/>
    <xf numFmtId="10" fontId="5" fillId="0" borderId="0" xfId="15" applyNumberFormat="1" applyFont="1" applyFill="1" applyBorder="1"/>
    <xf numFmtId="0" fontId="23" fillId="0" borderId="0" xfId="14" applyFont="1" applyAlignment="1">
      <alignment horizontal="center"/>
    </xf>
    <xf numFmtId="0" fontId="24" fillId="0" borderId="0" xfId="14" applyFont="1"/>
    <xf numFmtId="10" fontId="3" fillId="0" borderId="0" xfId="15" applyNumberFormat="1" applyFont="1" applyBorder="1"/>
    <xf numFmtId="165" fontId="3" fillId="0" borderId="0" xfId="16" applyNumberFormat="1" applyFont="1"/>
    <xf numFmtId="165" fontId="3" fillId="0" borderId="8" xfId="16" applyNumberFormat="1" applyFont="1" applyBorder="1"/>
    <xf numFmtId="165" fontId="5" fillId="0" borderId="8" xfId="16" applyNumberFormat="1" applyFont="1" applyBorder="1"/>
    <xf numFmtId="165" fontId="5" fillId="0" borderId="0" xfId="16" applyNumberFormat="1" applyFont="1"/>
    <xf numFmtId="165" fontId="3" fillId="0" borderId="1" xfId="16" applyNumberFormat="1" applyFont="1" applyBorder="1"/>
    <xf numFmtId="165" fontId="5" fillId="0" borderId="1" xfId="16" applyNumberFormat="1" applyFont="1" applyBorder="1"/>
    <xf numFmtId="165" fontId="3" fillId="0" borderId="0" xfId="16" applyNumberFormat="1" applyFont="1" applyBorder="1"/>
    <xf numFmtId="165" fontId="23" fillId="0" borderId="0" xfId="17" applyNumberFormat="1" applyFont="1" applyBorder="1" applyAlignment="1">
      <alignment horizontal="center"/>
    </xf>
    <xf numFmtId="165" fontId="20" fillId="0" borderId="0" xfId="17" applyNumberFormat="1" applyFont="1"/>
    <xf numFmtId="0" fontId="20" fillId="0" borderId="0" xfId="14" applyFont="1"/>
    <xf numFmtId="165" fontId="24" fillId="0" borderId="0" xfId="17" applyNumberFormat="1" applyFont="1" applyBorder="1"/>
    <xf numFmtId="165" fontId="5" fillId="0" borderId="5" xfId="16" applyNumberFormat="1" applyFont="1" applyBorder="1"/>
    <xf numFmtId="165" fontId="5" fillId="0" borderId="5" xfId="16" applyNumberFormat="1" applyFont="1" applyFill="1" applyBorder="1"/>
    <xf numFmtId="165" fontId="20" fillId="0" borderId="0" xfId="14" applyNumberFormat="1" applyFont="1"/>
    <xf numFmtId="165" fontId="0" fillId="0" borderId="0" xfId="16" applyNumberFormat="1" applyFont="1" applyFill="1"/>
    <xf numFmtId="165" fontId="25" fillId="0" borderId="0" xfId="16" applyNumberFormat="1" applyFont="1" applyFill="1"/>
    <xf numFmtId="165" fontId="25" fillId="0" borderId="0" xfId="16" applyNumberFormat="1" applyFont="1" applyBorder="1"/>
    <xf numFmtId="0" fontId="26" fillId="0" borderId="0" xfId="14" applyFont="1" applyFill="1" applyAlignment="1">
      <alignment horizontal="left"/>
    </xf>
    <xf numFmtId="165" fontId="3" fillId="0" borderId="0" xfId="16" applyNumberFormat="1" applyFont="1" applyFill="1"/>
    <xf numFmtId="165" fontId="5" fillId="0" borderId="0" xfId="16" applyNumberFormat="1" applyFont="1" applyFill="1"/>
    <xf numFmtId="0" fontId="3" fillId="0" borderId="0" xfId="18" applyFont="1"/>
    <xf numFmtId="165" fontId="5" fillId="0" borderId="0" xfId="16" applyNumberFormat="1" applyFont="1" applyFill="1" applyBorder="1"/>
    <xf numFmtId="0" fontId="3" fillId="0" borderId="0" xfId="18" applyFont="1" applyAlignment="1">
      <alignment horizontal="left"/>
    </xf>
    <xf numFmtId="165" fontId="5" fillId="0" borderId="1" xfId="16" applyNumberFormat="1" applyFont="1" applyFill="1" applyBorder="1"/>
    <xf numFmtId="0" fontId="20" fillId="0" borderId="0" xfId="14" applyFont="1" applyFill="1" applyAlignment="1">
      <alignment horizontal="left"/>
    </xf>
    <xf numFmtId="165" fontId="3" fillId="0" borderId="0" xfId="14" applyNumberFormat="1"/>
    <xf numFmtId="0" fontId="27" fillId="0" borderId="0" xfId="14" applyFont="1"/>
    <xf numFmtId="0" fontId="27" fillId="0" borderId="0" xfId="11" applyFont="1"/>
    <xf numFmtId="0" fontId="27" fillId="0" borderId="0" xfId="11" applyFont="1" applyFill="1" applyBorder="1"/>
    <xf numFmtId="0" fontId="28" fillId="0" borderId="18" xfId="11" applyFont="1" applyFill="1" applyBorder="1" applyAlignment="1">
      <alignment horizontal="right" vertical="top"/>
    </xf>
    <xf numFmtId="0" fontId="28" fillId="0" borderId="19" xfId="11" applyFont="1" applyFill="1" applyBorder="1" applyAlignment="1">
      <alignment horizontal="right" vertical="top"/>
    </xf>
    <xf numFmtId="0" fontId="28" fillId="0" borderId="20" xfId="11" applyFont="1" applyFill="1" applyBorder="1" applyAlignment="1">
      <alignment horizontal="right" vertical="top"/>
    </xf>
    <xf numFmtId="0" fontId="29" fillId="0" borderId="21" xfId="11" applyFont="1" applyFill="1" applyBorder="1" applyAlignment="1">
      <alignment horizontal="right" vertical="top"/>
    </xf>
    <xf numFmtId="0" fontId="29" fillId="0" borderId="0" xfId="11" applyFont="1" applyFill="1" applyBorder="1" applyAlignment="1">
      <alignment horizontal="right" vertical="top"/>
    </xf>
    <xf numFmtId="0" fontId="27" fillId="0" borderId="0" xfId="11" applyFont="1" applyAlignment="1">
      <alignment horizontal="center"/>
    </xf>
    <xf numFmtId="0" fontId="28" fillId="0" borderId="22" xfId="11" applyFont="1" applyFill="1" applyBorder="1" applyAlignment="1">
      <alignment horizontal="right" vertical="top"/>
    </xf>
    <xf numFmtId="0" fontId="28" fillId="0" borderId="23" xfId="11" applyFont="1" applyFill="1" applyBorder="1" applyAlignment="1">
      <alignment horizontal="right" vertical="top"/>
    </xf>
    <xf numFmtId="0" fontId="28" fillId="0" borderId="24" xfId="11" applyFont="1" applyFill="1" applyBorder="1" applyAlignment="1">
      <alignment horizontal="right" vertical="top"/>
    </xf>
    <xf numFmtId="0" fontId="29" fillId="0" borderId="0" xfId="11" applyFont="1" applyFill="1" applyBorder="1" applyAlignment="1">
      <alignment horizontal="left" vertical="top"/>
    </xf>
    <xf numFmtId="0" fontId="29" fillId="0" borderId="26" xfId="11" applyFont="1" applyFill="1" applyBorder="1" applyAlignment="1">
      <alignment horizontal="left" vertical="top"/>
    </xf>
    <xf numFmtId="0" fontId="29" fillId="0" borderId="27" xfId="11" applyFont="1" applyFill="1" applyBorder="1" applyAlignment="1">
      <alignment horizontal="left" vertical="top"/>
    </xf>
    <xf numFmtId="0" fontId="28" fillId="0" borderId="25" xfId="11" applyFont="1" applyFill="1" applyBorder="1" applyAlignment="1">
      <alignment horizontal="right" vertical="top"/>
    </xf>
    <xf numFmtId="0" fontId="28" fillId="0" borderId="0" xfId="11" applyFont="1" applyFill="1" applyBorder="1" applyAlignment="1">
      <alignment horizontal="right" vertical="top"/>
    </xf>
    <xf numFmtId="0" fontId="28" fillId="0" borderId="26" xfId="11" applyFont="1" applyFill="1" applyBorder="1" applyAlignment="1">
      <alignment horizontal="right" vertical="top"/>
    </xf>
    <xf numFmtId="0" fontId="28" fillId="0" borderId="27" xfId="11" applyFont="1" applyFill="1" applyBorder="1" applyAlignment="1">
      <alignment horizontal="right" vertical="top"/>
    </xf>
    <xf numFmtId="0" fontId="29" fillId="0" borderId="28" xfId="11" applyFont="1" applyFill="1" applyBorder="1" applyAlignment="1">
      <alignment horizontal="left" vertical="top"/>
    </xf>
    <xf numFmtId="168" fontId="29" fillId="0" borderId="25" xfId="11" applyNumberFormat="1" applyFont="1" applyFill="1" applyBorder="1" applyAlignment="1">
      <alignment horizontal="right" vertical="center"/>
    </xf>
    <xf numFmtId="168" fontId="29" fillId="0" borderId="26" xfId="11" applyNumberFormat="1" applyFont="1" applyFill="1" applyBorder="1" applyAlignment="1">
      <alignment horizontal="right" vertical="top"/>
    </xf>
    <xf numFmtId="168" fontId="29" fillId="0" borderId="27" xfId="11" applyNumberFormat="1" applyFont="1" applyFill="1" applyBorder="1" applyAlignment="1">
      <alignment horizontal="right" vertical="top"/>
    </xf>
    <xf numFmtId="0" fontId="29" fillId="0" borderId="29" xfId="11" applyFont="1" applyFill="1" applyBorder="1" applyAlignment="1">
      <alignment horizontal="left" vertical="top"/>
    </xf>
    <xf numFmtId="0" fontId="29" fillId="0" borderId="0" xfId="11" quotePrefix="1" applyFont="1" applyFill="1" applyBorder="1" applyAlignment="1">
      <alignment horizontal="right" vertical="top"/>
    </xf>
    <xf numFmtId="0" fontId="29" fillId="0" borderId="30" xfId="11" applyFont="1" applyFill="1" applyBorder="1" applyAlignment="1">
      <alignment horizontal="left" vertical="top"/>
    </xf>
    <xf numFmtId="0" fontId="29" fillId="4" borderId="21" xfId="11" applyFont="1" applyFill="1" applyBorder="1" applyAlignment="1">
      <alignment horizontal="right" vertical="top"/>
    </xf>
    <xf numFmtId="0" fontId="29" fillId="4" borderId="25" xfId="11" applyFont="1" applyFill="1" applyBorder="1" applyAlignment="1">
      <alignment horizontal="right" vertical="top"/>
    </xf>
    <xf numFmtId="0" fontId="29" fillId="4" borderId="26" xfId="11" applyFont="1" applyFill="1" applyBorder="1" applyAlignment="1">
      <alignment horizontal="right" vertical="top"/>
    </xf>
    <xf numFmtId="168" fontId="30" fillId="4" borderId="25" xfId="11" applyNumberFormat="1" applyFont="1" applyFill="1" applyBorder="1" applyAlignment="1">
      <alignment horizontal="right" vertical="center"/>
    </xf>
    <xf numFmtId="168" fontId="30" fillId="4" borderId="26" xfId="11" applyNumberFormat="1" applyFont="1" applyFill="1" applyBorder="1" applyAlignment="1">
      <alignment horizontal="right" vertical="center"/>
    </xf>
    <xf numFmtId="168" fontId="30" fillId="4" borderId="27" xfId="11" applyNumberFormat="1" applyFont="1" applyFill="1" applyBorder="1" applyAlignment="1">
      <alignment horizontal="right" vertical="center"/>
    </xf>
    <xf numFmtId="168" fontId="27" fillId="0" borderId="0" xfId="11" applyNumberFormat="1" applyFont="1" applyFill="1"/>
    <xf numFmtId="0" fontId="27" fillId="0" borderId="31" xfId="11" applyFont="1" applyBorder="1"/>
    <xf numFmtId="0" fontId="27" fillId="0" borderId="32" xfId="11" applyFont="1" applyBorder="1"/>
    <xf numFmtId="0" fontId="27" fillId="0" borderId="32" xfId="11" applyFont="1" applyBorder="1" applyAlignment="1">
      <alignment horizontal="center"/>
    </xf>
    <xf numFmtId="0" fontId="29" fillId="0" borderId="33" xfId="11" quotePrefix="1" applyFont="1" applyFill="1" applyBorder="1" applyAlignment="1">
      <alignment horizontal="right" vertical="top"/>
    </xf>
    <xf numFmtId="0" fontId="27" fillId="0" borderId="0" xfId="11" applyFont="1" applyFill="1" applyBorder="1" applyAlignment="1">
      <alignment wrapText="1"/>
    </xf>
    <xf numFmtId="168" fontId="27" fillId="0" borderId="0" xfId="11" applyNumberFormat="1" applyFont="1" applyFill="1" applyBorder="1"/>
    <xf numFmtId="0" fontId="27" fillId="0" borderId="34" xfId="11" applyFont="1" applyFill="1" applyBorder="1"/>
    <xf numFmtId="0" fontId="27" fillId="0" borderId="35" xfId="11" applyFont="1" applyFill="1" applyBorder="1"/>
    <xf numFmtId="168" fontId="27" fillId="0" borderId="35" xfId="11" applyNumberFormat="1" applyFont="1" applyFill="1" applyBorder="1"/>
    <xf numFmtId="0" fontId="27" fillId="0" borderId="0" xfId="11" applyFont="1" applyFill="1"/>
    <xf numFmtId="9" fontId="27" fillId="0" borderId="0" xfId="19" applyFont="1" applyFill="1"/>
    <xf numFmtId="0" fontId="27" fillId="0" borderId="0" xfId="11" applyFont="1" applyFill="1" applyAlignment="1">
      <alignment horizontal="right"/>
    </xf>
    <xf numFmtId="0" fontId="33" fillId="0" borderId="0" xfId="14" applyFont="1"/>
    <xf numFmtId="0" fontId="33" fillId="0" borderId="0" xfId="14" applyFont="1" applyFill="1"/>
    <xf numFmtId="0" fontId="34" fillId="0" borderId="27" xfId="11" applyFont="1" applyFill="1" applyBorder="1" applyAlignment="1">
      <alignment horizontal="left" vertical="top" wrapText="1"/>
    </xf>
    <xf numFmtId="0" fontId="2" fillId="0" borderId="0" xfId="11"/>
    <xf numFmtId="0" fontId="34" fillId="0" borderId="18" xfId="11" applyFont="1" applyFill="1" applyBorder="1" applyAlignment="1">
      <alignment horizontal="right" vertical="top"/>
    </xf>
    <xf numFmtId="0" fontId="34" fillId="0" borderId="20" xfId="11" applyFont="1" applyFill="1" applyBorder="1" applyAlignment="1">
      <alignment horizontal="right" vertical="top"/>
    </xf>
    <xf numFmtId="0" fontId="35" fillId="0" borderId="27" xfId="11" applyFont="1" applyFill="1" applyBorder="1" applyAlignment="1">
      <alignment horizontal="left" vertical="top"/>
    </xf>
    <xf numFmtId="0" fontId="35" fillId="0" borderId="27" xfId="11" applyFont="1" applyFill="1" applyBorder="1" applyAlignment="1">
      <alignment horizontal="center" vertical="center"/>
    </xf>
    <xf numFmtId="0" fontId="35" fillId="0" borderId="27" xfId="11" applyFont="1" applyFill="1" applyBorder="1" applyAlignment="1">
      <alignment horizontal="center" vertical="top"/>
    </xf>
    <xf numFmtId="0" fontId="34" fillId="0" borderId="27" xfId="11" applyFont="1" applyFill="1" applyBorder="1" applyAlignment="1">
      <alignment horizontal="left" vertical="top"/>
    </xf>
    <xf numFmtId="169" fontId="34" fillId="0" borderId="27" xfId="11" applyNumberFormat="1" applyFont="1" applyFill="1" applyBorder="1" applyAlignment="1">
      <alignment horizontal="right" vertical="top"/>
    </xf>
    <xf numFmtId="0" fontId="34" fillId="5" borderId="18" xfId="11" applyFont="1" applyFill="1" applyBorder="1" applyAlignment="1">
      <alignment horizontal="center" vertical="top"/>
    </xf>
    <xf numFmtId="0" fontId="34" fillId="5" borderId="20" xfId="11" applyFont="1" applyFill="1" applyBorder="1" applyAlignment="1">
      <alignment horizontal="center" vertical="top"/>
    </xf>
    <xf numFmtId="169" fontId="34" fillId="5" borderId="28" xfId="11" applyNumberFormat="1" applyFont="1" applyFill="1" applyBorder="1" applyAlignment="1">
      <alignment horizontal="right" vertical="top"/>
    </xf>
    <xf numFmtId="0" fontId="2" fillId="0" borderId="36" xfId="11" applyBorder="1"/>
    <xf numFmtId="0" fontId="20" fillId="0" borderId="36" xfId="11" applyFont="1" applyFill="1" applyBorder="1"/>
    <xf numFmtId="10" fontId="20" fillId="0" borderId="36" xfId="19" applyNumberFormat="1" applyFont="1" applyFill="1" applyBorder="1"/>
    <xf numFmtId="10" fontId="24" fillId="0" borderId="37" xfId="19" applyNumberFormat="1" applyFont="1" applyFill="1" applyBorder="1"/>
    <xf numFmtId="10" fontId="20" fillId="0" borderId="36" xfId="11" applyNumberFormat="1" applyFont="1" applyFill="1" applyBorder="1"/>
    <xf numFmtId="0" fontId="2" fillId="0" borderId="0" xfId="11" applyBorder="1"/>
    <xf numFmtId="0" fontId="20" fillId="0" borderId="0" xfId="11" applyFont="1" applyFill="1" applyBorder="1"/>
    <xf numFmtId="9" fontId="20" fillId="0" borderId="0" xfId="19" applyFont="1" applyFill="1" applyBorder="1"/>
    <xf numFmtId="9" fontId="24" fillId="0" borderId="0" xfId="19" applyFont="1" applyFill="1" applyBorder="1"/>
    <xf numFmtId="9" fontId="20" fillId="0" borderId="0" xfId="11" applyNumberFormat="1" applyFont="1" applyFill="1" applyBorder="1"/>
    <xf numFmtId="10" fontId="20" fillId="0" borderId="38" xfId="19" applyNumberFormat="1" applyFont="1" applyFill="1" applyBorder="1"/>
    <xf numFmtId="10" fontId="20" fillId="0" borderId="39" xfId="19" applyNumberFormat="1" applyFont="1" applyFill="1" applyBorder="1"/>
    <xf numFmtId="0" fontId="33" fillId="0" borderId="40" xfId="14" applyFont="1" applyBorder="1"/>
    <xf numFmtId="0" fontId="3" fillId="0" borderId="0" xfId="3" applyFont="1" applyFill="1" applyBorder="1" applyAlignment="1">
      <alignment horizontal="center"/>
    </xf>
    <xf numFmtId="0" fontId="31" fillId="0" borderId="0" xfId="14" applyFont="1" applyAlignment="1">
      <alignment horizontal="center"/>
    </xf>
    <xf numFmtId="0" fontId="27" fillId="0" borderId="0" xfId="11" applyFont="1" applyFill="1" applyBorder="1" applyAlignment="1">
      <alignment horizontal="center"/>
    </xf>
    <xf numFmtId="0" fontId="37" fillId="6" borderId="25" xfId="11" applyFont="1" applyFill="1" applyBorder="1" applyAlignment="1">
      <alignment horizontal="right" vertical="center"/>
    </xf>
    <xf numFmtId="0" fontId="27" fillId="0" borderId="41" xfId="11" applyFont="1" applyBorder="1" applyAlignment="1">
      <alignment horizontal="center"/>
    </xf>
    <xf numFmtId="0" fontId="27" fillId="0" borderId="41" xfId="11" applyFont="1" applyBorder="1" applyAlignment="1">
      <alignment horizontal="center" wrapText="1"/>
    </xf>
    <xf numFmtId="168" fontId="27" fillId="0" borderId="42" xfId="11" applyNumberFormat="1" applyFont="1" applyFill="1" applyBorder="1"/>
    <xf numFmtId="168" fontId="27" fillId="0" borderId="1" xfId="11" applyNumberFormat="1" applyFont="1" applyFill="1" applyBorder="1"/>
    <xf numFmtId="168" fontId="27" fillId="0" borderId="43" xfId="11" applyNumberFormat="1" applyFont="1" applyFill="1" applyBorder="1"/>
    <xf numFmtId="168" fontId="27" fillId="0" borderId="44" xfId="11" applyNumberFormat="1" applyFont="1" applyFill="1" applyBorder="1"/>
    <xf numFmtId="168" fontId="30" fillId="0" borderId="0" xfId="11" applyNumberFormat="1" applyFont="1" applyFill="1" applyBorder="1" applyAlignment="1">
      <alignment horizontal="right" vertical="center"/>
    </xf>
    <xf numFmtId="0" fontId="27" fillId="0" borderId="0" xfId="14" applyFont="1" applyFill="1"/>
    <xf numFmtId="0" fontId="30" fillId="0" borderId="0" xfId="11" applyFont="1" applyFill="1" applyBorder="1" applyAlignment="1">
      <alignment horizontal="right" vertical="top"/>
    </xf>
    <xf numFmtId="168" fontId="29" fillId="4" borderId="26" xfId="11" applyNumberFormat="1" applyFont="1" applyFill="1" applyBorder="1" applyAlignment="1">
      <alignment horizontal="right" vertical="top"/>
    </xf>
    <xf numFmtId="0" fontId="31" fillId="0" borderId="45" xfId="14" applyFont="1" applyBorder="1" applyAlignment="1">
      <alignment horizontal="center"/>
    </xf>
    <xf numFmtId="0" fontId="27" fillId="0" borderId="46" xfId="14" applyFont="1" applyBorder="1"/>
    <xf numFmtId="168" fontId="27" fillId="0" borderId="46" xfId="14" applyNumberFormat="1" applyFont="1" applyBorder="1"/>
    <xf numFmtId="0" fontId="27" fillId="0" borderId="46" xfId="11" applyFont="1" applyBorder="1"/>
    <xf numFmtId="0" fontId="38" fillId="0" borderId="46" xfId="11" applyFont="1" applyFill="1" applyBorder="1" applyAlignment="1">
      <alignment horizontal="right"/>
    </xf>
    <xf numFmtId="0" fontId="27" fillId="0" borderId="46" xfId="11" applyFont="1" applyFill="1" applyBorder="1"/>
    <xf numFmtId="168" fontId="27" fillId="0" borderId="46" xfId="11" applyNumberFormat="1" applyFont="1" applyBorder="1"/>
    <xf numFmtId="167" fontId="27" fillId="0" borderId="0" xfId="20" applyNumberFormat="1" applyFont="1" applyFill="1" applyBorder="1"/>
    <xf numFmtId="0" fontId="27" fillId="0" borderId="0" xfId="14" applyFont="1" applyFill="1" applyBorder="1"/>
    <xf numFmtId="0" fontId="27" fillId="0" borderId="0" xfId="22" applyNumberFormat="1" applyFont="1" applyFill="1" applyBorder="1"/>
    <xf numFmtId="167" fontId="27" fillId="0" borderId="0" xfId="11" applyNumberFormat="1" applyFont="1" applyFill="1" applyBorder="1"/>
    <xf numFmtId="44" fontId="27" fillId="0" borderId="0" xfId="11" applyNumberFormat="1" applyFont="1" applyFill="1" applyBorder="1"/>
    <xf numFmtId="0" fontId="27" fillId="0" borderId="0" xfId="11" applyFont="1" applyFill="1" applyBorder="1" applyAlignment="1">
      <alignment horizontal="right"/>
    </xf>
    <xf numFmtId="10" fontId="27" fillId="0" borderId="0" xfId="11" applyNumberFormat="1" applyFont="1" applyFill="1" applyBorder="1"/>
    <xf numFmtId="43" fontId="27" fillId="0" borderId="0" xfId="11" applyNumberFormat="1" applyFont="1" applyFill="1" applyBorder="1"/>
    <xf numFmtId="0" fontId="20" fillId="0" borderId="0" xfId="23" applyFont="1" applyFill="1" applyBorder="1" applyAlignment="1">
      <alignment wrapText="1"/>
    </xf>
    <xf numFmtId="43" fontId="27" fillId="0" borderId="46" xfId="27" applyFont="1" applyBorder="1"/>
    <xf numFmtId="10" fontId="27" fillId="0" borderId="46" xfId="11" applyNumberFormat="1" applyFont="1" applyFill="1" applyBorder="1"/>
    <xf numFmtId="167" fontId="27" fillId="0" borderId="46" xfId="27" applyNumberFormat="1" applyFont="1" applyFill="1" applyBorder="1"/>
    <xf numFmtId="167" fontId="31" fillId="5" borderId="46" xfId="11" applyNumberFormat="1" applyFont="1" applyFill="1" applyBorder="1"/>
    <xf numFmtId="167" fontId="31" fillId="5" borderId="47" xfId="11" applyNumberFormat="1" applyFont="1" applyFill="1" applyBorder="1"/>
    <xf numFmtId="168" fontId="30" fillId="7" borderId="48" xfId="11" applyNumberFormat="1" applyFont="1" applyFill="1" applyBorder="1" applyAlignment="1">
      <alignment horizontal="right" vertical="center"/>
    </xf>
    <xf numFmtId="170" fontId="27" fillId="0" borderId="46" xfId="2" applyNumberFormat="1" applyFont="1" applyFill="1" applyBorder="1"/>
    <xf numFmtId="170" fontId="27" fillId="7" borderId="46" xfId="2" applyNumberFormat="1" applyFont="1" applyFill="1" applyBorder="1"/>
    <xf numFmtId="0" fontId="31" fillId="0" borderId="46" xfId="11" applyFont="1" applyBorder="1" applyAlignment="1">
      <alignment horizontal="center"/>
    </xf>
    <xf numFmtId="0" fontId="0" fillId="0" borderId="0" xfId="0" applyAlignment="1">
      <alignment horizontal="center"/>
    </xf>
    <xf numFmtId="164" fontId="3" fillId="2" borderId="1" xfId="3" applyNumberFormat="1" applyFont="1" applyFill="1" applyBorder="1"/>
    <xf numFmtId="0" fontId="0" fillId="0" borderId="1" xfId="0" applyBorder="1"/>
    <xf numFmtId="164" fontId="3" fillId="0" borderId="1" xfId="3" applyNumberFormat="1" applyFont="1" applyFill="1" applyBorder="1"/>
    <xf numFmtId="0" fontId="24" fillId="0" borderId="0" xfId="14" applyFont="1" applyAlignment="1">
      <alignment horizontal="center" wrapText="1"/>
    </xf>
    <xf numFmtId="0" fontId="5" fillId="0" borderId="0" xfId="14" applyFont="1" applyFill="1" applyAlignment="1">
      <alignment horizontal="center"/>
    </xf>
    <xf numFmtId="0" fontId="5" fillId="0" borderId="0" xfId="14" applyFont="1" applyAlignment="1">
      <alignment horizontal="center"/>
    </xf>
    <xf numFmtId="0" fontId="20" fillId="0" borderId="0" xfId="14" applyFont="1" applyAlignment="1">
      <alignment horizontal="right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20" fillId="0" borderId="0" xfId="11" applyFont="1" applyFill="1" applyAlignment="1">
      <alignment horizontal="left" vertical="top" wrapText="1"/>
    </xf>
    <xf numFmtId="0" fontId="35" fillId="0" borderId="25" xfId="11" applyFont="1" applyFill="1" applyBorder="1" applyAlignment="1">
      <alignment horizontal="center" vertical="top"/>
    </xf>
    <xf numFmtId="0" fontId="35" fillId="0" borderId="21" xfId="11" applyFont="1" applyFill="1" applyBorder="1" applyAlignment="1">
      <alignment horizontal="center" vertical="top"/>
    </xf>
    <xf numFmtId="0" fontId="35" fillId="0" borderId="26" xfId="11" applyFont="1" applyFill="1" applyBorder="1" applyAlignment="1">
      <alignment horizontal="center" vertical="top"/>
    </xf>
    <xf numFmtId="0" fontId="20" fillId="0" borderId="8" xfId="11" applyFont="1" applyFill="1" applyBorder="1" applyAlignment="1">
      <alignment horizontal="left" vertical="top" wrapText="1"/>
    </xf>
  </cellXfs>
  <cellStyles count="28">
    <cellStyle name="Comma" xfId="27" builtinId="3"/>
    <cellStyle name="Comma 2" xfId="21"/>
    <cellStyle name="Comma 3 2" xfId="26"/>
    <cellStyle name="Comma 4" xfId="20"/>
    <cellStyle name="Comma 4 2" xfId="13"/>
    <cellStyle name="Currency" xfId="1" builtinId="4"/>
    <cellStyle name="Currency 2" xfId="16"/>
    <cellStyle name="Currency 3" xfId="22"/>
    <cellStyle name="Currency 3 2" xfId="17"/>
    <cellStyle name="Followed Hyperlink" xfId="6" builtinId="9"/>
    <cellStyle name="Normal" xfId="0" builtinId="0"/>
    <cellStyle name="Normal 2" xfId="14"/>
    <cellStyle name="Normal 3" xfId="11"/>
    <cellStyle name="Normal 6" xfId="23"/>
    <cellStyle name="Normal 6 2" xfId="24"/>
    <cellStyle name="Normal_1296GasLabor$" xfId="18"/>
    <cellStyle name="Normal_DFIT-WaEle_SUM" xfId="8"/>
    <cellStyle name="Normal_IDGas6_97 3" xfId="7"/>
    <cellStyle name="Normal_Loadings" xfId="3"/>
    <cellStyle name="Normal_WAElec6_97" xfId="4"/>
    <cellStyle name="Normal_WAElec6_97 2" xfId="12"/>
    <cellStyle name="Normal_WAGas6_97" xfId="5"/>
    <cellStyle name="Normal_WAGas6_97 2" xfId="10"/>
    <cellStyle name="Percent" xfId="2" builtinId="5"/>
    <cellStyle name="Percent 2" xfId="15"/>
    <cellStyle name="Percent 3" xfId="19"/>
    <cellStyle name="Percent 4 2" xfId="25"/>
    <cellStyle name="Percent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Avista/Adj/Staff_DR_091%20Supp%202%20-%20Attach%20F%20Pro%20Forma%2009.2015%20WA%20Elec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2017"/>
      <sheetName val="PROPOSED RATES-2008 6-month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COMPARISON"/>
      <sheetName val="RETAIL REVENUE CREDIT-not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83"/>
  <sheetViews>
    <sheetView tabSelected="1" view="pageBreakPreview" zoomScale="90" zoomScaleNormal="100" zoomScaleSheetLayoutView="90" workbookViewId="0">
      <selection activeCell="E23" sqref="E23"/>
    </sheetView>
  </sheetViews>
  <sheetFormatPr defaultColWidth="9.375" defaultRowHeight="12"/>
  <cols>
    <col min="1" max="1" width="4.125" style="41" customWidth="1"/>
    <col min="2" max="3" width="1.5" style="40" customWidth="1"/>
    <col min="4" max="4" width="31" style="40" customWidth="1"/>
    <col min="5" max="5" width="9.125" style="42" bestFit="1" customWidth="1"/>
    <col min="6" max="6" width="5.5" style="40" bestFit="1" customWidth="1"/>
    <col min="7" max="16384" width="9.375" style="40"/>
  </cols>
  <sheetData>
    <row r="1" spans="1:5" ht="12.75" customHeight="1">
      <c r="A1" s="39" t="s">
        <v>16</v>
      </c>
      <c r="D1" s="41"/>
    </row>
    <row r="2" spans="1:5" ht="14.25" customHeight="1">
      <c r="A2" s="39" t="s">
        <v>17</v>
      </c>
      <c r="D2" s="41"/>
    </row>
    <row r="3" spans="1:5" ht="12.75" customHeight="1">
      <c r="A3" s="39" t="s">
        <v>18</v>
      </c>
      <c r="D3" s="41"/>
      <c r="E3" s="43"/>
    </row>
    <row r="4" spans="1:5" ht="12.75" customHeight="1">
      <c r="A4" s="39" t="s">
        <v>19</v>
      </c>
      <c r="D4" s="41"/>
      <c r="E4" s="44"/>
    </row>
    <row r="5" spans="1:5" s="45" customFormat="1" ht="12" customHeight="1">
      <c r="A5" s="39" t="s">
        <v>20</v>
      </c>
      <c r="D5" s="46"/>
      <c r="E5" s="47"/>
    </row>
    <row r="6" spans="1:5" s="45" customFormat="1" ht="12" customHeight="1">
      <c r="A6" s="48"/>
      <c r="B6" s="49"/>
      <c r="C6" s="50"/>
      <c r="D6" s="50"/>
      <c r="E6" s="51" t="s">
        <v>21</v>
      </c>
    </row>
    <row r="7" spans="1:5" s="45" customFormat="1">
      <c r="A7" s="52" t="s">
        <v>22</v>
      </c>
      <c r="B7" s="53"/>
      <c r="C7" s="54"/>
      <c r="D7" s="54"/>
      <c r="E7" s="55" t="s">
        <v>23</v>
      </c>
    </row>
    <row r="8" spans="1:5" s="45" customFormat="1">
      <c r="A8" s="56" t="s">
        <v>24</v>
      </c>
      <c r="B8" s="57"/>
      <c r="C8" s="58"/>
      <c r="D8" s="58" t="s">
        <v>25</v>
      </c>
      <c r="E8" s="59" t="s">
        <v>26</v>
      </c>
    </row>
    <row r="9" spans="1:5" s="60" customFormat="1">
      <c r="B9" s="61" t="s">
        <v>27</v>
      </c>
      <c r="E9" s="62">
        <v>3.04</v>
      </c>
    </row>
    <row r="10" spans="1:5" s="60" customFormat="1">
      <c r="B10" s="61"/>
      <c r="E10" s="63"/>
    </row>
    <row r="11" spans="1:5" s="60" customFormat="1">
      <c r="B11" s="61"/>
      <c r="E11" s="63"/>
    </row>
    <row r="12" spans="1:5">
      <c r="B12" s="40" t="s">
        <v>28</v>
      </c>
    </row>
    <row r="13" spans="1:5" s="65" customFormat="1">
      <c r="A13" s="64">
        <v>1</v>
      </c>
      <c r="B13" s="65" t="s">
        <v>29</v>
      </c>
      <c r="E13" s="66">
        <v>0</v>
      </c>
    </row>
    <row r="14" spans="1:5" s="67" customFormat="1">
      <c r="A14" s="64">
        <v>2</v>
      </c>
      <c r="B14" s="67" t="s">
        <v>30</v>
      </c>
      <c r="E14" s="42">
        <v>0</v>
      </c>
    </row>
    <row r="15" spans="1:5" s="67" customFormat="1">
      <c r="A15" s="64">
        <v>3</v>
      </c>
      <c r="B15" s="67" t="s">
        <v>31</v>
      </c>
      <c r="E15" s="68">
        <v>0</v>
      </c>
    </row>
    <row r="16" spans="1:5" s="67" customFormat="1">
      <c r="A16" s="64">
        <v>4</v>
      </c>
      <c r="B16" s="67" t="s">
        <v>32</v>
      </c>
      <c r="E16" s="42">
        <v>0</v>
      </c>
    </row>
    <row r="17" spans="1:5" s="67" customFormat="1">
      <c r="A17" s="64">
        <v>5</v>
      </c>
      <c r="B17" s="67" t="s">
        <v>33</v>
      </c>
      <c r="E17" s="68">
        <v>0</v>
      </c>
    </row>
    <row r="18" spans="1:5" s="67" customFormat="1">
      <c r="A18" s="64">
        <v>6</v>
      </c>
      <c r="B18" s="67" t="s">
        <v>34</v>
      </c>
      <c r="E18" s="42">
        <f t="shared" ref="E18" si="0">SUM(E16:E17)</f>
        <v>0</v>
      </c>
    </row>
    <row r="19" spans="1:5" s="67" customFormat="1">
      <c r="A19" s="64"/>
      <c r="E19" s="42"/>
    </row>
    <row r="20" spans="1:5" s="67" customFormat="1">
      <c r="A20" s="64"/>
      <c r="B20" s="67" t="s">
        <v>35</v>
      </c>
      <c r="E20" s="42"/>
    </row>
    <row r="21" spans="1:5" s="67" customFormat="1">
      <c r="A21" s="64"/>
      <c r="B21" s="67" t="s">
        <v>36</v>
      </c>
      <c r="E21" s="42"/>
    </row>
    <row r="22" spans="1:5" s="67" customFormat="1">
      <c r="A22" s="64">
        <v>7</v>
      </c>
      <c r="C22" s="67" t="s">
        <v>37</v>
      </c>
      <c r="E22" s="42">
        <f>ROUNDDOWN(Summary!G11/1000,0)</f>
        <v>451</v>
      </c>
    </row>
    <row r="23" spans="1:5" s="67" customFormat="1">
      <c r="A23" s="64">
        <v>8</v>
      </c>
      <c r="C23" s="67" t="s">
        <v>38</v>
      </c>
      <c r="E23" s="42">
        <v>0</v>
      </c>
    </row>
    <row r="24" spans="1:5" s="67" customFormat="1">
      <c r="A24" s="64">
        <v>9</v>
      </c>
      <c r="C24" s="67" t="s">
        <v>39</v>
      </c>
      <c r="E24" s="42">
        <v>0</v>
      </c>
    </row>
    <row r="25" spans="1:5" s="67" customFormat="1">
      <c r="A25" s="64">
        <v>10</v>
      </c>
      <c r="C25" s="69" t="s">
        <v>40</v>
      </c>
      <c r="D25" s="69"/>
      <c r="E25" s="70">
        <v>0</v>
      </c>
    </row>
    <row r="26" spans="1:5" s="67" customFormat="1">
      <c r="A26" s="64">
        <v>11</v>
      </c>
      <c r="C26" s="67" t="s">
        <v>41</v>
      </c>
      <c r="E26" s="68">
        <v>0</v>
      </c>
    </row>
    <row r="27" spans="1:5" s="67" customFormat="1">
      <c r="A27" s="64">
        <v>12</v>
      </c>
      <c r="B27" s="67" t="s">
        <v>42</v>
      </c>
      <c r="E27" s="42">
        <f t="shared" ref="E27" si="1">SUM(E22:E26)</f>
        <v>451</v>
      </c>
    </row>
    <row r="28" spans="1:5" s="67" customFormat="1">
      <c r="A28" s="64"/>
      <c r="E28" s="42"/>
    </row>
    <row r="29" spans="1:5" s="67" customFormat="1">
      <c r="A29" s="64"/>
      <c r="B29" s="67" t="s">
        <v>43</v>
      </c>
      <c r="E29" s="42"/>
    </row>
    <row r="30" spans="1:5" s="67" customFormat="1">
      <c r="A30" s="64">
        <v>13</v>
      </c>
      <c r="C30" s="67" t="s">
        <v>37</v>
      </c>
      <c r="E30" s="42">
        <f>Summary!G13/1000</f>
        <v>331.86222448132793</v>
      </c>
    </row>
    <row r="31" spans="1:5" s="67" customFormat="1">
      <c r="A31" s="64">
        <v>14</v>
      </c>
      <c r="C31" s="67" t="s">
        <v>44</v>
      </c>
      <c r="E31" s="42">
        <v>0</v>
      </c>
    </row>
    <row r="32" spans="1:5" s="67" customFormat="1">
      <c r="A32" s="64">
        <v>15</v>
      </c>
      <c r="C32" s="67" t="s">
        <v>40</v>
      </c>
      <c r="E32" s="42">
        <v>0</v>
      </c>
    </row>
    <row r="33" spans="1:5" s="67" customFormat="1">
      <c r="A33" s="64">
        <v>16</v>
      </c>
      <c r="C33" s="67" t="s">
        <v>41</v>
      </c>
      <c r="E33" s="68">
        <v>0</v>
      </c>
    </row>
    <row r="34" spans="1:5" s="67" customFormat="1">
      <c r="A34" s="64">
        <v>17</v>
      </c>
      <c r="B34" s="67" t="s">
        <v>45</v>
      </c>
      <c r="E34" s="42">
        <f t="shared" ref="E34" si="2">SUM(E30:E33)</f>
        <v>331.86222448132793</v>
      </c>
    </row>
    <row r="35" spans="1:5" s="67" customFormat="1">
      <c r="E35" s="42"/>
    </row>
    <row r="36" spans="1:5" s="67" customFormat="1">
      <c r="A36" s="64">
        <v>18</v>
      </c>
      <c r="B36" s="67" t="s">
        <v>46</v>
      </c>
      <c r="E36" s="42">
        <f>Summary!G15/1000</f>
        <v>147.30072080168799</v>
      </c>
    </row>
    <row r="37" spans="1:5" s="67" customFormat="1">
      <c r="A37" s="64">
        <v>19</v>
      </c>
      <c r="B37" s="67" t="s">
        <v>47</v>
      </c>
      <c r="E37" s="42">
        <f>Summary!G16/1000</f>
        <v>13.537190901701987</v>
      </c>
    </row>
    <row r="38" spans="1:5" s="67" customFormat="1">
      <c r="A38" s="64">
        <v>20</v>
      </c>
      <c r="B38" s="67" t="s">
        <v>48</v>
      </c>
      <c r="E38" s="42">
        <v>0</v>
      </c>
    </row>
    <row r="39" spans="1:5" s="67" customFormat="1">
      <c r="A39" s="64"/>
      <c r="E39" s="42"/>
    </row>
    <row r="40" spans="1:5" s="67" customFormat="1">
      <c r="B40" s="67" t="s">
        <v>49</v>
      </c>
      <c r="E40" s="42"/>
    </row>
    <row r="41" spans="1:5" s="67" customFormat="1">
      <c r="A41" s="64">
        <v>21</v>
      </c>
      <c r="C41" s="67" t="s">
        <v>37</v>
      </c>
      <c r="E41" s="42">
        <f>Summary!G19/1000</f>
        <v>395.92932597651156</v>
      </c>
    </row>
    <row r="42" spans="1:5" s="67" customFormat="1">
      <c r="A42" s="64">
        <v>22</v>
      </c>
      <c r="C42" s="67" t="s">
        <v>44</v>
      </c>
      <c r="E42" s="42">
        <v>0</v>
      </c>
    </row>
    <row r="43" spans="1:5" s="67" customFormat="1">
      <c r="A43" s="71">
        <v>23</v>
      </c>
      <c r="C43" s="67" t="s">
        <v>41</v>
      </c>
      <c r="E43" s="68">
        <v>0</v>
      </c>
    </row>
    <row r="44" spans="1:5" s="67" customFormat="1">
      <c r="A44" s="64">
        <v>24</v>
      </c>
      <c r="B44" s="67" t="s">
        <v>50</v>
      </c>
      <c r="E44" s="68">
        <f t="shared" ref="E44" si="3">SUM(E41:E43)</f>
        <v>395.92932597651156</v>
      </c>
    </row>
    <row r="45" spans="1:5" s="67" customFormat="1" ht="18" customHeight="1">
      <c r="A45" s="64">
        <v>25</v>
      </c>
      <c r="B45" s="67" t="s">
        <v>51</v>
      </c>
      <c r="E45" s="68">
        <f>(E44+E38+E37+E36+E34+E27)</f>
        <v>1339.6294621612294</v>
      </c>
    </row>
    <row r="46" spans="1:5" s="67" customFormat="1">
      <c r="E46" s="42"/>
    </row>
    <row r="47" spans="1:5" s="67" customFormat="1">
      <c r="A47" s="64">
        <v>26</v>
      </c>
      <c r="B47" s="67" t="s">
        <v>52</v>
      </c>
      <c r="E47" s="42">
        <f>E18-E45</f>
        <v>-1339.6294621612294</v>
      </c>
    </row>
    <row r="48" spans="1:5" s="67" customFormat="1">
      <c r="A48" s="64"/>
      <c r="E48" s="42"/>
    </row>
    <row r="49" spans="1:5" s="67" customFormat="1">
      <c r="A49" s="72"/>
      <c r="B49" s="67" t="s">
        <v>53</v>
      </c>
      <c r="E49" s="42"/>
    </row>
    <row r="50" spans="1:5" s="67" customFormat="1">
      <c r="A50" s="71">
        <v>27</v>
      </c>
      <c r="B50" s="67" t="s">
        <v>54</v>
      </c>
      <c r="D50" s="73"/>
      <c r="E50" s="70">
        <f>E47*0.35</f>
        <v>-468.87031175643028</v>
      </c>
    </row>
    <row r="51" spans="1:5" s="69" customFormat="1">
      <c r="A51" s="64">
        <v>28</v>
      </c>
      <c r="B51" s="69" t="s">
        <v>55</v>
      </c>
      <c r="E51" s="70">
        <v>0</v>
      </c>
    </row>
    <row r="52" spans="1:5" s="67" customFormat="1">
      <c r="A52" s="64">
        <v>29</v>
      </c>
      <c r="B52" s="67" t="s">
        <v>56</v>
      </c>
      <c r="E52" s="70">
        <v>0</v>
      </c>
    </row>
    <row r="53" spans="1:5" s="67" customFormat="1">
      <c r="A53" s="72">
        <v>30</v>
      </c>
      <c r="B53" s="67" t="s">
        <v>57</v>
      </c>
      <c r="E53" s="68">
        <v>0</v>
      </c>
    </row>
    <row r="55" spans="1:5" s="65" customFormat="1" ht="12.75" thickBot="1">
      <c r="A55" s="74">
        <v>31</v>
      </c>
      <c r="B55" s="65" t="s">
        <v>58</v>
      </c>
      <c r="E55" s="75">
        <f>E47-SUM(E50:E53)</f>
        <v>-870.75915040479913</v>
      </c>
    </row>
    <row r="56" spans="1:5" ht="6" customHeight="1" thickTop="1">
      <c r="A56" s="74"/>
    </row>
    <row r="57" spans="1:5">
      <c r="A57" s="74"/>
      <c r="B57" s="40" t="s">
        <v>59</v>
      </c>
    </row>
    <row r="58" spans="1:5">
      <c r="B58" s="40" t="s">
        <v>60</v>
      </c>
    </row>
    <row r="59" spans="1:5" s="65" customFormat="1">
      <c r="A59" s="76">
        <v>32</v>
      </c>
      <c r="C59" s="65" t="s">
        <v>61</v>
      </c>
      <c r="E59" s="42">
        <v>0</v>
      </c>
    </row>
    <row r="60" spans="1:5" s="67" customFormat="1">
      <c r="A60" s="74">
        <v>33</v>
      </c>
      <c r="C60" s="67" t="s">
        <v>62</v>
      </c>
      <c r="E60" s="42">
        <v>0</v>
      </c>
    </row>
    <row r="61" spans="1:5" s="67" customFormat="1">
      <c r="A61" s="74">
        <v>34</v>
      </c>
      <c r="C61" s="67" t="s">
        <v>63</v>
      </c>
      <c r="E61" s="42">
        <v>0</v>
      </c>
    </row>
    <row r="62" spans="1:5" s="67" customFormat="1">
      <c r="A62" s="74">
        <v>35</v>
      </c>
      <c r="C62" s="67" t="s">
        <v>43</v>
      </c>
      <c r="E62" s="42">
        <v>0</v>
      </c>
    </row>
    <row r="63" spans="1:5" s="67" customFormat="1">
      <c r="A63" s="74">
        <v>36</v>
      </c>
      <c r="C63" s="67" t="s">
        <v>64</v>
      </c>
      <c r="E63" s="68">
        <v>0</v>
      </c>
    </row>
    <row r="64" spans="1:5" s="67" customFormat="1">
      <c r="A64" s="74">
        <v>37</v>
      </c>
      <c r="B64" s="67" t="s">
        <v>65</v>
      </c>
      <c r="E64" s="42">
        <f t="shared" ref="E64" si="4">SUM(E59:E63)</f>
        <v>0</v>
      </c>
    </row>
    <row r="65" spans="1:5" s="67" customFormat="1" ht="18" customHeight="1">
      <c r="A65" s="74"/>
      <c r="B65" s="67" t="s">
        <v>66</v>
      </c>
      <c r="E65" s="42">
        <v>0</v>
      </c>
    </row>
    <row r="66" spans="1:5" s="67" customFormat="1">
      <c r="A66" s="74">
        <v>38</v>
      </c>
      <c r="C66" s="65" t="s">
        <v>61</v>
      </c>
      <c r="E66" s="42">
        <v>0</v>
      </c>
    </row>
    <row r="67" spans="1:5" s="67" customFormat="1">
      <c r="A67" s="74">
        <v>39</v>
      </c>
      <c r="C67" s="67" t="s">
        <v>62</v>
      </c>
      <c r="E67" s="42">
        <v>0</v>
      </c>
    </row>
    <row r="68" spans="1:5" s="67" customFormat="1">
      <c r="A68" s="74">
        <v>40</v>
      </c>
      <c r="C68" s="67" t="s">
        <v>63</v>
      </c>
      <c r="E68" s="42">
        <v>0</v>
      </c>
    </row>
    <row r="69" spans="1:5" s="67" customFormat="1">
      <c r="A69" s="74">
        <v>41</v>
      </c>
      <c r="C69" s="67" t="s">
        <v>43</v>
      </c>
      <c r="E69" s="42">
        <v>0</v>
      </c>
    </row>
    <row r="70" spans="1:5" s="67" customFormat="1">
      <c r="A70" s="74">
        <v>42</v>
      </c>
      <c r="C70" s="67" t="s">
        <v>64</v>
      </c>
      <c r="E70" s="42">
        <v>0</v>
      </c>
    </row>
    <row r="71" spans="1:5" s="67" customFormat="1">
      <c r="A71" s="74">
        <v>43</v>
      </c>
      <c r="B71" s="67" t="s">
        <v>67</v>
      </c>
      <c r="E71" s="77">
        <f t="shared" ref="E71" si="5">SUM(E66:E70)</f>
        <v>0</v>
      </c>
    </row>
    <row r="72" spans="1:5" s="67" customFormat="1">
      <c r="A72" s="74">
        <v>44</v>
      </c>
      <c r="B72" s="67" t="s">
        <v>68</v>
      </c>
      <c r="E72" s="77">
        <f t="shared" ref="E72" si="6">E64+E71</f>
        <v>0</v>
      </c>
    </row>
    <row r="73" spans="1:5" s="67" customFormat="1" ht="6.75" customHeight="1">
      <c r="A73" s="74"/>
      <c r="E73" s="78"/>
    </row>
    <row r="74" spans="1:5" s="67" customFormat="1">
      <c r="A74" s="72">
        <v>45</v>
      </c>
      <c r="B74" s="67" t="s">
        <v>69</v>
      </c>
      <c r="E74" s="68">
        <v>0</v>
      </c>
    </row>
    <row r="75" spans="1:5" s="67" customFormat="1">
      <c r="A75" s="72">
        <v>46</v>
      </c>
      <c r="C75" s="67" t="s">
        <v>70</v>
      </c>
      <c r="E75" s="78">
        <f t="shared" ref="E75" si="7">SUM(E72:E74)</f>
        <v>0</v>
      </c>
    </row>
    <row r="76" spans="1:5" s="67" customFormat="1">
      <c r="A76" s="74">
        <v>47</v>
      </c>
      <c r="B76" s="67" t="s">
        <v>71</v>
      </c>
      <c r="E76" s="42">
        <v>0</v>
      </c>
    </row>
    <row r="77" spans="1:5" s="67" customFormat="1">
      <c r="A77" s="74">
        <v>48</v>
      </c>
      <c r="B77" s="67" t="s">
        <v>72</v>
      </c>
      <c r="E77" s="68">
        <v>0</v>
      </c>
    </row>
    <row r="78" spans="1:5" s="67" customFormat="1">
      <c r="A78" s="72"/>
      <c r="E78" s="42"/>
    </row>
    <row r="79" spans="1:5" s="65" customFormat="1">
      <c r="A79" s="64">
        <v>49</v>
      </c>
      <c r="B79" s="65" t="s">
        <v>73</v>
      </c>
      <c r="E79" s="42">
        <f t="shared" ref="E79" si="8">SUM(E75:E77)</f>
        <v>0</v>
      </c>
    </row>
    <row r="80" spans="1:5" ht="18" customHeight="1">
      <c r="A80" s="64">
        <v>50</v>
      </c>
      <c r="B80" s="40" t="s">
        <v>74</v>
      </c>
    </row>
    <row r="81" spans="1:5">
      <c r="A81" s="41">
        <v>51</v>
      </c>
      <c r="B81" s="40" t="s">
        <v>75</v>
      </c>
      <c r="E81" s="79"/>
    </row>
    <row r="82" spans="1:5" ht="32.25" customHeight="1">
      <c r="B82" s="80"/>
    </row>
    <row r="83" spans="1:5" ht="24.75" customHeight="1"/>
  </sheetData>
  <pageMargins left="0.7" right="0.7" top="0.75" bottom="0.75" header="0.3" footer="0.3"/>
  <pageSetup scale="67" firstPageNumber="4" fitToWidth="7" orientation="portrait" r:id="rId1"/>
  <headerFooter>
    <oddHeader>&amp;RExhibit No. MC-9
Dockets UE-160228/229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4"/>
  <sheetViews>
    <sheetView tabSelected="1" view="pageBreakPreview" topLeftCell="A40" zoomScaleNormal="100" zoomScaleSheetLayoutView="100" workbookViewId="0">
      <selection activeCell="E23" sqref="E23"/>
    </sheetView>
  </sheetViews>
  <sheetFormatPr defaultColWidth="9.375" defaultRowHeight="12"/>
  <cols>
    <col min="1" max="1" width="5" style="84" customWidth="1"/>
    <col min="2" max="3" width="1.5" style="82" customWidth="1"/>
    <col min="4" max="4" width="29.875" style="82" customWidth="1"/>
    <col min="5" max="5" width="8.75" style="87" customWidth="1"/>
    <col min="6" max="16384" width="9.375" style="82"/>
  </cols>
  <sheetData>
    <row r="1" spans="1:13" ht="12.75" customHeight="1">
      <c r="A1" s="81" t="s">
        <v>76</v>
      </c>
      <c r="E1" s="83"/>
    </row>
    <row r="2" spans="1:13" ht="12.75" customHeight="1">
      <c r="A2" s="39" t="s">
        <v>77</v>
      </c>
      <c r="E2" s="83"/>
    </row>
    <row r="3" spans="1:13" ht="12.75" customHeight="1">
      <c r="A3" s="39" t="s">
        <v>18</v>
      </c>
      <c r="E3" s="83"/>
    </row>
    <row r="4" spans="1:13" s="86" customFormat="1" ht="12" customHeight="1">
      <c r="A4" s="81" t="s">
        <v>19</v>
      </c>
      <c r="B4" s="84"/>
      <c r="C4" s="84"/>
      <c r="D4" s="84"/>
      <c r="E4" s="85"/>
    </row>
    <row r="5" spans="1:13" ht="12.75" customHeight="1">
      <c r="A5" s="81" t="s">
        <v>78</v>
      </c>
    </row>
    <row r="6" spans="1:13" s="89" customFormat="1" ht="13.5" customHeight="1">
      <c r="A6" s="88"/>
      <c r="D6" s="90"/>
      <c r="E6" s="91"/>
      <c r="F6" s="92"/>
      <c r="G6" s="92"/>
      <c r="H6" s="92"/>
      <c r="I6" s="92"/>
      <c r="J6" s="92"/>
      <c r="K6" s="92"/>
      <c r="L6" s="92"/>
      <c r="M6" s="92"/>
    </row>
    <row r="7" spans="1:13" s="89" customFormat="1" ht="12" customHeight="1">
      <c r="A7" s="93"/>
      <c r="B7" s="94"/>
      <c r="C7" s="95"/>
      <c r="D7" s="96"/>
      <c r="E7" s="97" t="s">
        <v>79</v>
      </c>
    </row>
    <row r="8" spans="1:13" s="89" customFormat="1">
      <c r="A8" s="98" t="s">
        <v>22</v>
      </c>
      <c r="B8" s="99"/>
      <c r="C8" s="100"/>
      <c r="D8" s="101"/>
      <c r="E8" s="102" t="s">
        <v>80</v>
      </c>
    </row>
    <row r="9" spans="1:13" s="89" customFormat="1">
      <c r="A9" s="103" t="s">
        <v>24</v>
      </c>
      <c r="B9" s="104"/>
      <c r="C9" s="105"/>
      <c r="D9" s="106" t="s">
        <v>25</v>
      </c>
      <c r="E9" s="107" t="s">
        <v>26</v>
      </c>
    </row>
    <row r="10" spans="1:13" s="89" customFormat="1">
      <c r="A10" s="88"/>
      <c r="B10" s="108" t="s">
        <v>81</v>
      </c>
      <c r="E10" s="109">
        <v>3.02</v>
      </c>
    </row>
    <row r="11" spans="1:13" s="89" customFormat="1">
      <c r="A11" s="88"/>
      <c r="B11" s="108"/>
      <c r="E11" s="110"/>
    </row>
    <row r="12" spans="1:13" ht="6" customHeight="1">
      <c r="E12" s="111"/>
    </row>
    <row r="13" spans="1:13">
      <c r="B13" s="82" t="s">
        <v>82</v>
      </c>
      <c r="E13" s="111"/>
    </row>
    <row r="14" spans="1:13" s="112" customFormat="1">
      <c r="A14" s="84">
        <v>1</v>
      </c>
      <c r="B14" s="112" t="s">
        <v>83</v>
      </c>
      <c r="E14" s="66">
        <v>0</v>
      </c>
    </row>
    <row r="15" spans="1:13">
      <c r="A15" s="84">
        <v>2</v>
      </c>
      <c r="B15" s="113" t="s">
        <v>84</v>
      </c>
      <c r="D15" s="113"/>
      <c r="E15" s="114">
        <v>0</v>
      </c>
    </row>
    <row r="16" spans="1:13">
      <c r="A16" s="84">
        <v>3</v>
      </c>
      <c r="B16" s="113" t="s">
        <v>85</v>
      </c>
      <c r="D16" s="113"/>
      <c r="E16" s="115">
        <v>0</v>
      </c>
    </row>
    <row r="17" spans="1:5">
      <c r="A17" s="84">
        <v>4</v>
      </c>
      <c r="B17" s="82" t="s">
        <v>86</v>
      </c>
      <c r="C17" s="113"/>
      <c r="D17" s="113"/>
      <c r="E17" s="116">
        <f t="shared" ref="E17" si="0">SUM(E14:E16)</f>
        <v>0</v>
      </c>
    </row>
    <row r="18" spans="1:5">
      <c r="C18" s="113"/>
      <c r="D18" s="113"/>
      <c r="E18" s="114"/>
    </row>
    <row r="19" spans="1:5">
      <c r="B19" s="82" t="s">
        <v>87</v>
      </c>
      <c r="C19" s="113"/>
      <c r="D19" s="113"/>
      <c r="E19" s="114"/>
    </row>
    <row r="20" spans="1:5">
      <c r="B20" s="113" t="s">
        <v>88</v>
      </c>
      <c r="D20" s="113"/>
      <c r="E20" s="114"/>
    </row>
    <row r="21" spans="1:5">
      <c r="A21" s="84">
        <v>5</v>
      </c>
      <c r="C21" s="113" t="s">
        <v>89</v>
      </c>
      <c r="D21" s="113"/>
      <c r="E21" s="114">
        <v>0</v>
      </c>
    </row>
    <row r="22" spans="1:5">
      <c r="A22" s="84">
        <v>6</v>
      </c>
      <c r="C22" s="113" t="s">
        <v>90</v>
      </c>
      <c r="D22" s="113"/>
      <c r="E22" s="114">
        <f>Summary!G39/1000</f>
        <v>12.938223074126388</v>
      </c>
    </row>
    <row r="23" spans="1:5">
      <c r="A23" s="84">
        <v>7</v>
      </c>
      <c r="C23" s="113" t="s">
        <v>91</v>
      </c>
      <c r="D23" s="113"/>
      <c r="E23" s="115">
        <v>0</v>
      </c>
    </row>
    <row r="24" spans="1:5">
      <c r="A24" s="84">
        <v>8</v>
      </c>
      <c r="B24" s="113" t="s">
        <v>92</v>
      </c>
      <c r="C24" s="113"/>
      <c r="E24" s="117">
        <f>SUM(E21:E23)</f>
        <v>12.938223074126388</v>
      </c>
    </row>
    <row r="25" spans="1:5">
      <c r="B25" s="113"/>
      <c r="C25" s="113"/>
      <c r="E25" s="116"/>
    </row>
    <row r="26" spans="1:5">
      <c r="B26" s="113" t="s">
        <v>93</v>
      </c>
      <c r="D26" s="113"/>
      <c r="E26" s="114"/>
    </row>
    <row r="27" spans="1:5">
      <c r="A27" s="84">
        <v>9</v>
      </c>
      <c r="C27" s="113" t="s">
        <v>94</v>
      </c>
      <c r="D27" s="113"/>
      <c r="E27" s="114">
        <f>Summary!G41/1000</f>
        <v>0.11979836179746656</v>
      </c>
    </row>
    <row r="28" spans="1:5">
      <c r="A28" s="84">
        <v>10</v>
      </c>
      <c r="C28" s="113" t="s">
        <v>44</v>
      </c>
      <c r="D28" s="113"/>
      <c r="E28" s="114">
        <v>0</v>
      </c>
    </row>
    <row r="29" spans="1:5">
      <c r="A29" s="84">
        <v>11</v>
      </c>
      <c r="C29" s="113" t="s">
        <v>95</v>
      </c>
      <c r="D29" s="113"/>
      <c r="E29" s="115">
        <v>0</v>
      </c>
    </row>
    <row r="30" spans="1:5">
      <c r="A30" s="84">
        <v>12</v>
      </c>
      <c r="B30" s="113" t="s">
        <v>96</v>
      </c>
      <c r="C30" s="113"/>
      <c r="E30" s="116">
        <f t="shared" ref="E30" si="1">SUM(E27:E29)</f>
        <v>0.11979836179746656</v>
      </c>
    </row>
    <row r="31" spans="1:5">
      <c r="B31" s="113"/>
      <c r="C31" s="113"/>
      <c r="E31" s="116"/>
    </row>
    <row r="32" spans="1:5">
      <c r="B32" s="113" t="s">
        <v>97</v>
      </c>
      <c r="D32" s="113"/>
      <c r="E32" s="114"/>
    </row>
    <row r="33" spans="1:5">
      <c r="A33" s="84">
        <v>13</v>
      </c>
      <c r="C33" s="113" t="s">
        <v>94</v>
      </c>
      <c r="D33" s="113"/>
      <c r="E33" s="114">
        <f>Summary!G43/1000</f>
        <v>177.90056726923783</v>
      </c>
    </row>
    <row r="34" spans="1:5" ht="15.75" customHeight="1">
      <c r="A34" s="84">
        <v>14</v>
      </c>
      <c r="C34" s="113" t="s">
        <v>44</v>
      </c>
      <c r="D34" s="113"/>
      <c r="E34" s="114">
        <v>0</v>
      </c>
    </row>
    <row r="35" spans="1:5">
      <c r="A35" s="84">
        <v>15</v>
      </c>
      <c r="C35" s="113" t="s">
        <v>95</v>
      </c>
      <c r="D35" s="113"/>
      <c r="E35" s="115">
        <v>0</v>
      </c>
    </row>
    <row r="36" spans="1:5" ht="12.95" customHeight="1">
      <c r="A36" s="84">
        <v>16</v>
      </c>
      <c r="B36" s="113" t="s">
        <v>98</v>
      </c>
      <c r="C36" s="113"/>
      <c r="E36" s="116">
        <f t="shared" ref="E36" si="2">SUM(E33:E35)</f>
        <v>177.90056726923783</v>
      </c>
    </row>
    <row r="37" spans="1:5" ht="12.95" customHeight="1">
      <c r="C37" s="113"/>
      <c r="D37" s="113"/>
      <c r="E37" s="116"/>
    </row>
    <row r="38" spans="1:5" ht="12.95" customHeight="1">
      <c r="A38" s="84">
        <v>17</v>
      </c>
      <c r="B38" s="82" t="s">
        <v>99</v>
      </c>
      <c r="C38" s="113"/>
      <c r="D38" s="113"/>
      <c r="E38" s="116">
        <f>Summary!G45/1000</f>
        <v>93.163192691163161</v>
      </c>
    </row>
    <row r="39" spans="1:5">
      <c r="A39" s="84">
        <v>18</v>
      </c>
      <c r="B39" s="82" t="s">
        <v>100</v>
      </c>
      <c r="C39" s="113"/>
      <c r="D39" s="113"/>
      <c r="E39" s="114">
        <f>Summary!G46/1000</f>
        <v>7.267767282379638</v>
      </c>
    </row>
    <row r="40" spans="1:5">
      <c r="A40" s="84">
        <v>19</v>
      </c>
      <c r="B40" s="82" t="s">
        <v>101</v>
      </c>
      <c r="C40" s="113"/>
      <c r="D40" s="113"/>
      <c r="E40" s="114">
        <v>0</v>
      </c>
    </row>
    <row r="41" spans="1:5">
      <c r="C41" s="113"/>
      <c r="D41" s="113"/>
      <c r="E41" s="114"/>
    </row>
    <row r="42" spans="1:5">
      <c r="B42" s="82" t="s">
        <v>102</v>
      </c>
      <c r="C42" s="113"/>
      <c r="D42" s="113"/>
      <c r="E42" s="114"/>
    </row>
    <row r="43" spans="1:5">
      <c r="A43" s="84">
        <v>20</v>
      </c>
      <c r="C43" s="113" t="s">
        <v>94</v>
      </c>
      <c r="D43" s="113"/>
      <c r="E43" s="114">
        <f>Summary!G49/1000</f>
        <v>107.93832397951736</v>
      </c>
    </row>
    <row r="44" spans="1:5">
      <c r="A44" s="84">
        <v>21</v>
      </c>
      <c r="C44" s="113" t="s">
        <v>44</v>
      </c>
      <c r="D44" s="113"/>
      <c r="E44" s="114">
        <v>0</v>
      </c>
    </row>
    <row r="45" spans="1:5">
      <c r="A45" s="84">
        <v>22</v>
      </c>
      <c r="C45" s="118" t="s">
        <v>103</v>
      </c>
      <c r="D45" s="113"/>
      <c r="E45" s="114"/>
    </row>
    <row r="46" spans="1:5">
      <c r="A46" s="84">
        <v>23</v>
      </c>
      <c r="C46" s="113" t="s">
        <v>95</v>
      </c>
      <c r="D46" s="113"/>
      <c r="E46" s="115">
        <v>0</v>
      </c>
    </row>
    <row r="47" spans="1:5">
      <c r="A47" s="84">
        <v>24</v>
      </c>
      <c r="B47" s="113" t="s">
        <v>104</v>
      </c>
      <c r="C47" s="113"/>
      <c r="E47" s="119">
        <f t="shared" ref="E47" si="3">SUM(E43:E46)</f>
        <v>107.93832397951736</v>
      </c>
    </row>
    <row r="48" spans="1:5" ht="19.5" customHeight="1">
      <c r="A48" s="84">
        <v>25</v>
      </c>
      <c r="B48" s="82" t="s">
        <v>105</v>
      </c>
      <c r="C48" s="113"/>
      <c r="D48" s="113"/>
      <c r="E48" s="119">
        <f>E24+E30+E36+E38+E39+E40+E47</f>
        <v>399.32787265822179</v>
      </c>
    </row>
    <row r="49" spans="1:5" ht="9" customHeight="1">
      <c r="C49" s="113"/>
      <c r="D49" s="113"/>
      <c r="E49" s="116"/>
    </row>
    <row r="50" spans="1:5" ht="12.95" customHeight="1">
      <c r="A50" s="84">
        <v>26</v>
      </c>
      <c r="B50" s="82" t="s">
        <v>106</v>
      </c>
      <c r="C50" s="113"/>
      <c r="D50" s="113"/>
      <c r="E50" s="116">
        <f t="shared" ref="E50" si="4">E17-E48</f>
        <v>-399.32787265822179</v>
      </c>
    </row>
    <row r="51" spans="1:5" ht="12.95" customHeight="1">
      <c r="C51" s="113"/>
      <c r="D51" s="113"/>
      <c r="E51" s="116"/>
    </row>
    <row r="52" spans="1:5" ht="12.95" customHeight="1">
      <c r="B52" s="82" t="s">
        <v>107</v>
      </c>
      <c r="C52" s="113"/>
      <c r="D52" s="113"/>
      <c r="E52" s="114"/>
    </row>
    <row r="53" spans="1:5">
      <c r="A53" s="84">
        <v>27</v>
      </c>
      <c r="B53" s="113" t="s">
        <v>108</v>
      </c>
      <c r="D53" s="113"/>
      <c r="E53" s="114">
        <f>ROUNDUP(E50*0.35,0)</f>
        <v>-140</v>
      </c>
    </row>
    <row r="54" spans="1:5">
      <c r="A54" s="84">
        <v>28</v>
      </c>
      <c r="B54" s="113" t="s">
        <v>55</v>
      </c>
      <c r="D54" s="113"/>
      <c r="E54" s="114">
        <v>0</v>
      </c>
    </row>
    <row r="55" spans="1:5">
      <c r="A55" s="84">
        <v>29</v>
      </c>
      <c r="B55" s="113" t="s">
        <v>109</v>
      </c>
      <c r="D55" s="113"/>
      <c r="E55" s="114">
        <v>0</v>
      </c>
    </row>
    <row r="56" spans="1:5">
      <c r="A56" s="84">
        <v>30</v>
      </c>
      <c r="B56" s="113" t="s">
        <v>110</v>
      </c>
      <c r="D56" s="113"/>
      <c r="E56" s="115">
        <v>0</v>
      </c>
    </row>
    <row r="57" spans="1:5">
      <c r="E57" s="116"/>
    </row>
    <row r="58" spans="1:5" s="112" customFormat="1" ht="12.75" thickBot="1">
      <c r="A58" s="84">
        <v>31</v>
      </c>
      <c r="B58" s="112" t="s">
        <v>111</v>
      </c>
      <c r="E58" s="120">
        <f t="shared" ref="E58" si="5">E50-SUM(E53:E56)</f>
        <v>-259.32787265822179</v>
      </c>
    </row>
    <row r="59" spans="1:5" ht="6" customHeight="1" thickTop="1">
      <c r="E59" s="121"/>
    </row>
    <row r="60" spans="1:5">
      <c r="B60" s="82" t="s">
        <v>112</v>
      </c>
      <c r="E60" s="121"/>
    </row>
    <row r="61" spans="1:5">
      <c r="B61" s="82" t="s">
        <v>113</v>
      </c>
      <c r="E61" s="122"/>
    </row>
    <row r="62" spans="1:5">
      <c r="A62" s="84">
        <v>32</v>
      </c>
      <c r="B62" s="113"/>
      <c r="C62" s="113" t="s">
        <v>93</v>
      </c>
      <c r="D62" s="113"/>
      <c r="E62" s="123">
        <v>0</v>
      </c>
    </row>
    <row r="63" spans="1:5">
      <c r="A63" s="84">
        <v>33</v>
      </c>
      <c r="B63" s="113"/>
      <c r="C63" s="113" t="s">
        <v>114</v>
      </c>
      <c r="D63" s="113"/>
      <c r="E63" s="122">
        <v>0</v>
      </c>
    </row>
    <row r="64" spans="1:5">
      <c r="A64" s="84">
        <v>34</v>
      </c>
      <c r="B64" s="113"/>
      <c r="C64" s="113" t="s">
        <v>115</v>
      </c>
      <c r="D64" s="113"/>
      <c r="E64" s="124">
        <v>0</v>
      </c>
    </row>
    <row r="65" spans="1:7" ht="18" customHeight="1">
      <c r="A65" s="84">
        <v>35</v>
      </c>
      <c r="B65" s="113" t="s">
        <v>116</v>
      </c>
      <c r="C65" s="113"/>
      <c r="E65" s="116">
        <f t="shared" ref="E65" si="6">SUM(E62:E64)</f>
        <v>0</v>
      </c>
    </row>
    <row r="66" spans="1:7" ht="3.75" customHeight="1">
      <c r="B66" s="113"/>
      <c r="C66" s="113"/>
      <c r="E66" s="116"/>
      <c r="F66" s="125"/>
      <c r="G66" s="125"/>
    </row>
    <row r="67" spans="1:7">
      <c r="B67" s="113" t="s">
        <v>66</v>
      </c>
      <c r="C67" s="113"/>
      <c r="D67" s="113"/>
      <c r="E67" s="114"/>
      <c r="F67" s="125"/>
      <c r="G67" s="125"/>
    </row>
    <row r="68" spans="1:7">
      <c r="A68" s="84">
        <v>36</v>
      </c>
      <c r="B68" s="113"/>
      <c r="C68" s="113" t="s">
        <v>93</v>
      </c>
      <c r="D68" s="113"/>
      <c r="E68" s="114">
        <v>0</v>
      </c>
    </row>
    <row r="69" spans="1:7">
      <c r="A69" s="84">
        <v>37</v>
      </c>
      <c r="B69" s="113"/>
      <c r="C69" s="113" t="s">
        <v>114</v>
      </c>
      <c r="D69" s="113"/>
      <c r="E69" s="114">
        <v>0</v>
      </c>
    </row>
    <row r="70" spans="1:7">
      <c r="A70" s="84">
        <v>38</v>
      </c>
      <c r="B70" s="113"/>
      <c r="C70" s="113" t="s">
        <v>115</v>
      </c>
      <c r="D70" s="113"/>
      <c r="E70" s="114">
        <v>0</v>
      </c>
    </row>
    <row r="71" spans="1:7">
      <c r="A71" s="84">
        <v>39</v>
      </c>
      <c r="B71" s="113" t="s">
        <v>117</v>
      </c>
      <c r="C71" s="113"/>
      <c r="E71" s="126">
        <f t="shared" ref="E71" si="7">SUM(E68:E70)</f>
        <v>0</v>
      </c>
    </row>
    <row r="72" spans="1:7">
      <c r="A72" s="84">
        <v>40</v>
      </c>
      <c r="B72" s="113" t="s">
        <v>118</v>
      </c>
      <c r="C72" s="113"/>
      <c r="D72" s="113"/>
      <c r="E72" s="127">
        <f t="shared" ref="E72" si="8">E65+E71</f>
        <v>0</v>
      </c>
    </row>
    <row r="73" spans="1:7" s="125" customFormat="1" ht="13.5" customHeight="1">
      <c r="A73" s="128">
        <v>41</v>
      </c>
      <c r="B73" s="129" t="s">
        <v>119</v>
      </c>
      <c r="C73" s="129"/>
      <c r="D73" s="129"/>
      <c r="E73" s="115"/>
    </row>
    <row r="74" spans="1:7" s="125" customFormat="1" ht="18.95" customHeight="1">
      <c r="A74" s="128">
        <v>42</v>
      </c>
      <c r="B74" s="129" t="s">
        <v>70</v>
      </c>
      <c r="C74" s="129"/>
      <c r="D74" s="129"/>
      <c r="E74" s="127">
        <f t="shared" ref="E74" si="9">E72+E73</f>
        <v>0</v>
      </c>
    </row>
    <row r="75" spans="1:7">
      <c r="A75" s="84">
        <v>43</v>
      </c>
      <c r="B75" s="113" t="s">
        <v>120</v>
      </c>
      <c r="C75" s="113"/>
      <c r="D75" s="113"/>
      <c r="E75" s="114">
        <v>0</v>
      </c>
    </row>
    <row r="76" spans="1:7" s="125" customFormat="1">
      <c r="A76" s="128">
        <v>44</v>
      </c>
      <c r="B76" s="129" t="s">
        <v>121</v>
      </c>
      <c r="C76" s="129"/>
      <c r="D76" s="129"/>
      <c r="E76" s="130">
        <v>0</v>
      </c>
    </row>
    <row r="77" spans="1:7" s="125" customFormat="1">
      <c r="A77" s="128">
        <v>45</v>
      </c>
      <c r="B77" s="129" t="s">
        <v>122</v>
      </c>
      <c r="C77" s="129"/>
      <c r="D77" s="129"/>
      <c r="E77" s="130">
        <v>0</v>
      </c>
    </row>
    <row r="78" spans="1:7">
      <c r="A78" s="84">
        <v>46</v>
      </c>
      <c r="B78" s="113" t="s">
        <v>72</v>
      </c>
      <c r="C78" s="113"/>
      <c r="D78" s="113"/>
      <c r="E78" s="115">
        <v>0</v>
      </c>
    </row>
    <row r="79" spans="1:7" ht="7.5" customHeight="1"/>
    <row r="80" spans="1:7" ht="6.75" customHeight="1">
      <c r="E80" s="116"/>
    </row>
    <row r="81" spans="1:6" s="131" customFormat="1" ht="12.75" thickBot="1">
      <c r="A81" s="88">
        <v>47</v>
      </c>
      <c r="B81" s="131" t="s">
        <v>123</v>
      </c>
      <c r="E81" s="132">
        <f t="shared" ref="E81" si="10">E74+E75+E76+E78+E77</f>
        <v>0</v>
      </c>
    </row>
    <row r="82" spans="1:6" ht="12.75" thickTop="1">
      <c r="A82" s="84">
        <v>48</v>
      </c>
      <c r="B82" s="82" t="s">
        <v>124</v>
      </c>
      <c r="E82" s="121"/>
      <c r="F82" s="89"/>
    </row>
    <row r="83" spans="1:6">
      <c r="A83" s="84">
        <v>50</v>
      </c>
      <c r="B83" s="82" t="s">
        <v>125</v>
      </c>
      <c r="E83" s="111"/>
      <c r="F83" s="133"/>
    </row>
    <row r="84" spans="1:6" ht="8.25" customHeight="1">
      <c r="E84" s="121"/>
    </row>
    <row r="85" spans="1:6" s="135" customFormat="1">
      <c r="A85" s="134"/>
      <c r="D85" s="136"/>
      <c r="E85" s="137"/>
    </row>
    <row r="86" spans="1:6" s="135" customFormat="1">
      <c r="A86" s="138"/>
      <c r="E86" s="137"/>
    </row>
    <row r="87" spans="1:6" s="135" customFormat="1">
      <c r="A87" s="138"/>
      <c r="D87" s="136"/>
      <c r="E87" s="137"/>
    </row>
    <row r="88" spans="1:6" s="140" customFormat="1">
      <c r="A88" s="139"/>
      <c r="D88" s="141"/>
      <c r="E88" s="142"/>
    </row>
    <row r="89" spans="1:6" s="140" customFormat="1">
      <c r="A89" s="139"/>
      <c r="D89" s="143"/>
      <c r="E89" s="142"/>
    </row>
    <row r="90" spans="1:6" s="140" customFormat="1">
      <c r="A90" s="139"/>
      <c r="E90" s="144"/>
    </row>
    <row r="91" spans="1:6" s="140" customFormat="1">
      <c r="A91" s="139"/>
      <c r="E91" s="144"/>
    </row>
    <row r="92" spans="1:6" s="125" customFormat="1">
      <c r="A92" s="128"/>
      <c r="E92" s="145"/>
    </row>
    <row r="93" spans="1:6" s="125" customFormat="1">
      <c r="A93" s="128"/>
      <c r="E93" s="145"/>
    </row>
    <row r="94" spans="1:6" s="125" customFormat="1">
      <c r="A94" s="128"/>
      <c r="E94" s="145"/>
    </row>
  </sheetData>
  <pageMargins left="0.7" right="0.7" top="0.75" bottom="0.75" header="0.3" footer="0.3"/>
  <pageSetup scale="67" firstPageNumber="4" fitToWidth="5" orientation="portrait" r:id="rId1"/>
  <headerFooter>
    <oddHeader>&amp;RExhibit No. MC-9
Dockets UE-160228/229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56"/>
  <sheetViews>
    <sheetView tabSelected="1" topLeftCell="A4" zoomScaleNormal="100" workbookViewId="0">
      <selection activeCell="E23" sqref="E23"/>
    </sheetView>
  </sheetViews>
  <sheetFormatPr defaultRowHeight="12.75"/>
  <cols>
    <col min="1" max="1" width="1.375" style="152" customWidth="1"/>
    <col min="2" max="2" width="24.125" style="152" customWidth="1"/>
    <col min="3" max="3" width="2.75" style="152" customWidth="1"/>
    <col min="4" max="4" width="7.375" style="168" customWidth="1"/>
    <col min="5" max="5" width="12.625" style="155" customWidth="1"/>
    <col min="6" max="6" width="13.125" style="155" bestFit="1" customWidth="1"/>
    <col min="7" max="7" width="13.875" style="152" bestFit="1" customWidth="1"/>
    <col min="8" max="8" width="1.75" style="152" customWidth="1"/>
    <col min="9" max="9" width="9.75" style="152" customWidth="1"/>
    <col min="10" max="13" width="12.375" style="152" customWidth="1"/>
    <col min="14" max="14" width="9" style="152"/>
    <col min="15" max="16" width="12.375" style="152" customWidth="1"/>
    <col min="17" max="17" width="13" style="152" bestFit="1" customWidth="1"/>
    <col min="18" max="18" width="12.375" style="152" customWidth="1"/>
    <col min="19" max="19" width="8.125" style="152" bestFit="1" customWidth="1"/>
    <col min="20" max="21" width="11.125" style="152" bestFit="1" customWidth="1"/>
    <col min="22" max="22" width="10.25" style="152" bestFit="1" customWidth="1"/>
    <col min="23" max="16384" width="9" style="152"/>
  </cols>
  <sheetData>
    <row r="1" spans="1:22">
      <c r="A1" s="146" t="s">
        <v>76</v>
      </c>
      <c r="B1" s="147"/>
      <c r="C1" s="148"/>
      <c r="D1" s="149"/>
      <c r="E1" s="148"/>
      <c r="F1" s="150"/>
      <c r="G1" s="151"/>
      <c r="K1" s="150"/>
    </row>
    <row r="2" spans="1:22" ht="13.5" thickBot="1">
      <c r="A2" s="146" t="s">
        <v>126</v>
      </c>
      <c r="B2" s="147"/>
      <c r="C2" s="148"/>
      <c r="D2" s="149"/>
      <c r="E2" s="148"/>
      <c r="F2" s="148"/>
      <c r="G2" s="151"/>
    </row>
    <row r="3" spans="1:22" ht="15.75" thickBot="1">
      <c r="A3" s="153" t="s">
        <v>127</v>
      </c>
      <c r="B3" s="147"/>
      <c r="C3" s="148"/>
      <c r="D3" s="149"/>
      <c r="E3" s="311" t="s">
        <v>128</v>
      </c>
      <c r="F3" s="311"/>
      <c r="G3" s="311"/>
      <c r="J3" s="312" t="s">
        <v>129</v>
      </c>
      <c r="K3" s="312"/>
      <c r="L3" s="312"/>
      <c r="M3" s="312"/>
      <c r="O3" s="312" t="s">
        <v>130</v>
      </c>
      <c r="P3" s="312"/>
      <c r="Q3" s="312"/>
      <c r="R3" s="312"/>
      <c r="T3" s="313" t="s">
        <v>131</v>
      </c>
      <c r="U3" s="313"/>
      <c r="V3" s="154">
        <f>V22+V52</f>
        <v>238930.80351980485</v>
      </c>
    </row>
    <row r="4" spans="1:22">
      <c r="A4" s="147"/>
      <c r="B4" s="147"/>
      <c r="C4" s="148"/>
      <c r="D4" s="149"/>
      <c r="J4" s="156">
        <v>42419</v>
      </c>
      <c r="K4" s="156">
        <v>42591</v>
      </c>
      <c r="O4" s="156">
        <v>42419</v>
      </c>
      <c r="P4" s="156">
        <v>42591</v>
      </c>
    </row>
    <row r="5" spans="1:22">
      <c r="A5" s="147"/>
      <c r="B5" s="147"/>
      <c r="C5" s="148"/>
      <c r="D5" s="157"/>
      <c r="E5" s="158" t="s">
        <v>132</v>
      </c>
      <c r="F5" s="158" t="s">
        <v>132</v>
      </c>
      <c r="J5" s="158" t="s">
        <v>133</v>
      </c>
      <c r="K5" s="158" t="s">
        <v>133</v>
      </c>
      <c r="O5" s="158" t="s">
        <v>133</v>
      </c>
      <c r="P5" s="158" t="s">
        <v>133</v>
      </c>
      <c r="Q5" s="158"/>
      <c r="R5" s="158"/>
    </row>
    <row r="6" spans="1:22" ht="15.75">
      <c r="A6" s="147"/>
      <c r="B6" s="147"/>
      <c r="C6" s="148"/>
      <c r="D6" s="159" t="s">
        <v>134</v>
      </c>
      <c r="E6" s="158" t="s">
        <v>1</v>
      </c>
      <c r="F6" s="158" t="s">
        <v>2</v>
      </c>
      <c r="G6" s="158" t="s">
        <v>132</v>
      </c>
      <c r="J6" s="158" t="s">
        <v>1</v>
      </c>
      <c r="K6" s="158" t="s">
        <v>1</v>
      </c>
      <c r="L6" s="158"/>
      <c r="M6" s="158"/>
      <c r="O6" s="158" t="s">
        <v>2</v>
      </c>
      <c r="P6" s="158" t="s">
        <v>2</v>
      </c>
      <c r="Q6" s="158"/>
      <c r="R6" s="158"/>
    </row>
    <row r="7" spans="1:22">
      <c r="A7" s="160" t="s">
        <v>135</v>
      </c>
      <c r="B7" s="161"/>
      <c r="C7" s="148"/>
      <c r="D7" s="162" t="s">
        <v>136</v>
      </c>
      <c r="E7" s="163" t="s">
        <v>79</v>
      </c>
      <c r="F7" s="163" t="s">
        <v>79</v>
      </c>
      <c r="G7" s="163" t="s">
        <v>137</v>
      </c>
      <c r="J7" s="163" t="s">
        <v>138</v>
      </c>
      <c r="K7" s="163" t="s">
        <v>139</v>
      </c>
      <c r="L7" s="163" t="s">
        <v>140</v>
      </c>
      <c r="M7" s="163" t="s">
        <v>141</v>
      </c>
      <c r="O7" s="163" t="s">
        <v>142</v>
      </c>
      <c r="P7" s="163" t="s">
        <v>139</v>
      </c>
      <c r="Q7" s="163" t="s">
        <v>140</v>
      </c>
      <c r="R7" s="163" t="s">
        <v>141</v>
      </c>
    </row>
    <row r="8" spans="1:22" s="164" customFormat="1" ht="15">
      <c r="B8" s="146"/>
      <c r="C8" s="150"/>
      <c r="D8" s="165"/>
      <c r="E8" s="150"/>
      <c r="F8" s="150"/>
      <c r="G8" s="150"/>
      <c r="J8" s="166" t="s">
        <v>143</v>
      </c>
      <c r="K8" s="166"/>
      <c r="L8" s="166" t="s">
        <v>144</v>
      </c>
      <c r="M8" s="166" t="s">
        <v>145</v>
      </c>
      <c r="N8" s="167"/>
      <c r="O8" s="166" t="s">
        <v>143</v>
      </c>
      <c r="P8" s="166"/>
      <c r="Q8" s="166" t="s">
        <v>144</v>
      </c>
      <c r="R8" s="166" t="s">
        <v>145</v>
      </c>
    </row>
    <row r="9" spans="1:22">
      <c r="A9" s="155" t="s">
        <v>92</v>
      </c>
      <c r="B9" s="147"/>
      <c r="C9" s="148"/>
      <c r="D9" s="168">
        <v>0.26040000000000002</v>
      </c>
      <c r="E9" s="169">
        <f>D9*$E$23</f>
        <v>233740.62992144201</v>
      </c>
      <c r="F9" s="169">
        <f>D9*$F$23</f>
        <v>115277.6384749142</v>
      </c>
      <c r="G9" s="169">
        <f>E9+F9</f>
        <v>349018.2683963562</v>
      </c>
      <c r="J9" s="169">
        <v>148881</v>
      </c>
      <c r="K9" s="169"/>
      <c r="L9" s="169">
        <f>E9</f>
        <v>233740.62992144201</v>
      </c>
      <c r="M9" s="169">
        <f>L9-J9</f>
        <v>84859.629921442014</v>
      </c>
      <c r="O9" s="169">
        <v>146322</v>
      </c>
      <c r="P9" s="169"/>
      <c r="Q9" s="169">
        <f>F9</f>
        <v>115277.6384749142</v>
      </c>
      <c r="R9" s="169">
        <f>Q9-O9</f>
        <v>-31044.361525085798</v>
      </c>
    </row>
    <row r="10" spans="1:22">
      <c r="A10" s="155" t="s">
        <v>146</v>
      </c>
      <c r="B10" s="147"/>
      <c r="C10" s="148"/>
      <c r="D10" s="168">
        <v>7.6600000000000001E-2</v>
      </c>
      <c r="E10" s="169">
        <f>D10*$E$23</f>
        <v>68757.804347090845</v>
      </c>
      <c r="F10" s="169">
        <f>D10*$F$23</f>
        <v>33910.395956906403</v>
      </c>
      <c r="G10" s="169">
        <f>E10+F10</f>
        <v>102668.20030399725</v>
      </c>
      <c r="J10" s="169">
        <v>45317</v>
      </c>
      <c r="K10" s="169"/>
      <c r="L10" s="169">
        <f>E10</f>
        <v>68757.804347090845</v>
      </c>
      <c r="M10" s="169">
        <f>L10-J10</f>
        <v>23440.804347090845</v>
      </c>
      <c r="O10" s="169">
        <v>44538</v>
      </c>
      <c r="P10" s="169"/>
      <c r="Q10" s="169">
        <f>F10</f>
        <v>33910.395956906403</v>
      </c>
      <c r="R10" s="169">
        <f>Q10-O10</f>
        <v>-10627.604043093597</v>
      </c>
    </row>
    <row r="11" spans="1:22">
      <c r="A11" s="155"/>
      <c r="B11" s="155" t="s">
        <v>147</v>
      </c>
      <c r="C11" s="148"/>
      <c r="E11" s="170">
        <f>E9+E10</f>
        <v>302498.43426853284</v>
      </c>
      <c r="F11" s="170">
        <f>F9+F10</f>
        <v>149188.03443182062</v>
      </c>
      <c r="G11" s="171">
        <f>E11+F11</f>
        <v>451686.46870035346</v>
      </c>
      <c r="J11" s="170">
        <f>J9+J10</f>
        <v>194198</v>
      </c>
      <c r="K11" s="170">
        <v>386380.59399999998</v>
      </c>
      <c r="L11" s="170">
        <f>L9+L10</f>
        <v>302498.43426853284</v>
      </c>
      <c r="M11" s="170">
        <f>L11-J11</f>
        <v>108300.43426853284</v>
      </c>
      <c r="O11" s="170">
        <f>O9+O10</f>
        <v>190860</v>
      </c>
      <c r="P11" s="170">
        <v>408353.65439999994</v>
      </c>
      <c r="Q11" s="170">
        <f>Q9+Q10</f>
        <v>149188.03443182062</v>
      </c>
      <c r="R11" s="170">
        <f>Q11-O11</f>
        <v>-41671.965568179381</v>
      </c>
    </row>
    <row r="12" spans="1:22">
      <c r="A12" s="155"/>
      <c r="B12" s="147"/>
      <c r="C12" s="148"/>
      <c r="E12" s="169"/>
      <c r="F12" s="169"/>
      <c r="G12" s="169"/>
      <c r="J12" s="169"/>
      <c r="K12" s="169"/>
      <c r="L12" s="169"/>
      <c r="M12" s="169"/>
      <c r="O12" s="169"/>
      <c r="P12" s="169"/>
      <c r="Q12" s="169"/>
      <c r="R12" s="169"/>
    </row>
    <row r="13" spans="1:22">
      <c r="A13" s="155" t="s">
        <v>98</v>
      </c>
      <c r="B13" s="147"/>
      <c r="C13" s="148"/>
      <c r="D13" s="168">
        <v>0.24759999999999999</v>
      </c>
      <c r="E13" s="169">
        <f>D13*$E$23</f>
        <v>222251.07514803778</v>
      </c>
      <c r="F13" s="169">
        <f>D13*$F$23</f>
        <v>109611.14933329013</v>
      </c>
      <c r="G13" s="172">
        <f>E13+F13</f>
        <v>331862.22448132792</v>
      </c>
      <c r="J13" s="169">
        <v>134669</v>
      </c>
      <c r="K13" s="169">
        <v>267939.99199999997</v>
      </c>
      <c r="L13" s="169">
        <f>E13</f>
        <v>222251.07514803778</v>
      </c>
      <c r="M13" s="169">
        <f>L13-J13</f>
        <v>87582.07514803778</v>
      </c>
      <c r="O13" s="169">
        <v>132353</v>
      </c>
      <c r="P13" s="169">
        <v>283177.45919999998</v>
      </c>
      <c r="Q13" s="169">
        <f>F13</f>
        <v>109611.14933329013</v>
      </c>
      <c r="R13" s="169">
        <f>Q13-O13</f>
        <v>-22741.85066670987</v>
      </c>
    </row>
    <row r="14" spans="1:22">
      <c r="A14" s="155"/>
      <c r="B14" s="147"/>
      <c r="C14" s="148"/>
      <c r="E14" s="169"/>
      <c r="F14" s="169"/>
      <c r="G14" s="169"/>
      <c r="J14" s="169"/>
      <c r="K14" s="169"/>
      <c r="L14" s="169"/>
      <c r="M14" s="169"/>
      <c r="O14" s="169"/>
      <c r="P14" s="169"/>
      <c r="Q14" s="169"/>
      <c r="R14" s="169"/>
    </row>
    <row r="15" spans="1:22">
      <c r="A15" s="155" t="s">
        <v>148</v>
      </c>
      <c r="B15" s="147"/>
      <c r="C15" s="148"/>
      <c r="D15" s="168">
        <v>0.1099</v>
      </c>
      <c r="E15" s="169">
        <f>D15*$E$23</f>
        <v>98648.599187275249</v>
      </c>
      <c r="F15" s="169">
        <f>D15*$F$23</f>
        <v>48652.12161441271</v>
      </c>
      <c r="G15" s="172">
        <f>E15+F15</f>
        <v>147300.72080168797</v>
      </c>
      <c r="J15" s="169">
        <v>65762</v>
      </c>
      <c r="K15" s="169"/>
      <c r="L15" s="169">
        <f>E15</f>
        <v>98648.599187275249</v>
      </c>
      <c r="M15" s="169">
        <f>L15-J15</f>
        <v>32886.599187275249</v>
      </c>
      <c r="O15" s="169">
        <v>64631</v>
      </c>
      <c r="P15" s="169"/>
      <c r="Q15" s="169">
        <f>F15</f>
        <v>48652.12161441271</v>
      </c>
      <c r="R15" s="169">
        <f>Q15-O15</f>
        <v>-15978.87838558729</v>
      </c>
    </row>
    <row r="16" spans="1:22">
      <c r="A16" s="155" t="s">
        <v>149</v>
      </c>
      <c r="B16" s="147"/>
      <c r="C16" s="148"/>
      <c r="D16" s="168">
        <v>1.01E-2</v>
      </c>
      <c r="E16" s="169">
        <f>D16*$E$23</f>
        <v>9065.976813389263</v>
      </c>
      <c r="F16" s="169">
        <f>D16*$F$23</f>
        <v>4471.214088312724</v>
      </c>
      <c r="G16" s="172">
        <f>E16+F16</f>
        <v>13537.190901701986</v>
      </c>
      <c r="I16" s="194"/>
      <c r="J16" s="169">
        <v>6233</v>
      </c>
      <c r="K16" s="169"/>
      <c r="L16" s="169">
        <f>E16</f>
        <v>9065.976813389263</v>
      </c>
      <c r="M16" s="169">
        <f t="shared" ref="M16:M17" si="0">L16-J16</f>
        <v>2832.976813389263</v>
      </c>
      <c r="O16" s="169">
        <v>6125</v>
      </c>
      <c r="P16" s="169"/>
      <c r="Q16" s="169">
        <f t="shared" ref="Q16" si="1">F16</f>
        <v>4471.214088312724</v>
      </c>
      <c r="R16" s="169">
        <f t="shared" ref="R16:R17" si="2">Q16-O16</f>
        <v>-1653.785911687276</v>
      </c>
    </row>
    <row r="17" spans="1:22">
      <c r="A17" s="155"/>
      <c r="B17" s="147" t="s">
        <v>241</v>
      </c>
      <c r="C17" s="148"/>
      <c r="E17" s="170">
        <f>SUM(E15:E16)</f>
        <v>107714.57600066451</v>
      </c>
      <c r="F17" s="170">
        <f>SUM(F15:F16)</f>
        <v>53123.335702725431</v>
      </c>
      <c r="G17" s="170">
        <f>E17+F17</f>
        <v>160837.91170338995</v>
      </c>
      <c r="J17" s="170">
        <f>SUM(J15:J16)</f>
        <v>71995</v>
      </c>
      <c r="K17" s="170">
        <v>143241.27600000001</v>
      </c>
      <c r="L17" s="170">
        <f t="shared" ref="L17" si="3">SUM(L15:L16)</f>
        <v>107714.57600066451</v>
      </c>
      <c r="M17" s="169">
        <f t="shared" si="0"/>
        <v>35719.576000664514</v>
      </c>
      <c r="O17" s="170">
        <f>SUM(O15:O16)</f>
        <v>70756</v>
      </c>
      <c r="P17" s="170">
        <v>151387.25760000001</v>
      </c>
      <c r="Q17" s="170">
        <f t="shared" ref="Q17" si="4">SUM(Q15:Q16)</f>
        <v>53123.335702725431</v>
      </c>
      <c r="R17" s="169">
        <f t="shared" si="2"/>
        <v>-17632.664297274569</v>
      </c>
    </row>
    <row r="18" spans="1:22">
      <c r="A18" s="155"/>
      <c r="B18" s="147"/>
      <c r="C18" s="148"/>
      <c r="E18" s="169"/>
      <c r="F18" s="169"/>
      <c r="G18" s="169"/>
      <c r="J18" s="169"/>
      <c r="K18" s="169"/>
      <c r="L18" s="169"/>
      <c r="M18" s="169"/>
      <c r="O18" s="169"/>
      <c r="P18" s="169"/>
      <c r="Q18" s="169"/>
      <c r="R18" s="169"/>
    </row>
    <row r="19" spans="1:22">
      <c r="A19" s="155" t="s">
        <v>150</v>
      </c>
      <c r="B19" s="147"/>
      <c r="C19" s="148"/>
      <c r="D19" s="168">
        <v>0.2954</v>
      </c>
      <c r="E19" s="173">
        <f>D19*$E$23</f>
        <v>265157.38125496916</v>
      </c>
      <c r="F19" s="173">
        <f>D19*$F$23</f>
        <v>130771.94472154244</v>
      </c>
      <c r="G19" s="174">
        <f>E19+F19</f>
        <v>395929.32597651158</v>
      </c>
      <c r="J19" s="173">
        <v>181617</v>
      </c>
      <c r="K19" s="173">
        <v>361348.13800000004</v>
      </c>
      <c r="L19" s="173">
        <f>E19</f>
        <v>265157.38125496916</v>
      </c>
      <c r="M19" s="174">
        <f>L19-J19</f>
        <v>83540.381254969165</v>
      </c>
      <c r="O19" s="173">
        <v>178494</v>
      </c>
      <c r="P19" s="173">
        <v>381897.62880000001</v>
      </c>
      <c r="Q19" s="173">
        <f>F19</f>
        <v>130771.94472154244</v>
      </c>
      <c r="R19" s="173">
        <f>Q19-O19</f>
        <v>-47722.055278457556</v>
      </c>
      <c r="T19" s="310" t="s">
        <v>151</v>
      </c>
      <c r="U19" s="310"/>
      <c r="V19" s="310"/>
    </row>
    <row r="20" spans="1:22" ht="12.75" customHeight="1">
      <c r="A20" s="155"/>
      <c r="B20" s="147" t="s">
        <v>132</v>
      </c>
      <c r="C20" s="148"/>
      <c r="E20" s="175">
        <f>E11+E13+E15+E16+E19</f>
        <v>897621.46667220432</v>
      </c>
      <c r="F20" s="175">
        <f>F11+F13+F15+F16+F19</f>
        <v>442694.46418937854</v>
      </c>
      <c r="G20" s="175">
        <f>E20+F20</f>
        <v>1340315.930861583</v>
      </c>
      <c r="J20" s="175">
        <f>J11+J13+J15+J16+J19</f>
        <v>582479</v>
      </c>
      <c r="K20" s="175">
        <f>K11+K13+K17+K19</f>
        <v>1158910</v>
      </c>
      <c r="L20" s="175">
        <f t="shared" ref="L20" si="5">L11+L13+L15+L16+L19</f>
        <v>897621.46667220432</v>
      </c>
      <c r="M20" s="175">
        <f>L20-J20</f>
        <v>315142.46667220432</v>
      </c>
      <c r="O20" s="175">
        <f>O11+O13+O15+O16+O19</f>
        <v>572463</v>
      </c>
      <c r="P20" s="175">
        <f>P11+P13+P17+P19</f>
        <v>1224816</v>
      </c>
      <c r="Q20" s="175">
        <f>Q11+Q13+Q15+Q16+Q19</f>
        <v>442694.46418937854</v>
      </c>
      <c r="R20" s="175">
        <f>Q20-O20</f>
        <v>-129768.53581062146</v>
      </c>
      <c r="T20" s="310"/>
      <c r="U20" s="310"/>
      <c r="V20" s="310"/>
    </row>
    <row r="21" spans="1:22" ht="15.75" thickBot="1">
      <c r="A21" s="155"/>
      <c r="B21" s="147"/>
      <c r="C21" s="148"/>
      <c r="E21" s="176" t="s">
        <v>152</v>
      </c>
      <c r="F21" s="176" t="s">
        <v>153</v>
      </c>
      <c r="G21" s="177"/>
      <c r="H21" s="177"/>
      <c r="I21" s="178"/>
      <c r="J21" s="176" t="s">
        <v>154</v>
      </c>
      <c r="K21" s="179"/>
      <c r="L21" s="179"/>
      <c r="M21" s="179"/>
      <c r="N21" s="178"/>
      <c r="O21" s="176"/>
      <c r="P21" s="179"/>
      <c r="Q21" s="179"/>
      <c r="R21" s="179"/>
      <c r="S21" s="178"/>
      <c r="T21" s="176" t="s">
        <v>155</v>
      </c>
      <c r="U21" s="176" t="s">
        <v>156</v>
      </c>
      <c r="V21" s="178"/>
    </row>
    <row r="22" spans="1:22" ht="15.75" thickBot="1">
      <c r="A22" s="155" t="s">
        <v>157</v>
      </c>
      <c r="B22" s="147"/>
      <c r="C22" s="148"/>
      <c r="D22" s="168">
        <f>SUM(D9:D19)</f>
        <v>1</v>
      </c>
      <c r="E22" s="180">
        <f>E11+E13+E17+E19</f>
        <v>897621.46667220432</v>
      </c>
      <c r="F22" s="180">
        <f>F11+F13+F17+F19</f>
        <v>442694.46418937866</v>
      </c>
      <c r="G22" s="180">
        <f>E22+F22</f>
        <v>1340315.930861583</v>
      </c>
      <c r="J22" s="180">
        <f>J11+J13+J17+J19</f>
        <v>582479</v>
      </c>
      <c r="K22" s="180">
        <f t="shared" ref="K22:L22" si="6">K11+K13+K17+K19</f>
        <v>1158910</v>
      </c>
      <c r="L22" s="180">
        <f t="shared" si="6"/>
        <v>897621.46667220432</v>
      </c>
      <c r="M22" s="180">
        <f>L22-J22</f>
        <v>315142.46667220432</v>
      </c>
      <c r="O22" s="180">
        <f>O11+O13+O17+O19</f>
        <v>572463</v>
      </c>
      <c r="P22" s="180">
        <f t="shared" ref="P22:Q22" si="7">P11+P13+P17+P19</f>
        <v>1224816</v>
      </c>
      <c r="Q22" s="180">
        <f t="shared" si="7"/>
        <v>442694.46418937866</v>
      </c>
      <c r="R22" s="180">
        <f>Q22-O22</f>
        <v>-129768.53581062134</v>
      </c>
      <c r="T22" s="182">
        <f>E22-J22</f>
        <v>315142.46667220432</v>
      </c>
      <c r="U22" s="182">
        <f>F22-O22</f>
        <v>-129768.53581062134</v>
      </c>
      <c r="V22" s="154">
        <f>T22+U22</f>
        <v>185373.93086158298</v>
      </c>
    </row>
    <row r="23" spans="1:22" ht="13.5" thickTop="1">
      <c r="A23" s="155"/>
      <c r="B23" s="147"/>
      <c r="C23" s="148"/>
      <c r="D23" s="168" t="s">
        <v>158</v>
      </c>
      <c r="E23" s="175">
        <f>Adjustment!G15</f>
        <v>897621.46667220432</v>
      </c>
      <c r="F23" s="175">
        <f>Adjustment!H15</f>
        <v>442694.4641893786</v>
      </c>
      <c r="G23" s="175">
        <f>SUM(E23:F23)</f>
        <v>1340315.930861583</v>
      </c>
      <c r="J23" s="175">
        <v>582478</v>
      </c>
      <c r="K23" s="175">
        <v>1158910</v>
      </c>
      <c r="L23" s="175">
        <f>E23</f>
        <v>897621.46667220432</v>
      </c>
      <c r="M23" s="175">
        <f>L23-J23</f>
        <v>315143.46667220432</v>
      </c>
      <c r="O23" s="175">
        <v>572463</v>
      </c>
      <c r="P23" s="175">
        <v>1224816</v>
      </c>
      <c r="Q23" s="175">
        <f>F23</f>
        <v>442694.4641893786</v>
      </c>
      <c r="R23" s="175">
        <f>Q23-O23</f>
        <v>-129768.5358106214</v>
      </c>
    </row>
    <row r="24" spans="1:22" ht="15.75">
      <c r="A24" s="147"/>
      <c r="B24" s="147"/>
      <c r="C24" s="148"/>
      <c r="E24" s="175"/>
      <c r="F24" s="175"/>
      <c r="G24" s="183"/>
      <c r="J24" s="175"/>
      <c r="K24" s="175"/>
      <c r="L24" s="184">
        <f>L23-K23</f>
        <v>-261288.53332779568</v>
      </c>
      <c r="M24" s="183"/>
      <c r="O24" s="175"/>
      <c r="P24" s="175"/>
      <c r="Q24" s="185">
        <f>Q23-P23</f>
        <v>-782121.53581062146</v>
      </c>
      <c r="R24" s="175"/>
    </row>
    <row r="25" spans="1:22" ht="16.5">
      <c r="A25" s="186">
        <v>1</v>
      </c>
      <c r="B25" s="147" t="s">
        <v>159</v>
      </c>
      <c r="C25" s="148"/>
      <c r="D25" s="149"/>
      <c r="E25" s="187"/>
      <c r="F25" s="187"/>
      <c r="G25" s="183"/>
      <c r="J25" s="187"/>
      <c r="K25" s="187"/>
      <c r="L25" s="183"/>
      <c r="M25" s="183"/>
      <c r="O25" s="187"/>
      <c r="P25" s="187"/>
      <c r="Q25" s="187"/>
      <c r="R25" s="187"/>
    </row>
    <row r="26" spans="1:22" ht="16.5">
      <c r="A26" s="186"/>
      <c r="B26" s="147" t="s">
        <v>160</v>
      </c>
      <c r="C26" s="148"/>
      <c r="D26" s="149"/>
      <c r="E26" s="187"/>
      <c r="F26" s="187"/>
      <c r="G26" s="183"/>
      <c r="J26" s="187"/>
      <c r="K26" s="187"/>
      <c r="L26" s="183"/>
      <c r="M26" s="183"/>
      <c r="O26" s="187"/>
      <c r="P26" s="187"/>
      <c r="Q26" s="187"/>
      <c r="R26" s="187"/>
    </row>
    <row r="27" spans="1:22" ht="16.5">
      <c r="A27" s="186"/>
      <c r="B27" s="147" t="s">
        <v>161</v>
      </c>
      <c r="C27" s="148"/>
      <c r="D27" s="149"/>
      <c r="E27" s="187"/>
      <c r="F27" s="187"/>
      <c r="G27" s="183"/>
      <c r="J27" s="187"/>
      <c r="K27" s="187"/>
      <c r="L27" s="183"/>
      <c r="M27" s="183"/>
      <c r="O27" s="187"/>
      <c r="P27" s="187"/>
      <c r="Q27" s="187"/>
      <c r="R27" s="187"/>
    </row>
    <row r="28" spans="1:22" ht="16.5">
      <c r="A28" s="186"/>
      <c r="B28" s="147"/>
      <c r="C28" s="148"/>
      <c r="D28" s="149"/>
      <c r="E28" s="187"/>
      <c r="F28" s="187"/>
      <c r="G28" s="183"/>
      <c r="J28" s="187"/>
      <c r="K28" s="187"/>
      <c r="L28" s="183"/>
      <c r="M28" s="183"/>
      <c r="O28" s="187"/>
      <c r="P28" s="187"/>
      <c r="Q28" s="187"/>
      <c r="R28" s="187"/>
    </row>
    <row r="29" spans="1:22" ht="16.5">
      <c r="A29" s="186"/>
      <c r="B29" s="147"/>
      <c r="C29" s="148"/>
      <c r="D29" s="149"/>
      <c r="E29" s="187"/>
      <c r="F29" s="187"/>
      <c r="G29" s="183"/>
      <c r="J29" s="187"/>
      <c r="K29" s="187"/>
      <c r="L29" s="183"/>
      <c r="M29" s="183"/>
      <c r="O29" s="187"/>
      <c r="P29" s="187"/>
      <c r="Q29" s="187"/>
      <c r="R29" s="187"/>
    </row>
    <row r="30" spans="1:22" ht="15.75">
      <c r="A30" s="147"/>
      <c r="B30" s="147"/>
      <c r="C30" s="148"/>
      <c r="D30" s="149"/>
      <c r="E30" s="187"/>
      <c r="F30" s="187"/>
      <c r="G30" s="183"/>
      <c r="J30" s="187"/>
      <c r="K30" s="187"/>
      <c r="L30" s="183"/>
      <c r="M30" s="183"/>
      <c r="O30" s="187"/>
      <c r="P30" s="187"/>
      <c r="Q30" s="187"/>
      <c r="R30" s="187"/>
    </row>
    <row r="31" spans="1:22" ht="15.75">
      <c r="A31" s="146" t="s">
        <v>76</v>
      </c>
      <c r="B31" s="147"/>
      <c r="C31" s="148"/>
      <c r="D31" s="149"/>
      <c r="E31" s="187"/>
      <c r="F31" s="150"/>
      <c r="G31" s="183"/>
      <c r="J31" s="187"/>
      <c r="K31" s="150"/>
      <c r="L31" s="183"/>
      <c r="M31" s="183"/>
      <c r="O31" s="187"/>
      <c r="P31" s="187"/>
      <c r="Q31" s="187"/>
      <c r="R31" s="187"/>
    </row>
    <row r="32" spans="1:22" ht="15.75">
      <c r="A32" s="146" t="s">
        <v>126</v>
      </c>
      <c r="B32" s="147"/>
      <c r="C32" s="148"/>
      <c r="D32" s="149"/>
      <c r="E32" s="187"/>
      <c r="F32" s="187"/>
      <c r="G32" s="183"/>
      <c r="J32" s="187"/>
      <c r="K32" s="187"/>
      <c r="L32" s="183"/>
      <c r="M32" s="183"/>
      <c r="O32" s="187"/>
      <c r="P32" s="187"/>
      <c r="Q32" s="187"/>
      <c r="R32" s="187"/>
    </row>
    <row r="33" spans="1:18">
      <c r="A33" s="153" t="s">
        <v>162</v>
      </c>
      <c r="B33" s="147"/>
      <c r="C33" s="148"/>
      <c r="D33" s="149"/>
      <c r="E33" s="311" t="s">
        <v>128</v>
      </c>
      <c r="F33" s="311"/>
      <c r="G33" s="311"/>
      <c r="J33" s="312" t="s">
        <v>129</v>
      </c>
      <c r="K33" s="312"/>
      <c r="L33" s="312"/>
      <c r="M33" s="312"/>
      <c r="O33" s="312" t="s">
        <v>130</v>
      </c>
      <c r="P33" s="312"/>
      <c r="Q33" s="312"/>
      <c r="R33" s="312"/>
    </row>
    <row r="34" spans="1:18" ht="15.75">
      <c r="A34" s="147"/>
      <c r="B34" s="147"/>
      <c r="C34" s="148"/>
      <c r="D34" s="149"/>
      <c r="E34" s="187"/>
      <c r="F34" s="187"/>
      <c r="G34" s="183"/>
      <c r="J34" s="156">
        <v>42419</v>
      </c>
      <c r="K34" s="156">
        <v>42591</v>
      </c>
      <c r="O34" s="156">
        <v>42419</v>
      </c>
      <c r="P34" s="156">
        <v>42591</v>
      </c>
    </row>
    <row r="35" spans="1:18">
      <c r="A35" s="147"/>
      <c r="B35" s="147"/>
      <c r="C35" s="148"/>
      <c r="D35" s="157"/>
      <c r="E35" s="158" t="s">
        <v>132</v>
      </c>
      <c r="F35" s="158" t="s">
        <v>132</v>
      </c>
      <c r="J35" s="158" t="s">
        <v>133</v>
      </c>
      <c r="K35" s="158" t="s">
        <v>133</v>
      </c>
      <c r="O35" s="158" t="s">
        <v>133</v>
      </c>
      <c r="P35" s="158" t="s">
        <v>133</v>
      </c>
      <c r="Q35" s="158"/>
      <c r="R35" s="158"/>
    </row>
    <row r="36" spans="1:18" ht="15.75">
      <c r="A36" s="147"/>
      <c r="B36" s="147"/>
      <c r="C36" s="148"/>
      <c r="D36" s="159" t="s">
        <v>134</v>
      </c>
      <c r="E36" s="158" t="s">
        <v>1</v>
      </c>
      <c r="F36" s="158" t="s">
        <v>2</v>
      </c>
      <c r="G36" s="158" t="s">
        <v>132</v>
      </c>
      <c r="J36" s="158" t="s">
        <v>1</v>
      </c>
      <c r="K36" s="158" t="s">
        <v>1</v>
      </c>
      <c r="L36" s="158"/>
      <c r="M36" s="158"/>
      <c r="O36" s="158" t="s">
        <v>2</v>
      </c>
      <c r="P36" s="158" t="s">
        <v>2</v>
      </c>
      <c r="Q36" s="158"/>
      <c r="R36" s="158"/>
    </row>
    <row r="37" spans="1:18">
      <c r="A37" s="160" t="s">
        <v>163</v>
      </c>
      <c r="B37" s="161"/>
      <c r="C37" s="148"/>
      <c r="D37" s="162" t="s">
        <v>136</v>
      </c>
      <c r="E37" s="163" t="s">
        <v>79</v>
      </c>
      <c r="F37" s="163" t="s">
        <v>79</v>
      </c>
      <c r="G37" s="163" t="s">
        <v>137</v>
      </c>
      <c r="J37" s="163" t="s">
        <v>138</v>
      </c>
      <c r="K37" s="163" t="s">
        <v>139</v>
      </c>
      <c r="L37" s="163" t="s">
        <v>140</v>
      </c>
      <c r="M37" s="163" t="s">
        <v>141</v>
      </c>
      <c r="O37" s="163" t="s">
        <v>142</v>
      </c>
      <c r="P37" s="163" t="s">
        <v>139</v>
      </c>
      <c r="Q37" s="163" t="s">
        <v>140</v>
      </c>
      <c r="R37" s="163" t="s">
        <v>141</v>
      </c>
    </row>
    <row r="38" spans="1:18" s="164" customFormat="1" ht="15">
      <c r="B38" s="146"/>
      <c r="C38" s="150"/>
      <c r="D38" s="165"/>
      <c r="E38" s="188"/>
      <c r="F38" s="188"/>
      <c r="G38" s="188"/>
      <c r="J38" s="166" t="s">
        <v>143</v>
      </c>
      <c r="K38" s="166"/>
      <c r="L38" s="166" t="s">
        <v>144</v>
      </c>
      <c r="M38" s="166" t="s">
        <v>145</v>
      </c>
      <c r="N38" s="167"/>
      <c r="O38" s="166" t="s">
        <v>143</v>
      </c>
      <c r="P38" s="166"/>
      <c r="Q38" s="166" t="s">
        <v>144</v>
      </c>
      <c r="R38" s="166" t="s">
        <v>145</v>
      </c>
    </row>
    <row r="39" spans="1:18">
      <c r="A39" s="189" t="s">
        <v>92</v>
      </c>
      <c r="B39" s="147"/>
      <c r="C39" s="148"/>
      <c r="D39" s="168">
        <v>3.2399999999999998E-2</v>
      </c>
      <c r="E39" s="169">
        <f>D39*$E$53</f>
        <v>8664.8427467873225</v>
      </c>
      <c r="F39" s="169">
        <f>D39*$F$53</f>
        <v>4273.3803273390658</v>
      </c>
      <c r="G39" s="188">
        <f>E39+F39</f>
        <v>12938.223074126388</v>
      </c>
      <c r="J39" s="169">
        <v>6069</v>
      </c>
      <c r="K39" s="169">
        <v>12074.2428</v>
      </c>
      <c r="L39" s="169">
        <f>E39</f>
        <v>8664.8427467873225</v>
      </c>
      <c r="M39" s="169">
        <f>L39-J39</f>
        <v>2595.8427467873225</v>
      </c>
      <c r="O39" s="169">
        <v>5964</v>
      </c>
      <c r="P39" s="169">
        <v>12761</v>
      </c>
      <c r="Q39" s="169">
        <f>F39</f>
        <v>4273.3803273390658</v>
      </c>
      <c r="R39" s="169">
        <f>Q39-O39</f>
        <v>-1690.6196726609342</v>
      </c>
    </row>
    <row r="40" spans="1:18">
      <c r="A40" s="189"/>
      <c r="B40" s="147"/>
      <c r="C40" s="148"/>
      <c r="E40" s="169"/>
      <c r="F40" s="169"/>
      <c r="G40" s="190"/>
      <c r="J40" s="169"/>
      <c r="K40" s="169"/>
      <c r="L40" s="169"/>
      <c r="M40" s="169"/>
      <c r="O40" s="169"/>
      <c r="P40" s="169"/>
      <c r="Q40" s="169"/>
      <c r="R40" s="169"/>
    </row>
    <row r="41" spans="1:18">
      <c r="A41" s="191" t="s">
        <v>96</v>
      </c>
      <c r="B41" s="147"/>
      <c r="C41" s="148"/>
      <c r="D41" s="168">
        <v>2.9999999999999997E-4</v>
      </c>
      <c r="E41" s="169">
        <f>D41*$E$53</f>
        <v>80.230025433215943</v>
      </c>
      <c r="F41" s="169">
        <f>D41*$F$53</f>
        <v>39.568336364250612</v>
      </c>
      <c r="G41" s="188">
        <f>E41+F41</f>
        <v>119.79836179746655</v>
      </c>
      <c r="J41" s="169">
        <v>52</v>
      </c>
      <c r="K41" s="169">
        <v>104.08829999999999</v>
      </c>
      <c r="L41" s="169">
        <f>E41</f>
        <v>80.230025433215943</v>
      </c>
      <c r="M41" s="169">
        <f t="shared" ref="M41:M47" si="8">L41-J41</f>
        <v>28.230025433215943</v>
      </c>
      <c r="O41" s="169">
        <v>51</v>
      </c>
      <c r="P41" s="169">
        <v>110</v>
      </c>
      <c r="Q41" s="169">
        <f>F41</f>
        <v>39.568336364250612</v>
      </c>
      <c r="R41" s="169">
        <f t="shared" ref="R41:R47" si="9">Q41-O41</f>
        <v>-11.431663635749388</v>
      </c>
    </row>
    <row r="42" spans="1:18">
      <c r="A42" s="155"/>
      <c r="B42" s="147"/>
      <c r="C42" s="148"/>
      <c r="E42" s="169"/>
      <c r="F42" s="169"/>
      <c r="G42" s="188"/>
      <c r="J42" s="169"/>
      <c r="K42" s="169"/>
      <c r="L42" s="169"/>
      <c r="M42" s="169"/>
      <c r="O42" s="169"/>
      <c r="P42" s="169"/>
      <c r="Q42" s="169"/>
      <c r="R42" s="169"/>
    </row>
    <row r="43" spans="1:18">
      <c r="A43" s="155" t="s">
        <v>98</v>
      </c>
      <c r="B43" s="147"/>
      <c r="C43" s="148"/>
      <c r="D43" s="168">
        <v>0.44550000000000001</v>
      </c>
      <c r="E43" s="169">
        <f>D43*$E$53</f>
        <v>119141.58776832568</v>
      </c>
      <c r="F43" s="169">
        <f>D43*$F$53</f>
        <v>58758.979500912159</v>
      </c>
      <c r="G43" s="188">
        <f>E43+F43</f>
        <v>177900.56726923783</v>
      </c>
      <c r="J43" s="169">
        <v>72719</v>
      </c>
      <c r="K43" s="169">
        <v>144682.73699999999</v>
      </c>
      <c r="L43" s="169">
        <f>E43</f>
        <v>119141.58776832568</v>
      </c>
      <c r="M43" s="169">
        <f t="shared" si="8"/>
        <v>46422.587768325684</v>
      </c>
      <c r="O43" s="169">
        <v>71468</v>
      </c>
      <c r="P43" s="169">
        <v>152911</v>
      </c>
      <c r="Q43" s="169">
        <f>F43</f>
        <v>58758.979500912159</v>
      </c>
      <c r="R43" s="169">
        <f t="shared" si="9"/>
        <v>-12709.020499087841</v>
      </c>
    </row>
    <row r="44" spans="1:18">
      <c r="A44" s="155"/>
      <c r="B44" s="147"/>
      <c r="C44" s="148"/>
      <c r="E44" s="169"/>
      <c r="F44" s="169"/>
      <c r="G44" s="188"/>
      <c r="J44" s="169"/>
      <c r="K44" s="169"/>
      <c r="L44" s="169"/>
      <c r="M44" s="169"/>
      <c r="O44" s="169"/>
      <c r="P44" s="169"/>
      <c r="Q44" s="169"/>
      <c r="R44" s="169"/>
    </row>
    <row r="45" spans="1:18">
      <c r="A45" s="155" t="s">
        <v>164</v>
      </c>
      <c r="B45" s="147"/>
      <c r="C45" s="148"/>
      <c r="D45" s="168">
        <v>0.23330000000000001</v>
      </c>
      <c r="E45" s="169">
        <f>D45*$E$53</f>
        <v>62392.216445230937</v>
      </c>
      <c r="F45" s="169">
        <f>D45*$F$53</f>
        <v>30770.976245932226</v>
      </c>
      <c r="G45" s="188">
        <f>E45+F45</f>
        <v>93163.19269116316</v>
      </c>
      <c r="J45" s="169">
        <v>41399</v>
      </c>
      <c r="K45" s="169"/>
      <c r="L45" s="169">
        <f>E45</f>
        <v>62392.216445230937</v>
      </c>
      <c r="M45" s="169">
        <f t="shared" si="8"/>
        <v>20993.216445230937</v>
      </c>
      <c r="O45" s="169">
        <v>40687</v>
      </c>
      <c r="P45" s="169"/>
      <c r="Q45" s="169">
        <f>F45</f>
        <v>30770.976245932226</v>
      </c>
      <c r="R45" s="169">
        <f t="shared" si="9"/>
        <v>-9916.0237540677736</v>
      </c>
    </row>
    <row r="46" spans="1:18">
      <c r="A46" s="155" t="s">
        <v>149</v>
      </c>
      <c r="B46" s="147"/>
      <c r="C46" s="148"/>
      <c r="D46" s="168">
        <v>1.8200000000000001E-2</v>
      </c>
      <c r="E46" s="169">
        <f>D46*$E$53</f>
        <v>4867.2882096151006</v>
      </c>
      <c r="F46" s="169">
        <f>D46*$F$53</f>
        <v>2400.4790727645372</v>
      </c>
      <c r="G46" s="188">
        <f>E46+F46</f>
        <v>7267.7672823796383</v>
      </c>
      <c r="J46" s="169">
        <v>3383</v>
      </c>
      <c r="K46" s="169"/>
      <c r="L46" s="169">
        <f t="shared" ref="L46" si="10">E46</f>
        <v>4867.2882096151006</v>
      </c>
      <c r="M46" s="169">
        <f t="shared" si="8"/>
        <v>1484.2882096151006</v>
      </c>
      <c r="O46" s="169">
        <v>3325</v>
      </c>
      <c r="P46" s="169"/>
      <c r="Q46" s="169">
        <f t="shared" ref="Q46" si="11">F46</f>
        <v>2400.4790727645372</v>
      </c>
      <c r="R46" s="169">
        <f t="shared" si="9"/>
        <v>-924.52092723546275</v>
      </c>
    </row>
    <row r="47" spans="1:18">
      <c r="A47" s="155"/>
      <c r="B47" s="147" t="s">
        <v>241</v>
      </c>
      <c r="C47" s="148"/>
      <c r="E47" s="170">
        <f>SUM(E45:E46)</f>
        <v>67259.504654846038</v>
      </c>
      <c r="F47" s="170">
        <f>SUM(F45:F46)</f>
        <v>33171.455318696761</v>
      </c>
      <c r="G47" s="170">
        <f>E47+F47</f>
        <v>100430.95997354281</v>
      </c>
      <c r="J47" s="170">
        <f>SUM(J45:J46)</f>
        <v>44782</v>
      </c>
      <c r="K47" s="170">
        <v>89099.584800000011</v>
      </c>
      <c r="L47" s="170">
        <f t="shared" ref="L47" si="12">SUM(L45:L46)</f>
        <v>67259.504654846038</v>
      </c>
      <c r="M47" s="169">
        <f t="shared" si="8"/>
        <v>22477.504654846038</v>
      </c>
      <c r="O47" s="170">
        <f>SUM(O45:O46)</f>
        <v>44012</v>
      </c>
      <c r="P47" s="170">
        <v>94167</v>
      </c>
      <c r="Q47" s="170">
        <f t="shared" ref="Q47" si="13">SUM(Q45:Q46)</f>
        <v>33171.455318696761</v>
      </c>
      <c r="R47" s="169">
        <f t="shared" si="9"/>
        <v>-10840.544681303239</v>
      </c>
    </row>
    <row r="48" spans="1:18">
      <c r="A48" s="155"/>
      <c r="B48" s="147"/>
      <c r="C48" s="148"/>
      <c r="E48" s="169"/>
      <c r="F48" s="169"/>
      <c r="G48" s="188"/>
      <c r="J48" s="169"/>
      <c r="K48" s="169"/>
      <c r="L48" s="169"/>
      <c r="M48" s="169"/>
      <c r="O48" s="169"/>
      <c r="P48" s="169"/>
      <c r="Q48" s="169"/>
      <c r="R48" s="169"/>
    </row>
    <row r="49" spans="1:22">
      <c r="A49" s="155" t="s">
        <v>165</v>
      </c>
      <c r="B49" s="147"/>
      <c r="C49" s="148"/>
      <c r="D49" s="168">
        <v>0.27029999999999998</v>
      </c>
      <c r="E49" s="169">
        <f>D49*$E$53</f>
        <v>72287.252915327568</v>
      </c>
      <c r="F49" s="169">
        <f>D49*$F$53</f>
        <v>35651.071064189797</v>
      </c>
      <c r="G49" s="192">
        <f>E49+F49</f>
        <v>107938.32397951736</v>
      </c>
      <c r="J49" s="169">
        <v>50763</v>
      </c>
      <c r="K49" s="169">
        <v>101000.34710000001</v>
      </c>
      <c r="L49" s="169">
        <f>E49</f>
        <v>72287.252915327568</v>
      </c>
      <c r="M49" s="169">
        <f>L49-J49</f>
        <v>21524.252915327568</v>
      </c>
      <c r="O49" s="169">
        <v>49891</v>
      </c>
      <c r="P49" s="169">
        <v>106744</v>
      </c>
      <c r="Q49" s="169">
        <f>F49</f>
        <v>35651.071064189797</v>
      </c>
      <c r="R49" s="169">
        <f>Q49-O49</f>
        <v>-14239.928935810203</v>
      </c>
      <c r="T49" s="310" t="s">
        <v>151</v>
      </c>
      <c r="U49" s="310"/>
      <c r="V49" s="310"/>
    </row>
    <row r="50" spans="1:22">
      <c r="A50" s="155"/>
      <c r="B50" s="147"/>
      <c r="C50" s="148"/>
      <c r="E50" s="170">
        <f>SUM(E49:E49)</f>
        <v>72287.252915327568</v>
      </c>
      <c r="F50" s="170">
        <f>SUM(F49:F49)</f>
        <v>35651.071064189797</v>
      </c>
      <c r="G50" s="170">
        <f>E50+F50</f>
        <v>107938.32397951736</v>
      </c>
      <c r="J50" s="170">
        <f>SUM(J49:J49)</f>
        <v>50763</v>
      </c>
      <c r="K50" s="170">
        <f>SUM(K49:K49)</f>
        <v>101000.34710000001</v>
      </c>
      <c r="L50" s="170">
        <f>SUM(L49:L49)</f>
        <v>72287.252915327568</v>
      </c>
      <c r="M50" s="170">
        <f>L50-J50</f>
        <v>21524.252915327568</v>
      </c>
      <c r="O50" s="170">
        <f>SUM(O49:O49)</f>
        <v>49891</v>
      </c>
      <c r="P50" s="170">
        <f>SUM(P49:P49)</f>
        <v>106744</v>
      </c>
      <c r="Q50" s="170">
        <f>SUM(Q49:Q49)</f>
        <v>35651.071064189797</v>
      </c>
      <c r="R50" s="170">
        <f>Q50-O50</f>
        <v>-14239.928935810203</v>
      </c>
      <c r="T50" s="310"/>
      <c r="U50" s="310"/>
      <c r="V50" s="310"/>
    </row>
    <row r="51" spans="1:22" ht="15.75" thickBot="1">
      <c r="A51" s="155"/>
      <c r="B51" s="147"/>
      <c r="C51" s="148"/>
      <c r="E51" s="176" t="s">
        <v>152</v>
      </c>
      <c r="F51" s="176" t="s">
        <v>153</v>
      </c>
      <c r="G51" s="177"/>
      <c r="H51" s="177"/>
      <c r="I51" s="178"/>
      <c r="J51" s="176" t="s">
        <v>154</v>
      </c>
      <c r="K51" s="176"/>
      <c r="L51" s="176"/>
      <c r="M51" s="176"/>
      <c r="N51" s="178"/>
      <c r="O51" s="176" t="s">
        <v>166</v>
      </c>
      <c r="P51" s="176"/>
      <c r="Q51" s="176"/>
      <c r="R51" s="176"/>
      <c r="S51" s="178"/>
      <c r="T51" s="176" t="s">
        <v>155</v>
      </c>
      <c r="U51" s="176" t="s">
        <v>156</v>
      </c>
      <c r="V51" s="178"/>
    </row>
    <row r="52" spans="1:22" ht="15.75" thickBot="1">
      <c r="A52" s="155" t="s">
        <v>167</v>
      </c>
      <c r="B52" s="147"/>
      <c r="C52" s="148"/>
      <c r="D52" s="168">
        <f>SUM(D39:D49)</f>
        <v>1</v>
      </c>
      <c r="E52" s="180">
        <f>SUM(E39:E43)+E47+E50</f>
        <v>267433.41811071982</v>
      </c>
      <c r="F52" s="180">
        <f>SUM(F39:F43)+F47+F50</f>
        <v>131894.45454750204</v>
      </c>
      <c r="G52" s="181">
        <f>E52+F52</f>
        <v>399327.87265822187</v>
      </c>
      <c r="J52" s="180">
        <f>SUM(J39:J43)+J47+J50</f>
        <v>174385</v>
      </c>
      <c r="K52" s="180">
        <f t="shared" ref="K52:L52" si="14">SUM(K39:K43)+K47+K50</f>
        <v>346961</v>
      </c>
      <c r="L52" s="180">
        <f t="shared" si="14"/>
        <v>267433.41811071982</v>
      </c>
      <c r="M52" s="180">
        <f>L52-J52</f>
        <v>93048.418110719824</v>
      </c>
      <c r="O52" s="180">
        <f>SUM(O39:O43)+O47+O50</f>
        <v>171386</v>
      </c>
      <c r="P52" s="180">
        <f>SUM(P39:P43)+P47+P50</f>
        <v>366693</v>
      </c>
      <c r="Q52" s="180">
        <f t="shared" ref="Q52" si="15">SUM(Q39:Q43)+Q47+Q50</f>
        <v>131894.45454750204</v>
      </c>
      <c r="R52" s="180">
        <f>Q52-O52</f>
        <v>-39491.545452497958</v>
      </c>
      <c r="T52" s="182">
        <f>E52-J52</f>
        <v>93048.418110719824</v>
      </c>
      <c r="U52" s="182">
        <f>F52-O52</f>
        <v>-39491.545452497958</v>
      </c>
      <c r="V52" s="154">
        <f>T52+U52</f>
        <v>53556.872658221866</v>
      </c>
    </row>
    <row r="53" spans="1:22" ht="13.5" thickTop="1">
      <c r="A53" s="155"/>
      <c r="B53" s="147"/>
      <c r="C53" s="148"/>
      <c r="D53" s="168" t="s">
        <v>158</v>
      </c>
      <c r="E53" s="175">
        <f>Adjustment!G23</f>
        <v>267433.41811071982</v>
      </c>
      <c r="F53" s="175">
        <f>Adjustment!H23</f>
        <v>131894.45454750204</v>
      </c>
      <c r="G53" s="175">
        <f>SUM(E53:F53)</f>
        <v>399327.87265822187</v>
      </c>
      <c r="J53" s="175">
        <v>174385</v>
      </c>
      <c r="K53" s="175">
        <v>346961</v>
      </c>
      <c r="L53" s="175">
        <f>E53</f>
        <v>267433.41811071982</v>
      </c>
      <c r="M53" s="175">
        <f>L53-J53</f>
        <v>93048.418110719824</v>
      </c>
      <c r="O53" s="175">
        <v>171387</v>
      </c>
      <c r="P53" s="175">
        <v>366693</v>
      </c>
      <c r="Q53" s="175">
        <f>F53</f>
        <v>131894.45454750204</v>
      </c>
      <c r="R53" s="175">
        <f>Q53-O53</f>
        <v>-39492.545452497958</v>
      </c>
    </row>
    <row r="54" spans="1:22" ht="16.5">
      <c r="A54" s="186">
        <v>1</v>
      </c>
      <c r="B54" s="193" t="s">
        <v>168</v>
      </c>
      <c r="G54" s="194"/>
      <c r="J54" s="155"/>
      <c r="K54" s="155"/>
      <c r="L54" s="184">
        <f>L53-K53</f>
        <v>-79527.581889280176</v>
      </c>
      <c r="M54" s="183"/>
      <c r="O54" s="175"/>
      <c r="P54" s="175"/>
      <c r="Q54" s="185">
        <f>Q53-P53</f>
        <v>-234798.54545249796</v>
      </c>
      <c r="R54" s="175"/>
    </row>
    <row r="55" spans="1:22" ht="15">
      <c r="B55" s="193" t="s">
        <v>160</v>
      </c>
      <c r="J55" s="155"/>
      <c r="K55" s="155"/>
      <c r="O55" s="155"/>
      <c r="P55" s="155"/>
      <c r="Q55" s="155"/>
      <c r="R55" s="155"/>
    </row>
    <row r="56" spans="1:22" ht="15">
      <c r="B56" s="193" t="s">
        <v>161</v>
      </c>
    </row>
  </sheetData>
  <mergeCells count="9">
    <mergeCell ref="T49:V50"/>
    <mergeCell ref="E3:G3"/>
    <mergeCell ref="J3:M3"/>
    <mergeCell ref="O3:R3"/>
    <mergeCell ref="T3:U3"/>
    <mergeCell ref="T19:V20"/>
    <mergeCell ref="J33:M33"/>
    <mergeCell ref="O33:R33"/>
    <mergeCell ref="E33:G33"/>
  </mergeCells>
  <pageMargins left="0.7" right="0.7" top="0.75" bottom="0.75" header="0.3" footer="0.3"/>
  <pageSetup scale="67" orientation="portrait" r:id="rId1"/>
  <headerFooter>
    <oddHeader>&amp;RExhibit No. MC-9
Dockets UE-160228/229
Page &amp;P of &amp;N</oddHead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9"/>
  <sheetViews>
    <sheetView tabSelected="1" view="pageBreakPreview" topLeftCell="A8" zoomScale="80" zoomScaleNormal="100" zoomScaleSheetLayoutView="80" workbookViewId="0">
      <selection activeCell="E23" sqref="E23"/>
    </sheetView>
  </sheetViews>
  <sheetFormatPr defaultRowHeight="15.75"/>
  <cols>
    <col min="4" max="4" width="15.875" customWidth="1"/>
    <col min="7" max="7" width="13.75" customWidth="1"/>
    <col min="8" max="8" width="12.5" customWidth="1"/>
    <col min="9" max="9" width="13.125" customWidth="1"/>
    <col min="11" max="11" width="9.375" bestFit="1" customWidth="1"/>
    <col min="12" max="12" width="14.75" bestFit="1" customWidth="1"/>
    <col min="13" max="13" width="3.375" customWidth="1"/>
    <col min="14" max="14" width="15.875" customWidth="1"/>
  </cols>
  <sheetData>
    <row r="1" spans="1:14">
      <c r="A1" s="1"/>
      <c r="B1" s="1"/>
      <c r="C1" s="2"/>
      <c r="D1" s="1"/>
      <c r="E1" s="1"/>
      <c r="F1" s="3"/>
      <c r="G1" s="315" t="s">
        <v>237</v>
      </c>
      <c r="H1" s="315"/>
      <c r="I1" s="315"/>
    </row>
    <row r="2" spans="1:14">
      <c r="A2" s="4"/>
      <c r="B2" s="4"/>
      <c r="C2" s="2" t="s">
        <v>0</v>
      </c>
      <c r="D2" s="1"/>
      <c r="E2" s="1"/>
      <c r="F2" s="3"/>
      <c r="G2" s="1"/>
      <c r="H2" s="1"/>
      <c r="I2" s="1"/>
    </row>
    <row r="3" spans="1:14">
      <c r="A3" s="1"/>
      <c r="B3" s="5"/>
      <c r="C3" s="1"/>
      <c r="D3" s="1"/>
      <c r="E3" s="1"/>
      <c r="F3" s="3"/>
      <c r="G3" s="1"/>
      <c r="H3" s="1"/>
      <c r="I3" s="1"/>
    </row>
    <row r="4" spans="1:14">
      <c r="A4" s="1"/>
      <c r="B4" s="1"/>
      <c r="C4" s="1"/>
      <c r="D4" s="1"/>
      <c r="E4" s="1"/>
      <c r="F4" s="3"/>
      <c r="G4" s="1"/>
      <c r="H4" s="1"/>
      <c r="I4" s="1"/>
    </row>
    <row r="5" spans="1:14">
      <c r="A5" s="1"/>
      <c r="B5" s="1"/>
      <c r="C5" s="6"/>
      <c r="D5" s="6"/>
      <c r="E5" s="6"/>
      <c r="F5" s="7"/>
      <c r="G5" s="8" t="s">
        <v>1</v>
      </c>
      <c r="H5" s="8" t="s">
        <v>2</v>
      </c>
      <c r="I5" s="8" t="s">
        <v>3</v>
      </c>
    </row>
    <row r="6" spans="1:14">
      <c r="A6" s="1"/>
      <c r="B6" s="9" t="s">
        <v>4</v>
      </c>
      <c r="C6" s="6"/>
      <c r="D6" s="6"/>
      <c r="E6" s="6"/>
      <c r="F6" s="7"/>
      <c r="G6" s="10">
        <f>'Pro-Forma'!C27</f>
        <v>32588578.41</v>
      </c>
      <c r="H6" s="10">
        <f>'Pro-Forma'!C26</f>
        <v>30230584.959999997</v>
      </c>
      <c r="I6" s="10">
        <f>G6+H6</f>
        <v>62819163.369999997</v>
      </c>
    </row>
    <row r="7" spans="1:14">
      <c r="A7" s="1"/>
      <c r="B7" s="9" t="s">
        <v>5</v>
      </c>
      <c r="C7" s="11"/>
      <c r="D7" s="12">
        <v>42277</v>
      </c>
      <c r="E7" s="6"/>
      <c r="F7" s="7"/>
      <c r="G7" s="13">
        <f>-'Pro-Forma'!R27</f>
        <v>-29295623</v>
      </c>
      <c r="H7" s="13">
        <f>-'Pro-Forma'!R26</f>
        <v>-28606545</v>
      </c>
      <c r="I7" s="13">
        <f>G7+H7</f>
        <v>-57902168</v>
      </c>
    </row>
    <row r="8" spans="1:14">
      <c r="A8" s="1"/>
      <c r="B8" s="1" t="s">
        <v>6</v>
      </c>
      <c r="C8" s="6"/>
      <c r="D8" s="6"/>
      <c r="E8" s="6"/>
      <c r="F8" s="14">
        <v>2015</v>
      </c>
      <c r="G8" s="15">
        <f>SUM(G6:G7)</f>
        <v>3292955.41</v>
      </c>
      <c r="H8" s="15">
        <f>SUM(H6:H7)</f>
        <v>1624039.9599999972</v>
      </c>
      <c r="I8" s="15">
        <f>G8+H8</f>
        <v>4916995.3699999973</v>
      </c>
    </row>
    <row r="9" spans="1:14">
      <c r="A9" s="1"/>
      <c r="B9" s="1" t="s">
        <v>7</v>
      </c>
      <c r="C9" s="6"/>
      <c r="D9" s="6"/>
      <c r="E9" s="6"/>
      <c r="F9" s="7"/>
      <c r="G9" s="16">
        <f>'Non-Util Benefit Calc'!E9</f>
        <v>0.57092904519898857</v>
      </c>
      <c r="H9" s="16">
        <f>G9</f>
        <v>0.57092904519898857</v>
      </c>
      <c r="I9" s="16">
        <f>H9</f>
        <v>0.57092904519898857</v>
      </c>
    </row>
    <row r="10" spans="1:14">
      <c r="A10" s="1"/>
      <c r="B10" s="1" t="s">
        <v>8</v>
      </c>
      <c r="C10" s="1"/>
      <c r="D10" s="1"/>
      <c r="E10" s="1"/>
      <c r="F10" s="3"/>
      <c r="G10" s="15">
        <f>G8*G9</f>
        <v>1880043.8881141441</v>
      </c>
      <c r="H10" s="15">
        <f>H8*H9</f>
        <v>927211.58372780203</v>
      </c>
      <c r="I10" s="15">
        <f>G10+H10</f>
        <v>2807255.4718419462</v>
      </c>
    </row>
    <row r="11" spans="1:14">
      <c r="A11" s="17"/>
      <c r="B11" s="17"/>
      <c r="C11" s="17"/>
      <c r="D11" s="17"/>
      <c r="E11" s="17"/>
      <c r="F11" s="18"/>
      <c r="G11" s="17"/>
      <c r="H11" s="17"/>
      <c r="I11" s="17"/>
    </row>
    <row r="12" spans="1:14">
      <c r="A12" s="19"/>
      <c r="B12" s="17"/>
      <c r="C12" s="17"/>
      <c r="D12" s="17"/>
      <c r="E12" s="17"/>
      <c r="F12" s="18"/>
      <c r="G12" s="17"/>
      <c r="H12" s="17"/>
      <c r="I12" s="17"/>
    </row>
    <row r="13" spans="1:14">
      <c r="A13" s="1" t="s">
        <v>9</v>
      </c>
      <c r="B13" s="20"/>
      <c r="C13" s="20"/>
      <c r="D13" s="21">
        <v>41213127</v>
      </c>
      <c r="E13" s="22"/>
      <c r="F13" s="18"/>
      <c r="G13" s="17"/>
      <c r="H13" s="17"/>
      <c r="I13" s="17"/>
      <c r="L13" s="37"/>
      <c r="N13" s="267"/>
    </row>
    <row r="14" spans="1:14" ht="16.5" thickBot="1">
      <c r="A14" s="1" t="s">
        <v>10</v>
      </c>
      <c r="B14" s="1"/>
      <c r="C14" s="23"/>
      <c r="D14" s="24">
        <f>D13+D17+D21+D25+D29</f>
        <v>86319780</v>
      </c>
      <c r="E14" s="9"/>
      <c r="F14" s="18"/>
      <c r="G14" s="25"/>
      <c r="H14" s="26"/>
      <c r="I14" s="26"/>
      <c r="L14" s="267" t="s">
        <v>133</v>
      </c>
      <c r="M14" s="306"/>
      <c r="N14" s="267" t="s">
        <v>236</v>
      </c>
    </row>
    <row r="15" spans="1:14" ht="16.5" thickBot="1">
      <c r="A15" s="1" t="s">
        <v>11</v>
      </c>
      <c r="B15" s="1"/>
      <c r="C15" s="1"/>
      <c r="D15" s="9"/>
      <c r="E15" s="27">
        <f>D13/D14</f>
        <v>0.47744708107458106</v>
      </c>
      <c r="F15" s="3"/>
      <c r="G15" s="28">
        <f>G10*E15</f>
        <v>897621.46667220432</v>
      </c>
      <c r="H15" s="29">
        <f>H10*E15</f>
        <v>442694.4641893786</v>
      </c>
      <c r="I15" s="30">
        <f>G15+H15</f>
        <v>1340315.930861583</v>
      </c>
      <c r="L15" s="307">
        <f>Summary!K23+Summary!P23</f>
        <v>2383726</v>
      </c>
      <c r="M15" s="308"/>
      <c r="N15" s="309">
        <f>I15-L15</f>
        <v>-1043410.069138417</v>
      </c>
    </row>
    <row r="16" spans="1:14">
      <c r="A16" s="1"/>
      <c r="B16" s="1"/>
      <c r="C16" s="1"/>
      <c r="D16" s="9"/>
      <c r="E16" s="9"/>
      <c r="F16" s="3"/>
      <c r="G16" s="1"/>
      <c r="H16" s="1"/>
      <c r="I16" s="1"/>
    </row>
    <row r="17" spans="1:14">
      <c r="A17" s="1" t="s">
        <v>12</v>
      </c>
      <c r="B17" s="20"/>
      <c r="C17" s="20"/>
      <c r="D17" s="21">
        <v>20128498</v>
      </c>
      <c r="E17" s="22"/>
      <c r="F17" s="18"/>
      <c r="G17" s="17"/>
      <c r="H17" s="17"/>
      <c r="I17" s="17"/>
    </row>
    <row r="18" spans="1:14">
      <c r="A18" s="1" t="str">
        <f>A14</f>
        <v>Total OPER Labor</v>
      </c>
      <c r="B18" s="1"/>
      <c r="C18" s="1"/>
      <c r="D18" s="24">
        <f>$D$14</f>
        <v>86319780</v>
      </c>
      <c r="E18" s="9"/>
      <c r="F18" s="18"/>
      <c r="G18" s="17"/>
      <c r="H18" s="17"/>
      <c r="I18" s="17"/>
    </row>
    <row r="19" spans="1:14">
      <c r="A19" s="1" t="s">
        <v>11</v>
      </c>
      <c r="B19" s="1"/>
      <c r="C19" s="1"/>
      <c r="D19" s="9"/>
      <c r="E19" s="27">
        <f>D17/D18</f>
        <v>0.23318523286319776</v>
      </c>
      <c r="F19" s="3"/>
      <c r="G19" s="31">
        <f>G10*E19</f>
        <v>438398.47184292838</v>
      </c>
      <c r="H19" s="31">
        <f>H10*E19</f>
        <v>216212.04906502191</v>
      </c>
      <c r="I19" s="31">
        <f>G19+H19</f>
        <v>654610.52090795035</v>
      </c>
    </row>
    <row r="20" spans="1:14">
      <c r="A20" s="1"/>
      <c r="B20" s="1"/>
      <c r="C20" s="1"/>
      <c r="D20" s="9"/>
      <c r="E20" s="9"/>
      <c r="F20" s="3"/>
      <c r="G20" s="1"/>
      <c r="H20" s="1"/>
      <c r="I20" s="1"/>
    </row>
    <row r="21" spans="1:14">
      <c r="A21" s="1" t="s">
        <v>13</v>
      </c>
      <c r="B21" s="20"/>
      <c r="C21" s="20"/>
      <c r="D21" s="21">
        <v>12278859</v>
      </c>
      <c r="E21" s="22"/>
      <c r="F21" s="18"/>
      <c r="G21" s="17"/>
      <c r="H21" s="17"/>
      <c r="I21" s="17"/>
    </row>
    <row r="22" spans="1:14" ht="16.5" thickBot="1">
      <c r="A22" s="1" t="str">
        <f>A18</f>
        <v>Total OPER Labor</v>
      </c>
      <c r="B22" s="1"/>
      <c r="C22" s="1"/>
      <c r="D22" s="24">
        <f>$D$14</f>
        <v>86319780</v>
      </c>
      <c r="E22" s="9"/>
      <c r="F22" s="18"/>
      <c r="G22" s="17"/>
      <c r="H22" s="17"/>
      <c r="I22" s="17"/>
    </row>
    <row r="23" spans="1:14" ht="16.5" thickBot="1">
      <c r="A23" s="1" t="s">
        <v>11</v>
      </c>
      <c r="B23" s="1"/>
      <c r="C23" s="1"/>
      <c r="D23" s="9"/>
      <c r="E23" s="27">
        <f>D21/D22</f>
        <v>0.14224849738959019</v>
      </c>
      <c r="F23" s="3"/>
      <c r="G23" s="28">
        <f>G10*E23</f>
        <v>267433.41811071982</v>
      </c>
      <c r="H23" s="29">
        <f>H10*E23</f>
        <v>131894.45454750204</v>
      </c>
      <c r="I23" s="30">
        <f>G23+H23</f>
        <v>399327.87265822187</v>
      </c>
      <c r="L23" s="307">
        <f>Summary!K53+Summary!P53</f>
        <v>713654</v>
      </c>
      <c r="M23" s="308"/>
      <c r="N23" s="309">
        <f>I23-L23</f>
        <v>-314326.12734177813</v>
      </c>
    </row>
    <row r="24" spans="1:14">
      <c r="A24" s="1"/>
      <c r="B24" s="1"/>
      <c r="C24" s="1"/>
      <c r="D24" s="9"/>
      <c r="E24" s="9"/>
      <c r="F24" s="3"/>
      <c r="G24" s="1"/>
      <c r="H24" s="1"/>
      <c r="I24" s="1"/>
    </row>
    <row r="25" spans="1:14">
      <c r="A25" s="1" t="s">
        <v>14</v>
      </c>
      <c r="B25" s="20"/>
      <c r="C25" s="20"/>
      <c r="D25" s="21">
        <v>5186531</v>
      </c>
      <c r="E25" s="22"/>
      <c r="F25" s="18"/>
      <c r="G25" s="17"/>
      <c r="H25" s="17"/>
      <c r="I25" s="17"/>
    </row>
    <row r="26" spans="1:14">
      <c r="A26" s="1" t="str">
        <f>A22</f>
        <v>Total OPER Labor</v>
      </c>
      <c r="B26" s="1"/>
      <c r="C26" s="1"/>
      <c r="D26" s="24">
        <f>$D$14</f>
        <v>86319780</v>
      </c>
      <c r="E26" s="9"/>
      <c r="F26" s="18"/>
      <c r="G26" s="17"/>
      <c r="H26" s="17"/>
      <c r="I26" s="17"/>
    </row>
    <row r="27" spans="1:14">
      <c r="A27" s="1" t="s">
        <v>11</v>
      </c>
      <c r="B27" s="1"/>
      <c r="C27" s="1"/>
      <c r="D27" s="9"/>
      <c r="E27" s="27">
        <f>D25/D26</f>
        <v>6.0085081310448193E-2</v>
      </c>
      <c r="F27" s="3"/>
      <c r="G27" s="31">
        <f>G10*E27</f>
        <v>112962.58988454951</v>
      </c>
      <c r="H27" s="31">
        <f>H10*E27</f>
        <v>55711.58340027443</v>
      </c>
      <c r="I27" s="31">
        <f>G27+H27</f>
        <v>168674.17328482395</v>
      </c>
    </row>
    <row r="28" spans="1:14">
      <c r="A28" s="17"/>
      <c r="B28" s="17"/>
      <c r="C28" s="17"/>
      <c r="D28" s="26"/>
      <c r="E28" s="26"/>
      <c r="F28" s="18"/>
      <c r="G28" s="17"/>
      <c r="H28" s="17"/>
      <c r="I28" s="17"/>
    </row>
    <row r="29" spans="1:14">
      <c r="A29" s="1" t="s">
        <v>15</v>
      </c>
      <c r="B29" s="20"/>
      <c r="C29" s="20"/>
      <c r="D29" s="21">
        <v>7512765</v>
      </c>
      <c r="E29" s="22"/>
      <c r="F29" s="18"/>
      <c r="G29" s="17"/>
      <c r="H29" s="1"/>
      <c r="I29" s="1"/>
      <c r="K29" s="38"/>
    </row>
    <row r="30" spans="1:14">
      <c r="A30" s="1" t="str">
        <f>A26</f>
        <v>Total OPER Labor</v>
      </c>
      <c r="B30" s="1"/>
      <c r="C30" s="1"/>
      <c r="D30" s="24">
        <f>$D$14</f>
        <v>86319780</v>
      </c>
      <c r="E30" s="9"/>
      <c r="F30" s="18"/>
      <c r="G30" s="17"/>
      <c r="H30" s="1"/>
      <c r="I30" s="1"/>
    </row>
    <row r="31" spans="1:14" ht="16.5" thickBot="1">
      <c r="A31" s="1" t="s">
        <v>11</v>
      </c>
      <c r="B31" s="1"/>
      <c r="C31" s="1"/>
      <c r="D31" s="9"/>
      <c r="E31" s="27">
        <f>D29/D30</f>
        <v>8.7034107362182811E-2</v>
      </c>
      <c r="F31" s="3"/>
      <c r="G31" s="32">
        <f>E31*G10</f>
        <v>163627.94160374202</v>
      </c>
      <c r="H31" s="32">
        <f>H10*E31</f>
        <v>80699.03252562508</v>
      </c>
      <c r="I31" s="32">
        <f>G31+H31</f>
        <v>244326.9741293671</v>
      </c>
    </row>
    <row r="32" spans="1:14" ht="16.5" thickTop="1">
      <c r="A32" s="1"/>
      <c r="B32" s="1"/>
      <c r="C32" s="1"/>
      <c r="D32" s="9"/>
      <c r="E32" s="9"/>
      <c r="F32" s="3"/>
      <c r="G32" s="1"/>
      <c r="H32" s="1"/>
      <c r="I32" s="1"/>
    </row>
    <row r="33" spans="1:13">
      <c r="A33" s="1"/>
      <c r="B33" s="1"/>
      <c r="C33" s="1"/>
      <c r="D33" s="9"/>
      <c r="E33" s="33">
        <f>SUM(E15:E31)</f>
        <v>1</v>
      </c>
      <c r="F33" s="3"/>
      <c r="G33" s="34">
        <f>G15+G19+G23+G27+G31</f>
        <v>1880043.8881141443</v>
      </c>
      <c r="H33" s="34">
        <f>H15+H19+H23+H27+H31</f>
        <v>927211.58372780215</v>
      </c>
      <c r="I33" s="34">
        <f>I15+I19+I23+I27+I31</f>
        <v>2807255.4718419462</v>
      </c>
      <c r="M33" s="38"/>
    </row>
    <row r="34" spans="1:13">
      <c r="A34" s="1"/>
      <c r="B34" s="1"/>
      <c r="C34" s="1"/>
      <c r="D34" s="9"/>
      <c r="E34" s="314"/>
      <c r="F34" s="314"/>
      <c r="G34" s="35"/>
      <c r="H34" s="35"/>
      <c r="I34" s="35"/>
    </row>
    <row r="35" spans="1:13">
      <c r="A35" s="1"/>
      <c r="B35" s="1"/>
      <c r="C35" s="1"/>
      <c r="D35" s="36"/>
      <c r="E35" s="1"/>
      <c r="F35" s="3"/>
      <c r="G35" s="1"/>
      <c r="H35" s="1"/>
      <c r="I35" s="1"/>
    </row>
    <row r="38" spans="1:13">
      <c r="D38" s="37"/>
    </row>
    <row r="39" spans="1:13">
      <c r="D39" s="37"/>
    </row>
  </sheetData>
  <mergeCells count="2">
    <mergeCell ref="E34:F34"/>
    <mergeCell ref="G1:I1"/>
  </mergeCells>
  <pageMargins left="0.7" right="0.7" top="0.75" bottom="0.75" header="0.3" footer="0.3"/>
  <pageSetup scale="67" orientation="portrait" r:id="rId1"/>
  <headerFooter>
    <oddHeader>&amp;RExhibit No. MC-9
Dockets UE-160228/229
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view="pageBreakPreview" zoomScale="60" zoomScaleNormal="100" workbookViewId="0">
      <selection activeCell="E23" sqref="E23"/>
    </sheetView>
  </sheetViews>
  <sheetFormatPr defaultRowHeight="12.75" outlineLevelCol="1"/>
  <cols>
    <col min="1" max="1" width="58.5" style="195" customWidth="1"/>
    <col min="2" max="2" width="9" style="195"/>
    <col min="3" max="3" width="29.125" style="195" customWidth="1"/>
    <col min="4" max="4" width="13.75" style="195" customWidth="1"/>
    <col min="5" max="5" width="3.25" style="195" customWidth="1"/>
    <col min="6" max="6" width="8.75" style="195" hidden="1" customWidth="1" outlineLevel="1"/>
    <col min="7" max="17" width="7.75" style="195" hidden="1" customWidth="1" outlineLevel="1"/>
    <col min="18" max="18" width="19.75" style="195" customWidth="1" collapsed="1"/>
    <col min="19" max="19" width="2.875" style="195" customWidth="1"/>
    <col min="20" max="20" width="22.625" style="195" customWidth="1"/>
    <col min="21" max="16384" width="9" style="195"/>
  </cols>
  <sheetData>
    <row r="1" spans="1:20">
      <c r="A1" s="4"/>
    </row>
    <row r="2" spans="1:20" ht="13.5" thickBot="1"/>
    <row r="3" spans="1:20" ht="13.5" thickTop="1">
      <c r="D3" s="268" t="s">
        <v>229</v>
      </c>
      <c r="R3" s="268" t="s">
        <v>230</v>
      </c>
      <c r="T3" s="281" t="s">
        <v>238</v>
      </c>
    </row>
    <row r="4" spans="1:20">
      <c r="A4" s="196"/>
      <c r="B4" s="196"/>
      <c r="C4" s="196"/>
      <c r="D4" s="203" t="s">
        <v>231</v>
      </c>
      <c r="E4" s="269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 t="s">
        <v>171</v>
      </c>
      <c r="S4" s="196"/>
      <c r="T4" s="305" t="s">
        <v>239</v>
      </c>
    </row>
    <row r="5" spans="1:20">
      <c r="A5" s="198"/>
      <c r="B5" s="199"/>
      <c r="C5" s="200"/>
      <c r="D5" s="201" t="s">
        <v>169</v>
      </c>
      <c r="E5" s="202"/>
      <c r="F5" s="201" t="s">
        <v>170</v>
      </c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 t="s">
        <v>232</v>
      </c>
      <c r="S5" s="196"/>
      <c r="T5" s="282"/>
    </row>
    <row r="6" spans="1:20" ht="15.75">
      <c r="A6" s="204"/>
      <c r="B6" s="205"/>
      <c r="C6" s="206"/>
      <c r="D6" s="270" t="s">
        <v>172</v>
      </c>
      <c r="E6" s="207"/>
      <c r="F6" s="208" t="s">
        <v>173</v>
      </c>
      <c r="G6" s="209" t="s">
        <v>174</v>
      </c>
      <c r="H6" s="209" t="s">
        <v>175</v>
      </c>
      <c r="I6" s="209" t="s">
        <v>176</v>
      </c>
      <c r="J6" s="209" t="s">
        <v>177</v>
      </c>
      <c r="K6" s="209" t="s">
        <v>178</v>
      </c>
      <c r="L6" s="209" t="s">
        <v>179</v>
      </c>
      <c r="M6" s="209" t="s">
        <v>180</v>
      </c>
      <c r="N6" s="209" t="s">
        <v>181</v>
      </c>
      <c r="O6" s="209" t="s">
        <v>182</v>
      </c>
      <c r="P6" s="209" t="s">
        <v>183</v>
      </c>
      <c r="Q6" s="209" t="s">
        <v>184</v>
      </c>
      <c r="R6" s="270" t="s">
        <v>233</v>
      </c>
      <c r="S6" s="196"/>
      <c r="T6" s="282"/>
    </row>
    <row r="7" spans="1:20">
      <c r="A7" s="209" t="s">
        <v>185</v>
      </c>
      <c r="B7" s="209" t="s">
        <v>186</v>
      </c>
      <c r="C7" s="209" t="s">
        <v>187</v>
      </c>
      <c r="D7" s="210"/>
      <c r="E7" s="211"/>
      <c r="F7" s="212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0"/>
      <c r="S7" s="196"/>
      <c r="T7" s="282"/>
    </row>
    <row r="8" spans="1:20">
      <c r="A8" s="214" t="s">
        <v>188</v>
      </c>
      <c r="B8" s="209" t="s">
        <v>189</v>
      </c>
      <c r="C8" s="209" t="s">
        <v>190</v>
      </c>
      <c r="D8" s="215">
        <v>1585278.3</v>
      </c>
      <c r="E8" s="211"/>
      <c r="F8" s="216">
        <v>110918.66</v>
      </c>
      <c r="G8" s="217">
        <v>228420.08000000002</v>
      </c>
      <c r="H8" s="217">
        <v>185631.01</v>
      </c>
      <c r="I8" s="217">
        <v>165391.64000000001</v>
      </c>
      <c r="J8" s="217">
        <v>61861.87</v>
      </c>
      <c r="K8" s="217">
        <v>71622.64</v>
      </c>
      <c r="L8" s="217">
        <v>47500.87</v>
      </c>
      <c r="M8" s="217">
        <v>175099.30000000002</v>
      </c>
      <c r="N8" s="217">
        <v>144552.80000000002</v>
      </c>
      <c r="O8" s="217">
        <v>72708.240000000005</v>
      </c>
      <c r="P8" s="217">
        <v>216034.73</v>
      </c>
      <c r="Q8" s="217">
        <v>105536.46</v>
      </c>
      <c r="R8" s="215"/>
      <c r="S8" s="196"/>
      <c r="T8" s="282"/>
    </row>
    <row r="9" spans="1:20">
      <c r="A9" s="218"/>
      <c r="B9" s="209" t="s">
        <v>191</v>
      </c>
      <c r="C9" s="209" t="s">
        <v>192</v>
      </c>
      <c r="D9" s="215">
        <v>328552.65000000002</v>
      </c>
      <c r="E9" s="219" t="s">
        <v>193</v>
      </c>
      <c r="F9" s="216">
        <v>23065.47</v>
      </c>
      <c r="G9" s="217">
        <v>32551.040000000001</v>
      </c>
      <c r="H9" s="217">
        <v>25265.82</v>
      </c>
      <c r="I9" s="217">
        <v>26968.639999999999</v>
      </c>
      <c r="J9" s="217">
        <v>40134.97</v>
      </c>
      <c r="K9" s="217">
        <v>27762.080000000002</v>
      </c>
      <c r="L9" s="217">
        <v>32335.010000000002</v>
      </c>
      <c r="M9" s="217">
        <v>30782.27</v>
      </c>
      <c r="N9" s="217">
        <v>30782.27</v>
      </c>
      <c r="O9" s="217">
        <v>29452.54</v>
      </c>
      <c r="P9" s="217">
        <v>29452.54</v>
      </c>
      <c r="Q9" s="217">
        <v>0</v>
      </c>
      <c r="R9" s="215">
        <v>384297</v>
      </c>
      <c r="S9" s="196"/>
      <c r="T9" s="283">
        <f>D9-R9</f>
        <v>-55744.349999999977</v>
      </c>
    </row>
    <row r="10" spans="1:20">
      <c r="A10" s="214" t="s">
        <v>194</v>
      </c>
      <c r="B10" s="209" t="s">
        <v>189</v>
      </c>
      <c r="C10" s="209" t="s">
        <v>190</v>
      </c>
      <c r="D10" s="215">
        <v>392665.5</v>
      </c>
      <c r="E10" s="211"/>
      <c r="F10" s="216">
        <v>47232.74</v>
      </c>
      <c r="G10" s="217">
        <v>33593.5</v>
      </c>
      <c r="H10" s="217">
        <v>33593.5</v>
      </c>
      <c r="I10" s="217">
        <v>34225.14</v>
      </c>
      <c r="J10" s="217">
        <v>33593.5</v>
      </c>
      <c r="K10" s="217">
        <v>33593.5</v>
      </c>
      <c r="L10" s="217">
        <v>34140.770000000004</v>
      </c>
      <c r="M10" s="217">
        <v>33593.5</v>
      </c>
      <c r="N10" s="217">
        <v>33593.5</v>
      </c>
      <c r="O10" s="217">
        <v>3197.85</v>
      </c>
      <c r="P10" s="217">
        <v>33593.5</v>
      </c>
      <c r="Q10" s="217">
        <v>38714.5</v>
      </c>
      <c r="R10" s="215"/>
      <c r="S10" s="196"/>
      <c r="T10" s="282"/>
    </row>
    <row r="11" spans="1:20">
      <c r="A11" s="220"/>
      <c r="B11" s="209" t="s">
        <v>195</v>
      </c>
      <c r="C11" s="209" t="s">
        <v>196</v>
      </c>
      <c r="D11" s="215">
        <v>74971.009999999995</v>
      </c>
      <c r="E11" s="211"/>
      <c r="F11" s="216">
        <v>1215</v>
      </c>
      <c r="G11" s="217">
        <v>2430</v>
      </c>
      <c r="H11" s="217">
        <v>17996.91</v>
      </c>
      <c r="I11" s="217">
        <v>1256.25</v>
      </c>
      <c r="J11" s="217">
        <v>7947.5700000000006</v>
      </c>
      <c r="K11" s="217">
        <v>2844.35</v>
      </c>
      <c r="L11" s="217">
        <v>18054.84</v>
      </c>
      <c r="M11" s="217">
        <v>1278.75</v>
      </c>
      <c r="N11" s="217">
        <v>1290</v>
      </c>
      <c r="O11" s="217">
        <v>18069.84</v>
      </c>
      <c r="P11" s="217">
        <v>1293.75</v>
      </c>
      <c r="Q11" s="217">
        <v>1293.75</v>
      </c>
      <c r="R11" s="215"/>
      <c r="S11" s="196"/>
      <c r="T11" s="282"/>
    </row>
    <row r="12" spans="1:20">
      <c r="A12" s="220"/>
      <c r="B12" s="209" t="s">
        <v>197</v>
      </c>
      <c r="C12" s="209" t="s">
        <v>198</v>
      </c>
      <c r="D12" s="215">
        <v>820117.13</v>
      </c>
      <c r="E12" s="211"/>
      <c r="F12" s="216">
        <v>65829.210000000006</v>
      </c>
      <c r="G12" s="217">
        <v>66389.81</v>
      </c>
      <c r="H12" s="217">
        <v>67212.75</v>
      </c>
      <c r="I12" s="217">
        <v>67814.990000000005</v>
      </c>
      <c r="J12" s="217">
        <v>67993.06</v>
      </c>
      <c r="K12" s="217">
        <v>68727.149999999994</v>
      </c>
      <c r="L12" s="217">
        <v>68901.820000000007</v>
      </c>
      <c r="M12" s="217">
        <v>69211.59</v>
      </c>
      <c r="N12" s="217">
        <v>69264.78</v>
      </c>
      <c r="O12" s="217">
        <v>69509.22</v>
      </c>
      <c r="P12" s="217">
        <v>69542.37</v>
      </c>
      <c r="Q12" s="217">
        <v>69720.38</v>
      </c>
      <c r="R12" s="215"/>
      <c r="S12" s="196"/>
      <c r="T12" s="282"/>
    </row>
    <row r="13" spans="1:20">
      <c r="A13" s="220"/>
      <c r="B13" s="209" t="s">
        <v>191</v>
      </c>
      <c r="C13" s="209" t="s">
        <v>199</v>
      </c>
      <c r="D13" s="215">
        <v>20552436.309999999</v>
      </c>
      <c r="E13" s="219" t="s">
        <v>193</v>
      </c>
      <c r="F13" s="216">
        <v>1687320.87</v>
      </c>
      <c r="G13" s="217">
        <v>1673801.76</v>
      </c>
      <c r="H13" s="217">
        <v>1557320.96</v>
      </c>
      <c r="I13" s="217">
        <v>1550163.94</v>
      </c>
      <c r="J13" s="217">
        <v>1537941.05</v>
      </c>
      <c r="K13" s="217">
        <v>1575053.82</v>
      </c>
      <c r="L13" s="217">
        <v>1629589.19</v>
      </c>
      <c r="M13" s="217">
        <v>1575484.38</v>
      </c>
      <c r="N13" s="217">
        <v>1609743.5899999999</v>
      </c>
      <c r="O13" s="217">
        <v>1607430.38</v>
      </c>
      <c r="P13" s="217">
        <v>1996333.2000000002</v>
      </c>
      <c r="Q13" s="217">
        <v>2552253.17</v>
      </c>
      <c r="R13" s="215">
        <v>18954567</v>
      </c>
      <c r="S13" s="196"/>
      <c r="T13" s="283">
        <f>D13-R13</f>
        <v>1597869.3099999987</v>
      </c>
    </row>
    <row r="14" spans="1:20">
      <c r="A14" s="220"/>
      <c r="B14" s="209" t="s">
        <v>200</v>
      </c>
      <c r="C14" s="209" t="s">
        <v>201</v>
      </c>
      <c r="D14" s="215">
        <v>7928615.3300000001</v>
      </c>
      <c r="E14" s="219" t="s">
        <v>202</v>
      </c>
      <c r="F14" s="216">
        <v>834342.22</v>
      </c>
      <c r="G14" s="217">
        <v>1103504.95</v>
      </c>
      <c r="H14" s="217">
        <v>843953.14</v>
      </c>
      <c r="I14" s="217">
        <v>531420.68000000005</v>
      </c>
      <c r="J14" s="217">
        <v>506690.21</v>
      </c>
      <c r="K14" s="217">
        <v>520758.78</v>
      </c>
      <c r="L14" s="217">
        <v>538127.82000000007</v>
      </c>
      <c r="M14" s="217">
        <v>771345.31</v>
      </c>
      <c r="N14" s="217">
        <v>499982.61</v>
      </c>
      <c r="O14" s="217">
        <v>492574.8</v>
      </c>
      <c r="P14" s="217">
        <v>465120.2</v>
      </c>
      <c r="Q14" s="217">
        <v>820794.61</v>
      </c>
      <c r="R14" s="215">
        <v>7428318</v>
      </c>
      <c r="S14" s="196"/>
      <c r="T14" s="283">
        <f t="shared" ref="T14:T18" si="0">D14-R14</f>
        <v>500297.33000000007</v>
      </c>
    </row>
    <row r="15" spans="1:20">
      <c r="A15" s="220"/>
      <c r="B15" s="209" t="s">
        <v>203</v>
      </c>
      <c r="C15" s="209" t="s">
        <v>204</v>
      </c>
      <c r="D15" s="215">
        <v>280532.62</v>
      </c>
      <c r="E15" s="219" t="s">
        <v>202</v>
      </c>
      <c r="F15" s="216">
        <v>15920.33</v>
      </c>
      <c r="G15" s="217">
        <v>17347.66</v>
      </c>
      <c r="H15" s="217">
        <v>19025.87</v>
      </c>
      <c r="I15" s="217">
        <v>13526.79</v>
      </c>
      <c r="J15" s="217">
        <v>14369.02</v>
      </c>
      <c r="K15" s="217">
        <v>18394.36</v>
      </c>
      <c r="L15" s="217">
        <v>22667.41</v>
      </c>
      <c r="M15" s="217">
        <v>34819.160000000003</v>
      </c>
      <c r="N15" s="217">
        <v>25011.46</v>
      </c>
      <c r="O15" s="217">
        <v>26920.99</v>
      </c>
      <c r="P15" s="217">
        <v>27407.119999999999</v>
      </c>
      <c r="Q15" s="217">
        <v>45122.450000000004</v>
      </c>
      <c r="R15" s="215">
        <v>229929</v>
      </c>
      <c r="S15" s="196"/>
      <c r="T15" s="283">
        <f t="shared" si="0"/>
        <v>50603.619999999995</v>
      </c>
    </row>
    <row r="16" spans="1:20">
      <c r="A16" s="220"/>
      <c r="B16" s="209" t="s">
        <v>205</v>
      </c>
      <c r="C16" s="209" t="s">
        <v>206</v>
      </c>
      <c r="D16" s="215">
        <v>24379430.460000001</v>
      </c>
      <c r="E16" s="219" t="s">
        <v>202</v>
      </c>
      <c r="F16" s="216">
        <v>1864902.5899999999</v>
      </c>
      <c r="G16" s="217">
        <v>1970823.42</v>
      </c>
      <c r="H16" s="217">
        <v>2009569.66</v>
      </c>
      <c r="I16" s="217">
        <v>2293749.9</v>
      </c>
      <c r="J16" s="217">
        <v>2058951.46</v>
      </c>
      <c r="K16" s="217">
        <v>2050000</v>
      </c>
      <c r="L16" s="217">
        <v>2062112.89</v>
      </c>
      <c r="M16" s="217">
        <v>2051953.97</v>
      </c>
      <c r="N16" s="217">
        <v>2050283.22</v>
      </c>
      <c r="O16" s="217">
        <v>1984854</v>
      </c>
      <c r="P16" s="217">
        <v>1997375.35</v>
      </c>
      <c r="Q16" s="217">
        <v>1984854</v>
      </c>
      <c r="R16" s="215">
        <v>21637376</v>
      </c>
      <c r="S16" s="196"/>
      <c r="T16" s="283">
        <f t="shared" si="0"/>
        <v>2742054.4600000009</v>
      </c>
    </row>
    <row r="17" spans="1:21">
      <c r="A17" s="220"/>
      <c r="B17" s="209" t="s">
        <v>207</v>
      </c>
      <c r="C17" s="209" t="s">
        <v>208</v>
      </c>
      <c r="D17" s="215">
        <v>40152.660000000003</v>
      </c>
      <c r="E17" s="211"/>
      <c r="F17" s="216">
        <v>6209.24</v>
      </c>
      <c r="G17" s="217">
        <v>2963.92</v>
      </c>
      <c r="H17" s="217">
        <v>0</v>
      </c>
      <c r="I17" s="217">
        <v>6250</v>
      </c>
      <c r="J17" s="217">
        <v>0</v>
      </c>
      <c r="K17" s="217">
        <v>0</v>
      </c>
      <c r="L17" s="217">
        <v>6250</v>
      </c>
      <c r="M17" s="217">
        <v>0</v>
      </c>
      <c r="N17" s="217">
        <v>234</v>
      </c>
      <c r="O17" s="217">
        <v>14794</v>
      </c>
      <c r="P17" s="217">
        <v>0</v>
      </c>
      <c r="Q17" s="217">
        <v>3451.5</v>
      </c>
      <c r="R17" s="215"/>
      <c r="S17" s="196"/>
      <c r="T17" s="282"/>
    </row>
    <row r="18" spans="1:21">
      <c r="A18" s="220"/>
      <c r="B18" s="209" t="s">
        <v>209</v>
      </c>
      <c r="C18" s="209" t="s">
        <v>210</v>
      </c>
      <c r="D18" s="215">
        <v>9349596</v>
      </c>
      <c r="E18" s="219" t="s">
        <v>193</v>
      </c>
      <c r="F18" s="216">
        <v>820833</v>
      </c>
      <c r="G18" s="217">
        <v>820833</v>
      </c>
      <c r="H18" s="217">
        <v>820833</v>
      </c>
      <c r="I18" s="217">
        <v>737501</v>
      </c>
      <c r="J18" s="217">
        <v>800000</v>
      </c>
      <c r="K18" s="217">
        <v>800000</v>
      </c>
      <c r="L18" s="217">
        <v>800000</v>
      </c>
      <c r="M18" s="217">
        <v>800000</v>
      </c>
      <c r="N18" s="217">
        <v>800000</v>
      </c>
      <c r="O18" s="217">
        <v>716532</v>
      </c>
      <c r="P18" s="217">
        <v>716532</v>
      </c>
      <c r="Q18" s="217">
        <v>716532</v>
      </c>
      <c r="R18" s="215">
        <v>9267681</v>
      </c>
      <c r="S18" s="196"/>
      <c r="T18" s="283">
        <f t="shared" si="0"/>
        <v>81915</v>
      </c>
    </row>
    <row r="19" spans="1:21">
      <c r="A19" s="218"/>
      <c r="B19" s="209" t="s">
        <v>211</v>
      </c>
      <c r="C19" s="209" t="s">
        <v>212</v>
      </c>
      <c r="D19" s="215">
        <v>1809909</v>
      </c>
      <c r="E19" s="197"/>
      <c r="F19" s="216">
        <v>122980</v>
      </c>
      <c r="G19" s="217">
        <v>87001</v>
      </c>
      <c r="H19" s="217">
        <v>586959</v>
      </c>
      <c r="I19" s="217">
        <v>91318</v>
      </c>
      <c r="J19" s="217">
        <v>83458</v>
      </c>
      <c r="K19" s="217">
        <v>83458</v>
      </c>
      <c r="L19" s="217">
        <v>91816</v>
      </c>
      <c r="M19" s="217">
        <v>87565</v>
      </c>
      <c r="N19" s="217">
        <v>312572</v>
      </c>
      <c r="O19" s="217">
        <v>87622</v>
      </c>
      <c r="P19" s="217">
        <v>83459</v>
      </c>
      <c r="Q19" s="217">
        <v>91701</v>
      </c>
      <c r="R19" s="215"/>
      <c r="S19" s="211"/>
      <c r="T19" s="282"/>
    </row>
    <row r="20" spans="1:21">
      <c r="A20" s="209" t="s">
        <v>213</v>
      </c>
      <c r="B20" s="209" t="s">
        <v>214</v>
      </c>
      <c r="C20" s="209" t="s">
        <v>215</v>
      </c>
      <c r="D20" s="215">
        <v>255308.66</v>
      </c>
      <c r="E20" s="197"/>
      <c r="F20" s="216">
        <v>0</v>
      </c>
      <c r="G20" s="217">
        <v>23545.47</v>
      </c>
      <c r="H20" s="217">
        <v>20393.900000000001</v>
      </c>
      <c r="I20" s="217">
        <v>21940.58</v>
      </c>
      <c r="J20" s="217">
        <v>16354.56</v>
      </c>
      <c r="K20" s="217">
        <v>19579.080000000002</v>
      </c>
      <c r="L20" s="217">
        <v>0</v>
      </c>
      <c r="M20" s="217">
        <v>32747.760000000002</v>
      </c>
      <c r="N20" s="217">
        <v>0</v>
      </c>
      <c r="O20" s="217">
        <v>0</v>
      </c>
      <c r="P20" s="217">
        <v>0</v>
      </c>
      <c r="Q20" s="217">
        <v>120747.31</v>
      </c>
      <c r="R20" s="215"/>
      <c r="S20" s="211"/>
      <c r="T20" s="284"/>
      <c r="U20" s="196"/>
    </row>
    <row r="21" spans="1:21">
      <c r="A21" s="222" t="s">
        <v>240</v>
      </c>
      <c r="B21" s="221"/>
      <c r="C21" s="223"/>
      <c r="D21" s="280">
        <f>D9+D13+D14+D15+D16+D18</f>
        <v>62819163.370000005</v>
      </c>
      <c r="E21" s="211"/>
      <c r="F21" s="225">
        <v>5600769.3300000001</v>
      </c>
      <c r="G21" s="226">
        <v>6063205.6100000003</v>
      </c>
      <c r="H21" s="226">
        <v>6187755.5199999996</v>
      </c>
      <c r="I21" s="226">
        <v>5541527.5499999998</v>
      </c>
      <c r="J21" s="226">
        <v>5229295.2699999996</v>
      </c>
      <c r="K21" s="226">
        <v>5271793.76</v>
      </c>
      <c r="L21" s="226">
        <v>5351496.62</v>
      </c>
      <c r="M21" s="226">
        <v>5663880.9900000002</v>
      </c>
      <c r="N21" s="226">
        <v>5577310.2300000004</v>
      </c>
      <c r="O21" s="226">
        <v>5123665.8600000003</v>
      </c>
      <c r="P21" s="226">
        <v>5636143.7599999998</v>
      </c>
      <c r="Q21" s="226">
        <v>6550721.1299999999</v>
      </c>
      <c r="R21" s="224">
        <f>SUM(R8:R20)</f>
        <v>57902168</v>
      </c>
      <c r="S21" s="196"/>
      <c r="T21" s="302">
        <f>SUM(T8:T20)</f>
        <v>4916995.3699999992</v>
      </c>
      <c r="U21" s="227"/>
    </row>
    <row r="22" spans="1:21" s="278" customFormat="1">
      <c r="A22" s="202"/>
      <c r="B22" s="202"/>
      <c r="C22" s="202"/>
      <c r="D22" s="277"/>
      <c r="E22" s="211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37"/>
      <c r="T22" s="285" t="str">
        <f>IF((D21-R21)=T21,"MATCH",(D21-R21)-T21)</f>
        <v>MATCH</v>
      </c>
      <c r="U22" s="227"/>
    </row>
    <row r="23" spans="1:21" s="278" customFormat="1">
      <c r="A23" s="279" t="s">
        <v>132</v>
      </c>
      <c r="B23" s="202"/>
      <c r="C23" s="202"/>
      <c r="D23" s="224">
        <f>SUM(D8:D20)</f>
        <v>67797565.629999995</v>
      </c>
      <c r="E23" s="211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37"/>
      <c r="T23" s="286"/>
      <c r="U23" s="227"/>
    </row>
    <row r="24" spans="1:21" ht="13.5" thickBot="1">
      <c r="A24" s="196"/>
      <c r="B24" s="196"/>
      <c r="C24" s="196"/>
      <c r="D24" s="196"/>
      <c r="E24" s="197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284"/>
      <c r="U24" s="196"/>
    </row>
    <row r="25" spans="1:21" ht="26.25" thickTop="1">
      <c r="A25" s="228"/>
      <c r="B25" s="229"/>
      <c r="C25" s="230" t="s">
        <v>234</v>
      </c>
      <c r="D25" s="271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272" t="s">
        <v>235</v>
      </c>
      <c r="S25" s="196"/>
      <c r="T25" s="284"/>
      <c r="U25" s="196"/>
    </row>
    <row r="26" spans="1:21">
      <c r="A26" s="231" t="s">
        <v>193</v>
      </c>
      <c r="B26" s="232" t="s">
        <v>2</v>
      </c>
      <c r="C26" s="233">
        <f>D9+D13+D18</f>
        <v>30230584.959999997</v>
      </c>
      <c r="D26" s="273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273">
        <f>R9+R13+R18</f>
        <v>28606545</v>
      </c>
      <c r="S26" s="196"/>
      <c r="T26" s="287">
        <f>C26-R26</f>
        <v>1624039.9599999972</v>
      </c>
      <c r="U26" s="196"/>
    </row>
    <row r="27" spans="1:21" ht="25.5">
      <c r="A27" s="231" t="s">
        <v>202</v>
      </c>
      <c r="B27" s="232" t="s">
        <v>216</v>
      </c>
      <c r="C27" s="274">
        <f>D14+D15+D16</f>
        <v>32588578.41</v>
      </c>
      <c r="D27" s="275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275">
        <f>R14+R15+R16</f>
        <v>29295623</v>
      </c>
      <c r="S27" s="196"/>
      <c r="T27" s="287">
        <f>C27-R27</f>
        <v>3292955.41</v>
      </c>
      <c r="U27" s="196"/>
    </row>
    <row r="28" spans="1:21" ht="13.5" thickBot="1">
      <c r="A28" s="234"/>
      <c r="B28" s="235"/>
      <c r="C28" s="236">
        <v>62819163.370000005</v>
      </c>
      <c r="D28" s="27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276">
        <f>R21</f>
        <v>57902168</v>
      </c>
      <c r="S28" s="196"/>
      <c r="T28" s="302">
        <f>SUM(T26:T27)</f>
        <v>4916995.3699999973</v>
      </c>
      <c r="U28" s="227"/>
    </row>
    <row r="29" spans="1:21" ht="13.5" thickTop="1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 t="s">
        <v>244</v>
      </c>
      <c r="T29" s="297">
        <f>T28-T21</f>
        <v>0</v>
      </c>
      <c r="U29" s="196"/>
    </row>
    <row r="30" spans="1:21" s="278" customFormat="1">
      <c r="A30" s="237"/>
      <c r="B30" s="237"/>
      <c r="C30" s="227"/>
      <c r="D30" s="22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S30" s="239" t="s">
        <v>243</v>
      </c>
      <c r="T30" s="298">
        <f>'Non-Util Benefit Calc'!E9</f>
        <v>0.57092904519898857</v>
      </c>
      <c r="U30" s="238"/>
    </row>
    <row r="31" spans="1:21" s="289" customFormat="1">
      <c r="A31" s="197"/>
      <c r="B31" s="197"/>
      <c r="C31" s="288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S31" s="293" t="s">
        <v>242</v>
      </c>
      <c r="T31" s="299">
        <f>T28*T30</f>
        <v>2807255.4718419458</v>
      </c>
      <c r="U31" s="197"/>
    </row>
    <row r="32" spans="1:21" s="289" customFormat="1">
      <c r="A32" s="197"/>
      <c r="B32" s="197"/>
      <c r="C32" s="288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S32" s="293" t="s">
        <v>247</v>
      </c>
      <c r="T32" s="303">
        <f>Adjustment!E15</f>
        <v>0.47744708107458106</v>
      </c>
      <c r="U32" s="197"/>
    </row>
    <row r="33" spans="1:21" s="289" customFormat="1">
      <c r="A33" s="197"/>
      <c r="B33" s="197"/>
      <c r="C33" s="288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S33" s="293" t="s">
        <v>245</v>
      </c>
      <c r="T33" s="300">
        <f>T31*T32</f>
        <v>1340315.9308615827</v>
      </c>
      <c r="U33" s="197"/>
    </row>
    <row r="34" spans="1:21" s="289" customFormat="1">
      <c r="A34" s="197"/>
      <c r="B34" s="197"/>
      <c r="C34" s="288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S34" s="293" t="s">
        <v>248</v>
      </c>
      <c r="T34" s="304">
        <f>Adjustment!E23</f>
        <v>0.14224849738959019</v>
      </c>
      <c r="U34" s="197"/>
    </row>
    <row r="35" spans="1:21" s="289" customFormat="1" ht="13.5" thickBot="1">
      <c r="A35" s="197"/>
      <c r="B35" s="197"/>
      <c r="C35" s="288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S35" s="293" t="s">
        <v>246</v>
      </c>
      <c r="T35" s="301">
        <f>T31*T34</f>
        <v>399327.87265822181</v>
      </c>
      <c r="U35" s="233"/>
    </row>
    <row r="36" spans="1:21" s="289" customFormat="1" ht="13.5" thickTop="1">
      <c r="A36" s="197"/>
      <c r="B36" s="197"/>
      <c r="C36" s="288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</row>
    <row r="37" spans="1:21" s="289" customFormat="1">
      <c r="A37" s="197"/>
      <c r="B37" s="197"/>
      <c r="C37" s="288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</row>
    <row r="38" spans="1:21" s="289" customFormat="1">
      <c r="A38" s="197"/>
      <c r="B38" s="197"/>
      <c r="C38" s="288"/>
      <c r="D38" s="290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291"/>
      <c r="S38" s="197"/>
      <c r="T38" s="197"/>
      <c r="U38" s="197"/>
    </row>
    <row r="39" spans="1:21" s="289" customFormat="1">
      <c r="A39" s="197"/>
      <c r="B39" s="197"/>
      <c r="C39" s="288"/>
      <c r="D39" s="292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</row>
    <row r="40" spans="1:21" s="289" customFormat="1">
      <c r="A40" s="197"/>
      <c r="B40" s="197"/>
      <c r="C40" s="288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</row>
    <row r="41" spans="1:21" s="289" customFormat="1">
      <c r="A41" s="197"/>
      <c r="B41" s="197"/>
      <c r="C41" s="288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</row>
    <row r="42" spans="1:21" s="289" customFormat="1">
      <c r="A42" s="197"/>
      <c r="B42" s="197"/>
      <c r="C42" s="288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</row>
    <row r="43" spans="1:21" s="289" customFormat="1">
      <c r="A43" s="197"/>
      <c r="B43" s="197"/>
      <c r="C43" s="288"/>
      <c r="D43" s="293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21" s="289" customFormat="1">
      <c r="A44" s="197"/>
      <c r="B44" s="197"/>
      <c r="C44" s="288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</row>
    <row r="45" spans="1:21" s="289" customFormat="1">
      <c r="A45" s="197"/>
      <c r="B45" s="197"/>
      <c r="C45" s="288"/>
      <c r="D45" s="288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291"/>
    </row>
    <row r="46" spans="1:21" s="289" customFormat="1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288"/>
    </row>
    <row r="47" spans="1:21" s="289" customFormat="1">
      <c r="A47" s="197"/>
      <c r="B47" s="197"/>
      <c r="C47" s="291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291"/>
    </row>
    <row r="48" spans="1:21" s="289" customFormat="1">
      <c r="A48" s="197"/>
      <c r="B48" s="197"/>
      <c r="C48" s="294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294"/>
    </row>
    <row r="49" spans="1:18" s="289" customFormat="1">
      <c r="A49" s="197"/>
      <c r="B49" s="197"/>
      <c r="C49" s="295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295"/>
    </row>
    <row r="50" spans="1:18" s="289" customFormat="1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288"/>
    </row>
    <row r="51" spans="1:18" s="289" customFormat="1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288"/>
    </row>
    <row r="52" spans="1:18" s="289" customFormat="1" ht="15">
      <c r="A52" s="296"/>
      <c r="B52" s="296"/>
      <c r="C52" s="296"/>
      <c r="D52" s="296"/>
      <c r="E52" s="296"/>
      <c r="F52" s="296"/>
      <c r="G52" s="296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288"/>
    </row>
    <row r="53" spans="1:18" s="289" customFormat="1" ht="38.25" customHeight="1">
      <c r="A53" s="296"/>
      <c r="B53" s="296"/>
      <c r="C53" s="296"/>
      <c r="D53" s="296"/>
      <c r="E53" s="296"/>
      <c r="F53" s="296"/>
      <c r="G53" s="296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288"/>
    </row>
    <row r="54" spans="1:18" s="289" customFormat="1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288"/>
    </row>
    <row r="55" spans="1:18" s="289" customFormat="1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288"/>
    </row>
    <row r="56" spans="1:18" s="289" customFormat="1" ht="15">
      <c r="A56" s="296"/>
      <c r="B56" s="296"/>
      <c r="C56" s="296"/>
      <c r="D56" s="296"/>
      <c r="E56" s="296"/>
      <c r="F56" s="296"/>
      <c r="G56" s="296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288"/>
    </row>
    <row r="57" spans="1:18" s="289" customFormat="1"/>
    <row r="58" spans="1:18" s="289" customFormat="1"/>
  </sheetData>
  <pageMargins left="0.7" right="0.7" top="0.75" bottom="0.75" header="0.3" footer="0.3"/>
  <pageSetup scale="67" orientation="portrait" r:id="rId1"/>
  <headerFooter>
    <oddHeader>&amp;RExhibit No. MC-9
Dockets UE-160228/229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33"/>
  <sheetViews>
    <sheetView tabSelected="1" view="pageBreakPreview" zoomScale="60" zoomScaleNormal="100" workbookViewId="0">
      <selection activeCell="E23" sqref="E23"/>
    </sheetView>
  </sheetViews>
  <sheetFormatPr defaultColWidth="7" defaultRowHeight="15"/>
  <cols>
    <col min="1" max="1" width="34.125" style="240" customWidth="1"/>
    <col min="2" max="2" width="14.75" style="240" customWidth="1"/>
    <col min="3" max="3" width="11.75" style="240" customWidth="1"/>
    <col min="4" max="4" width="11.625" style="240" customWidth="1"/>
    <col min="5" max="5" width="10.5" style="240" bestFit="1" customWidth="1"/>
    <col min="6" max="6" width="9.125" style="240" customWidth="1"/>
    <col min="7" max="7" width="10.5" style="240" bestFit="1" customWidth="1"/>
    <col min="8" max="8" width="35.875" style="240" bestFit="1" customWidth="1"/>
    <col min="9" max="10" width="7" style="240"/>
    <col min="11" max="11" width="7.375" style="240" bestFit="1" customWidth="1"/>
    <col min="12" max="16384" width="7" style="240"/>
  </cols>
  <sheetData>
    <row r="1" spans="1:7" ht="25.5" customHeight="1">
      <c r="A1" s="316" t="s">
        <v>217</v>
      </c>
      <c r="B1" s="316"/>
      <c r="C1" s="316"/>
      <c r="D1" s="316"/>
      <c r="E1" s="316"/>
      <c r="F1" s="316"/>
      <c r="G1" s="316"/>
    </row>
    <row r="2" spans="1:7">
      <c r="A2" s="241"/>
      <c r="B2" s="241"/>
      <c r="C2" s="241"/>
    </row>
    <row r="3" spans="1:7">
      <c r="A3" s="242" t="s">
        <v>218</v>
      </c>
      <c r="B3" s="243"/>
      <c r="C3" s="243"/>
      <c r="D3" s="243"/>
      <c r="E3" s="243"/>
      <c r="F3" s="243"/>
      <c r="G3" s="243"/>
    </row>
    <row r="5" spans="1:7">
      <c r="A5" s="244"/>
      <c r="B5" s="245"/>
      <c r="C5" s="317" t="s">
        <v>219</v>
      </c>
      <c r="D5" s="318"/>
      <c r="E5" s="318"/>
      <c r="F5" s="318"/>
      <c r="G5" s="319"/>
    </row>
    <row r="6" spans="1:7">
      <c r="A6" s="246" t="s">
        <v>220</v>
      </c>
      <c r="B6" s="246" t="s">
        <v>221</v>
      </c>
      <c r="C6" s="247" t="s">
        <v>222</v>
      </c>
      <c r="D6" s="247" t="s">
        <v>223</v>
      </c>
      <c r="E6" s="247" t="s">
        <v>224</v>
      </c>
      <c r="F6" s="247" t="s">
        <v>122</v>
      </c>
      <c r="G6" s="248" t="s">
        <v>132</v>
      </c>
    </row>
    <row r="7" spans="1:7">
      <c r="A7" s="249" t="s">
        <v>225</v>
      </c>
      <c r="B7" s="249" t="s">
        <v>226</v>
      </c>
      <c r="C7" s="250">
        <v>16709779</v>
      </c>
      <c r="D7" s="250">
        <v>779912.09</v>
      </c>
      <c r="E7" s="250">
        <v>35245527</v>
      </c>
      <c r="F7" s="250">
        <v>8998420</v>
      </c>
      <c r="G7" s="250">
        <v>61733638</v>
      </c>
    </row>
    <row r="8" spans="1:7" ht="15.75" thickBot="1">
      <c r="A8" s="251" t="s">
        <v>132</v>
      </c>
      <c r="B8" s="252"/>
      <c r="C8" s="253">
        <v>16709779</v>
      </c>
      <c r="D8" s="253">
        <v>779912.09</v>
      </c>
      <c r="E8" s="253">
        <v>35245527</v>
      </c>
      <c r="F8" s="253">
        <v>8998420</v>
      </c>
      <c r="G8" s="253">
        <v>61733638</v>
      </c>
    </row>
    <row r="9" spans="1:7" ht="15.75" thickBot="1">
      <c r="A9" s="254"/>
      <c r="B9" s="255" t="s">
        <v>227</v>
      </c>
      <c r="C9" s="256">
        <f>C8/$G$8</f>
        <v>0.27067542981996301</v>
      </c>
      <c r="D9" s="256">
        <f t="shared" ref="D9:F9" si="0">D8/$G$8</f>
        <v>1.2633502823857553E-2</v>
      </c>
      <c r="E9" s="257">
        <f t="shared" si="0"/>
        <v>0.57092904519898857</v>
      </c>
      <c r="F9" s="256">
        <f t="shared" si="0"/>
        <v>0.14576202361506704</v>
      </c>
      <c r="G9" s="258">
        <f>SUM(C9:F9)</f>
        <v>1.000000001457876</v>
      </c>
    </row>
    <row r="10" spans="1:7">
      <c r="A10" s="259"/>
      <c r="B10" s="260"/>
      <c r="C10" s="261"/>
      <c r="D10" s="261"/>
      <c r="E10" s="262"/>
      <c r="F10" s="261"/>
      <c r="G10" s="263"/>
    </row>
    <row r="11" spans="1:7">
      <c r="A11" s="259"/>
      <c r="B11" s="260"/>
      <c r="C11" s="261"/>
      <c r="D11" s="261"/>
      <c r="E11" s="262"/>
      <c r="F11" s="261"/>
      <c r="G11" s="263"/>
    </row>
    <row r="12" spans="1:7">
      <c r="A12" s="320" t="s">
        <v>228</v>
      </c>
      <c r="B12" s="320"/>
      <c r="C12" s="320"/>
      <c r="D12" s="320"/>
      <c r="E12" s="320"/>
      <c r="F12" s="320"/>
      <c r="G12" s="320"/>
    </row>
    <row r="13" spans="1:7">
      <c r="A13" s="241"/>
      <c r="B13" s="241"/>
      <c r="C13" s="241"/>
    </row>
    <row r="14" spans="1:7">
      <c r="A14" s="242" t="s">
        <v>218</v>
      </c>
      <c r="B14" s="243"/>
      <c r="C14" s="243"/>
      <c r="D14" s="243"/>
      <c r="E14" s="243"/>
      <c r="F14" s="243"/>
      <c r="G14" s="243"/>
    </row>
    <row r="16" spans="1:7">
      <c r="A16" s="244"/>
      <c r="B16" s="245"/>
      <c r="C16" s="317" t="s">
        <v>219</v>
      </c>
      <c r="D16" s="318"/>
      <c r="E16" s="318"/>
      <c r="F16" s="318"/>
      <c r="G16" s="319"/>
    </row>
    <row r="17" spans="1:7">
      <c r="A17" s="246" t="s">
        <v>220</v>
      </c>
      <c r="B17" s="246" t="s">
        <v>221</v>
      </c>
      <c r="C17" s="247" t="s">
        <v>222</v>
      </c>
      <c r="D17" s="247" t="s">
        <v>223</v>
      </c>
      <c r="E17" s="247" t="s">
        <v>224</v>
      </c>
      <c r="F17" s="247" t="s">
        <v>122</v>
      </c>
      <c r="G17" s="248" t="s">
        <v>132</v>
      </c>
    </row>
    <row r="18" spans="1:7">
      <c r="A18" s="249" t="s">
        <v>225</v>
      </c>
      <c r="B18" s="249" t="s">
        <v>226</v>
      </c>
      <c r="C18" s="250">
        <v>18501809</v>
      </c>
      <c r="D18" s="250">
        <v>858528</v>
      </c>
      <c r="E18" s="250">
        <v>37245040</v>
      </c>
      <c r="F18" s="250">
        <v>8696993</v>
      </c>
      <c r="G18" s="250">
        <f>SUM(C18:F18)</f>
        <v>65302370</v>
      </c>
    </row>
    <row r="19" spans="1:7" ht="15.75" thickBot="1">
      <c r="A19" s="251" t="s">
        <v>132</v>
      </c>
      <c r="B19" s="252"/>
      <c r="C19" s="253">
        <f>SUM(C18)</f>
        <v>18501809</v>
      </c>
      <c r="D19" s="253">
        <f t="shared" ref="D19:G19" si="1">SUM(D18)</f>
        <v>858528</v>
      </c>
      <c r="E19" s="253">
        <f t="shared" si="1"/>
        <v>37245040</v>
      </c>
      <c r="F19" s="253">
        <f t="shared" si="1"/>
        <v>8696993</v>
      </c>
      <c r="G19" s="253">
        <f t="shared" si="1"/>
        <v>65302370</v>
      </c>
    </row>
    <row r="20" spans="1:7" ht="15.75" thickBot="1">
      <c r="A20" s="254"/>
      <c r="B20" s="255" t="s">
        <v>227</v>
      </c>
      <c r="C20" s="256">
        <f>C19/$G$19</f>
        <v>0.2833252300031377</v>
      </c>
      <c r="D20" s="264">
        <f t="shared" ref="D20:F20" si="2">D19/$G$19</f>
        <v>1.3146965416415975E-2</v>
      </c>
      <c r="E20" s="257">
        <f>E19/$G$19</f>
        <v>0.57034744680782645</v>
      </c>
      <c r="F20" s="265">
        <f t="shared" si="2"/>
        <v>0.13318035777261988</v>
      </c>
      <c r="G20" s="256">
        <f>G19/$G$19</f>
        <v>1</v>
      </c>
    </row>
    <row r="33" spans="6:6">
      <c r="F33" s="266"/>
    </row>
  </sheetData>
  <mergeCells count="4">
    <mergeCell ref="A1:G1"/>
    <mergeCell ref="C5:G5"/>
    <mergeCell ref="A12:G12"/>
    <mergeCell ref="C16:G16"/>
  </mergeCells>
  <pageMargins left="0.7" right="0.7" top="0.75" bottom="0.75" header="0.3" footer="0.3"/>
  <pageSetup scale="67" orientation="portrait" r:id="rId1"/>
  <headerFooter>
    <oddHeader>&amp;RExhibit No. MC-9
Dockets UE-160228/229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2016-08-17T21:44:47+00:00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F745FFA-6DE5-4CAA-A5DD-E66B803621E7}"/>
</file>

<file path=customXml/itemProps2.xml><?xml version="1.0" encoding="utf-8"?>
<ds:datastoreItem xmlns:ds="http://schemas.openxmlformats.org/officeDocument/2006/customXml" ds:itemID="{D1C25726-CEF7-45F7-BDE3-0A46B3100B26}"/>
</file>

<file path=customXml/itemProps3.xml><?xml version="1.0" encoding="utf-8"?>
<ds:datastoreItem xmlns:ds="http://schemas.openxmlformats.org/officeDocument/2006/customXml" ds:itemID="{4B768BAF-86A1-4BBC-824D-723EDE36E088}"/>
</file>

<file path=customXml/itemProps4.xml><?xml version="1.0" encoding="utf-8"?>
<ds:datastoreItem xmlns:ds="http://schemas.openxmlformats.org/officeDocument/2006/customXml" ds:itemID="{7531B8CF-214C-4FA7-9CC6-D6A7B40FE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Electric Adj</vt:lpstr>
      <vt:lpstr>Gas Adj</vt:lpstr>
      <vt:lpstr>Summary</vt:lpstr>
      <vt:lpstr>Adjustment</vt:lpstr>
      <vt:lpstr>Pro-Forma</vt:lpstr>
      <vt:lpstr>Non-Util Benefit Calc</vt:lpstr>
      <vt:lpstr>Adjustment!Print_Area</vt:lpstr>
      <vt:lpstr>'Electric Adj'!Print_Area</vt:lpstr>
      <vt:lpstr>'Gas Adj'!Print_Area</vt:lpstr>
      <vt:lpstr>'Non-Util Benefit Calc'!Print_Area</vt:lpstr>
      <vt:lpstr>'Pro-Forma'!Print_Area</vt:lpstr>
      <vt:lpstr>Summary!Print_Area</vt:lpstr>
      <vt:lpstr>'Electric Adj'!Print_Titles</vt:lpstr>
      <vt:lpstr>'Gas Adj'!Print_Titles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MC-9, Pro Forma Employee Benefits (Electric 3.04, Gas 3.02)</dc:title>
  <dc:creator>Melissa Cheesman</dc:creator>
  <dc:description/>
  <cp:lastModifiedBy>Melissa Cheesman</cp:lastModifiedBy>
  <cp:lastPrinted>2016-08-15T21:57:06Z</cp:lastPrinted>
  <dcterms:created xsi:type="dcterms:W3CDTF">2016-08-04T16:31:24Z</dcterms:created>
  <dcterms:modified xsi:type="dcterms:W3CDTF">2016-08-15T21:57:09Z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