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firstSheet="1" activeTab="2"/>
  </bookViews>
  <sheets>
    <sheet name="JL15 Gas Cost of Service" sheetId="1" r:id="rId1"/>
    <sheet name="General Plus Tracker" sheetId="2" r:id="rId2"/>
    <sheet name="JL 16 Gas Rate Spread" sheetId="3" r:id="rId3"/>
    <sheet name="JL 17 Sched 101 Rates" sheetId="4" r:id="rId4"/>
    <sheet name="Gas COS WP" sheetId="5" r:id="rId5"/>
  </sheets>
  <definedNames/>
  <calcPr fullCalcOnLoad="1"/>
</workbook>
</file>

<file path=xl/sharedStrings.xml><?xml version="1.0" encoding="utf-8"?>
<sst xmlns="http://schemas.openxmlformats.org/spreadsheetml/2006/main" count="119" uniqueCount="69">
  <si>
    <t>Class</t>
  </si>
  <si>
    <t>Schedule</t>
  </si>
  <si>
    <t>Revenues at Current Rates</t>
  </si>
  <si>
    <t>Revenue Requirement At Company-Requested Return</t>
  </si>
  <si>
    <t>Revenue to Cost Ratio</t>
  </si>
  <si>
    <t>Gas Cost of Service Results Per Avista</t>
  </si>
  <si>
    <t>Exhibit JL-8</t>
  </si>
  <si>
    <t>Page 1</t>
  </si>
  <si>
    <t>Alternative Study For Public Counsel</t>
  </si>
  <si>
    <t>Response to Public Counsel Data Request #128</t>
  </si>
  <si>
    <t>Without Gas Costs</t>
  </si>
  <si>
    <t>With Gas Costs</t>
  </si>
  <si>
    <t>Plus Gas Costs</t>
  </si>
  <si>
    <t>Total Cost of Service</t>
  </si>
  <si>
    <t>Margin Revenues at Current Rates</t>
  </si>
  <si>
    <t>Margin Revenue Requirement at Current Rates</t>
  </si>
  <si>
    <t>Residential</t>
  </si>
  <si>
    <t>Medium GS</t>
  </si>
  <si>
    <t>Large GS</t>
  </si>
  <si>
    <t>Interruptible</t>
  </si>
  <si>
    <t>Transport</t>
  </si>
  <si>
    <t>Contracts</t>
  </si>
  <si>
    <t>Therms</t>
  </si>
  <si>
    <t>Page 2</t>
  </si>
  <si>
    <t>Margin at Current Rates</t>
  </si>
  <si>
    <t>Increase $</t>
  </si>
  <si>
    <t>Total</t>
  </si>
  <si>
    <t>Total Margin with Increase</t>
  </si>
  <si>
    <t>% Margin Increase</t>
  </si>
  <si>
    <t>Total Revenue With Gas Cost</t>
  </si>
  <si>
    <t>% Increase Overall</t>
  </si>
  <si>
    <t>Total Revenue With Increase</t>
  </si>
  <si>
    <t>Element</t>
  </si>
  <si>
    <t>Current Rate</t>
  </si>
  <si>
    <t>Units</t>
  </si>
  <si>
    <t>Current Revenue</t>
  </si>
  <si>
    <t>Customer Charge</t>
  </si>
  <si>
    <t>All Therms</t>
  </si>
  <si>
    <t>Total:</t>
  </si>
  <si>
    <t>% Increase</t>
  </si>
  <si>
    <t>Public Counsel Proposed Rate</t>
  </si>
  <si>
    <t>Public Counsel Proposed Revenue</t>
  </si>
  <si>
    <t>Bill Comparison</t>
  </si>
  <si>
    <t>Current</t>
  </si>
  <si>
    <t>Public Counsel Proposed</t>
  </si>
  <si>
    <t>Monthly Therms</t>
  </si>
  <si>
    <t>Total Revenue</t>
  </si>
  <si>
    <t>Total Revenues</t>
  </si>
  <si>
    <t>Avista Study</t>
  </si>
  <si>
    <t xml:space="preserve">  Excluding Gas Costs</t>
  </si>
  <si>
    <t xml:space="preserve">  Including Gas Costs</t>
  </si>
  <si>
    <t>Public Counsel Study</t>
  </si>
  <si>
    <t>Gas COS Result Comparison</t>
  </si>
  <si>
    <t>Impact of General Rate Increase Plus Tracker on Sales Schedules</t>
  </si>
  <si>
    <t>Current Average Rate</t>
  </si>
  <si>
    <t>General Increase</t>
  </si>
  <si>
    <t>Tracker Increase</t>
  </si>
  <si>
    <t>Total Increase</t>
  </si>
  <si>
    <t>Total % Increase</t>
  </si>
  <si>
    <t>Residential 101</t>
  </si>
  <si>
    <t>Industrial 121</t>
  </si>
  <si>
    <t>Commercial 111</t>
  </si>
  <si>
    <t>Interruptible 131</t>
  </si>
  <si>
    <t>Avista / Staff Proposed Rates</t>
  </si>
  <si>
    <t>Avista / Staff Proposed</t>
  </si>
  <si>
    <t>Current and Staff / Avista Proposed Rates from Attachment C</t>
  </si>
  <si>
    <t>Avista / Staff Proposed Revenue</t>
  </si>
  <si>
    <t xml:space="preserve">                Gas Rate Spread Based on Public Counsel Revenue Requirement</t>
  </si>
  <si>
    <t xml:space="preserve">                              Schedule 101 Rate Design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</si>
</sst>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* #,##0.00000_);_(* \(#,##0.00000\);_(* &quot;-&quot;???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_);_(* \(#,##0.000\);_(* &quot;-&quot;?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17" applyNumberFormat="1" applyAlignment="1">
      <alignment/>
    </xf>
    <xf numFmtId="0" fontId="0" fillId="0" borderId="1" xfId="0" applyBorder="1" applyAlignment="1">
      <alignment/>
    </xf>
    <xf numFmtId="165" fontId="0" fillId="0" borderId="1" xfId="17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165" fontId="0" fillId="0" borderId="6" xfId="17" applyNumberFormat="1" applyBorder="1" applyAlignment="1">
      <alignment/>
    </xf>
    <xf numFmtId="0" fontId="0" fillId="0" borderId="7" xfId="0" applyBorder="1" applyAlignment="1">
      <alignment wrapText="1"/>
    </xf>
    <xf numFmtId="9" fontId="0" fillId="0" borderId="8" xfId="19" applyBorder="1" applyAlignment="1">
      <alignment/>
    </xf>
    <xf numFmtId="9" fontId="0" fillId="0" borderId="9" xfId="19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0" fillId="0" borderId="1" xfId="17" applyBorder="1" applyAlignment="1">
      <alignment/>
    </xf>
    <xf numFmtId="44" fontId="0" fillId="0" borderId="6" xfId="17" applyBorder="1" applyAlignment="1">
      <alignment/>
    </xf>
    <xf numFmtId="167" fontId="0" fillId="0" borderId="1" xfId="15" applyNumberFormat="1" applyBorder="1" applyAlignment="1">
      <alignment/>
    </xf>
    <xf numFmtId="167" fontId="0" fillId="0" borderId="6" xfId="15" applyNumberFormat="1" applyBorder="1" applyAlignment="1">
      <alignment/>
    </xf>
    <xf numFmtId="165" fontId="0" fillId="0" borderId="0" xfId="17" applyNumberFormat="1" applyBorder="1" applyAlignment="1">
      <alignment/>
    </xf>
    <xf numFmtId="0" fontId="2" fillId="0" borderId="7" xfId="0" applyFont="1" applyBorder="1" applyAlignment="1">
      <alignment wrapText="1"/>
    </xf>
    <xf numFmtId="9" fontId="2" fillId="0" borderId="8" xfId="19" applyFont="1" applyBorder="1" applyAlignment="1">
      <alignment/>
    </xf>
    <xf numFmtId="9" fontId="2" fillId="0" borderId="9" xfId="19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165" fontId="0" fillId="0" borderId="1" xfId="0" applyNumberFormat="1" applyBorder="1" applyAlignment="1">
      <alignment/>
    </xf>
    <xf numFmtId="168" fontId="0" fillId="0" borderId="1" xfId="19" applyNumberFormat="1" applyBorder="1" applyAlignment="1">
      <alignment/>
    </xf>
    <xf numFmtId="0" fontId="0" fillId="0" borderId="13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 quotePrefix="1">
      <alignment/>
    </xf>
    <xf numFmtId="10" fontId="0" fillId="0" borderId="6" xfId="19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7" xfId="0" applyBorder="1" applyAlignment="1" quotePrefix="1">
      <alignment/>
    </xf>
    <xf numFmtId="168" fontId="0" fillId="0" borderId="8" xfId="19" applyNumberFormat="1" applyBorder="1" applyAlignment="1">
      <alignment/>
    </xf>
    <xf numFmtId="44" fontId="0" fillId="0" borderId="1" xfId="0" applyNumberFormat="1" applyBorder="1" applyAlignment="1">
      <alignment/>
    </xf>
    <xf numFmtId="171" fontId="0" fillId="0" borderId="1" xfId="17" applyNumberFormat="1" applyBorder="1" applyAlignment="1">
      <alignment/>
    </xf>
    <xf numFmtId="0" fontId="0" fillId="0" borderId="2" xfId="0" applyBorder="1" applyAlignment="1">
      <alignment/>
    </xf>
    <xf numFmtId="4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7" fontId="0" fillId="0" borderId="6" xfId="0" applyNumberFormat="1" applyBorder="1" applyAlignment="1">
      <alignment/>
    </xf>
    <xf numFmtId="167" fontId="0" fillId="0" borderId="9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0" fontId="0" fillId="0" borderId="8" xfId="19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44" fontId="0" fillId="0" borderId="8" xfId="17" applyBorder="1" applyAlignment="1">
      <alignment/>
    </xf>
    <xf numFmtId="44" fontId="0" fillId="0" borderId="9" xfId="17" applyBorder="1" applyAlignment="1">
      <alignment/>
    </xf>
    <xf numFmtId="0" fontId="4" fillId="0" borderId="20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10" fontId="0" fillId="0" borderId="9" xfId="19" applyNumberFormat="1" applyBorder="1" applyAlignment="1">
      <alignment/>
    </xf>
    <xf numFmtId="168" fontId="2" fillId="0" borderId="8" xfId="19" applyNumberFormat="1" applyFont="1" applyBorder="1" applyAlignment="1">
      <alignment/>
    </xf>
    <xf numFmtId="168" fontId="2" fillId="0" borderId="9" xfId="19" applyNumberFormat="1" applyFont="1" applyBorder="1" applyAlignment="1">
      <alignment/>
    </xf>
    <xf numFmtId="9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1" xfId="17" applyNumberFormat="1" applyBorder="1" applyAlignment="1">
      <alignment/>
    </xf>
    <xf numFmtId="9" fontId="0" fillId="0" borderId="1" xfId="19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51">
      <selection activeCell="E1" sqref="E1"/>
    </sheetView>
  </sheetViews>
  <sheetFormatPr defaultColWidth="9.140625" defaultRowHeight="12.75"/>
  <cols>
    <col min="1" max="1" width="20.00390625" style="0" customWidth="1"/>
    <col min="2" max="5" width="11.8515625" style="0" customWidth="1"/>
    <col min="6" max="6" width="11.140625" style="0" customWidth="1"/>
    <col min="7" max="7" width="11.8515625" style="0" customWidth="1"/>
  </cols>
  <sheetData>
    <row r="1" ht="12.75">
      <c r="E1" t="s">
        <v>6</v>
      </c>
    </row>
    <row r="2" ht="12.75">
      <c r="E2" t="s">
        <v>7</v>
      </c>
    </row>
    <row r="4" ht="20.25">
      <c r="A4" s="16" t="s">
        <v>10</v>
      </c>
    </row>
    <row r="5" ht="13.5" thickBot="1"/>
    <row r="6" spans="1:6" ht="15.75">
      <c r="A6" s="5" t="s">
        <v>5</v>
      </c>
      <c r="B6" s="6"/>
      <c r="C6" s="6"/>
      <c r="D6" s="6"/>
      <c r="E6" s="6"/>
      <c r="F6" s="7"/>
    </row>
    <row r="7" spans="1:6" ht="12.75">
      <c r="A7" s="8"/>
      <c r="B7" s="3"/>
      <c r="C7" s="3"/>
      <c r="D7" s="3"/>
      <c r="E7" s="3"/>
      <c r="F7" s="9"/>
    </row>
    <row r="8" spans="1:6" ht="12.75">
      <c r="A8" s="8" t="s">
        <v>0</v>
      </c>
      <c r="B8" s="3"/>
      <c r="C8" s="3"/>
      <c r="D8" s="3"/>
      <c r="E8" s="3"/>
      <c r="F8" s="9"/>
    </row>
    <row r="9" spans="1:6" ht="12.75">
      <c r="A9" s="8" t="s">
        <v>1</v>
      </c>
      <c r="B9" s="3">
        <v>101</v>
      </c>
      <c r="C9" s="3">
        <v>111</v>
      </c>
      <c r="D9" s="3">
        <v>121</v>
      </c>
      <c r="E9" s="3">
        <v>131</v>
      </c>
      <c r="F9" s="9">
        <v>146</v>
      </c>
    </row>
    <row r="10" spans="1:6" ht="12.75">
      <c r="A10" s="8"/>
      <c r="B10" s="3"/>
      <c r="C10" s="3"/>
      <c r="D10" s="3"/>
      <c r="E10" s="3"/>
      <c r="F10" s="9"/>
    </row>
    <row r="11" spans="1:7" ht="25.5">
      <c r="A11" s="10" t="s">
        <v>2</v>
      </c>
      <c r="B11" s="4">
        <v>31784</v>
      </c>
      <c r="C11" s="4">
        <v>6770.7</v>
      </c>
      <c r="D11" s="4">
        <v>868.1</v>
      </c>
      <c r="E11" s="4">
        <v>60.5</v>
      </c>
      <c r="F11" s="11">
        <v>1211.6</v>
      </c>
      <c r="G11" s="2"/>
    </row>
    <row r="12" spans="1:7" ht="12.75">
      <c r="A12" s="10"/>
      <c r="B12" s="4"/>
      <c r="C12" s="4"/>
      <c r="D12" s="4"/>
      <c r="E12" s="4"/>
      <c r="F12" s="11"/>
      <c r="G12" s="2"/>
    </row>
    <row r="13" spans="1:7" ht="36.75" customHeight="1">
      <c r="A13" s="10" t="s">
        <v>3</v>
      </c>
      <c r="B13" s="4">
        <v>32241.8</v>
      </c>
      <c r="C13" s="4">
        <v>6430.6</v>
      </c>
      <c r="D13" s="4">
        <v>828.9</v>
      </c>
      <c r="E13" s="4">
        <v>42.2</v>
      </c>
      <c r="F13" s="11">
        <v>1151.3</v>
      </c>
      <c r="G13" s="2"/>
    </row>
    <row r="14" spans="1:6" ht="12.75">
      <c r="A14" s="10"/>
      <c r="B14" s="3"/>
      <c r="C14" s="3"/>
      <c r="D14" s="3"/>
      <c r="E14" s="3"/>
      <c r="F14" s="9"/>
    </row>
    <row r="15" spans="1:6" ht="15" customHeight="1" thickBot="1">
      <c r="A15" s="12" t="s">
        <v>4</v>
      </c>
      <c r="B15" s="13">
        <f>+B11/B13</f>
        <v>0.9858010408848141</v>
      </c>
      <c r="C15" s="13">
        <f>+C11/C13</f>
        <v>1.052887755419401</v>
      </c>
      <c r="D15" s="13">
        <f>+D11/D13</f>
        <v>1.0472915912655327</v>
      </c>
      <c r="E15" s="13">
        <f>+E11/E13</f>
        <v>1.433649289099526</v>
      </c>
      <c r="F15" s="14">
        <f>+F11/F13</f>
        <v>1.052375575436463</v>
      </c>
    </row>
    <row r="17" ht="13.5" thickBot="1"/>
    <row r="18" spans="1:7" ht="15.75">
      <c r="A18" s="5" t="s">
        <v>8</v>
      </c>
      <c r="B18" s="6"/>
      <c r="C18" s="6"/>
      <c r="D18" s="6"/>
      <c r="E18" s="6"/>
      <c r="F18" s="6"/>
      <c r="G18" s="7"/>
    </row>
    <row r="19" spans="1:7" ht="15.75">
      <c r="A19" s="15" t="s">
        <v>9</v>
      </c>
      <c r="B19" s="3"/>
      <c r="C19" s="3"/>
      <c r="D19" s="3"/>
      <c r="E19" s="3"/>
      <c r="F19" s="3"/>
      <c r="G19" s="9"/>
    </row>
    <row r="20" spans="1:7" ht="12.75">
      <c r="A20" s="8"/>
      <c r="B20" s="3"/>
      <c r="C20" s="3"/>
      <c r="D20" s="3"/>
      <c r="E20" s="3"/>
      <c r="F20" s="3"/>
      <c r="G20" s="9"/>
    </row>
    <row r="21" spans="1:7" ht="12.75">
      <c r="A21" s="8" t="s">
        <v>0</v>
      </c>
      <c r="B21" s="3"/>
      <c r="C21" s="3"/>
      <c r="D21" s="3"/>
      <c r="E21" s="3"/>
      <c r="F21" s="3"/>
      <c r="G21" s="9"/>
    </row>
    <row r="22" spans="1:7" ht="12.75">
      <c r="A22" s="8" t="s">
        <v>1</v>
      </c>
      <c r="B22" s="3">
        <v>101</v>
      </c>
      <c r="C22" s="3">
        <v>111</v>
      </c>
      <c r="D22" s="3">
        <v>121</v>
      </c>
      <c r="E22" s="3">
        <v>131</v>
      </c>
      <c r="F22" s="3">
        <v>146</v>
      </c>
      <c r="G22" s="9">
        <v>148</v>
      </c>
    </row>
    <row r="23" spans="1:7" ht="12.75">
      <c r="A23" s="8"/>
      <c r="B23" s="3"/>
      <c r="C23" s="3"/>
      <c r="D23" s="3"/>
      <c r="E23" s="3"/>
      <c r="F23" s="3"/>
      <c r="G23" s="9"/>
    </row>
    <row r="24" spans="1:7" ht="25.5">
      <c r="A24" s="10" t="s">
        <v>2</v>
      </c>
      <c r="B24" s="4">
        <v>31821.9</v>
      </c>
      <c r="C24" s="4">
        <v>6786.4</v>
      </c>
      <c r="D24" s="4">
        <v>870.9</v>
      </c>
      <c r="E24" s="4">
        <v>60.7</v>
      </c>
      <c r="F24" s="4">
        <v>1211.6</v>
      </c>
      <c r="G24" s="9">
        <v>1619</v>
      </c>
    </row>
    <row r="25" spans="1:7" ht="12.75">
      <c r="A25" s="10"/>
      <c r="B25" s="4"/>
      <c r="C25" s="4"/>
      <c r="D25" s="4"/>
      <c r="E25" s="4"/>
      <c r="F25" s="4"/>
      <c r="G25" s="9"/>
    </row>
    <row r="26" spans="1:7" ht="38.25">
      <c r="A26" s="10" t="s">
        <v>3</v>
      </c>
      <c r="B26" s="4">
        <v>29760.2</v>
      </c>
      <c r="C26" s="4">
        <v>8833.6</v>
      </c>
      <c r="D26" s="4">
        <v>1167.3</v>
      </c>
      <c r="E26" s="4">
        <v>39.5</v>
      </c>
      <c r="F26" s="4">
        <v>1145.9</v>
      </c>
      <c r="G26" s="9">
        <v>1424.1</v>
      </c>
    </row>
    <row r="27" spans="1:7" ht="12.75">
      <c r="A27" s="10"/>
      <c r="B27" s="3"/>
      <c r="C27" s="3"/>
      <c r="D27" s="3"/>
      <c r="E27" s="3"/>
      <c r="F27" s="3"/>
      <c r="G27" s="9"/>
    </row>
    <row r="28" spans="1:7" ht="13.5" thickBot="1">
      <c r="A28" s="12" t="s">
        <v>4</v>
      </c>
      <c r="B28" s="13">
        <f aca="true" t="shared" si="0" ref="B28:G28">+B24/B26</f>
        <v>1.0692770881916116</v>
      </c>
      <c r="C28" s="13">
        <f t="shared" si="0"/>
        <v>0.7682485057054881</v>
      </c>
      <c r="D28" s="13">
        <f t="shared" si="0"/>
        <v>0.7460806990490877</v>
      </c>
      <c r="E28" s="13">
        <f t="shared" si="0"/>
        <v>1.5367088607594936</v>
      </c>
      <c r="F28" s="13">
        <f t="shared" si="0"/>
        <v>1.0573348459725977</v>
      </c>
      <c r="G28" s="14">
        <f t="shared" si="0"/>
        <v>1.1368583666877328</v>
      </c>
    </row>
    <row r="30" ht="12.75">
      <c r="E30" t="s">
        <v>6</v>
      </c>
    </row>
    <row r="31" ht="12.75">
      <c r="E31" t="s">
        <v>23</v>
      </c>
    </row>
    <row r="32" ht="21" thickBot="1">
      <c r="A32" s="16" t="s">
        <v>11</v>
      </c>
    </row>
    <row r="33" spans="1:6" ht="15.75">
      <c r="A33" s="5" t="s">
        <v>5</v>
      </c>
      <c r="B33" s="6"/>
      <c r="C33" s="6"/>
      <c r="D33" s="6"/>
      <c r="E33" s="6"/>
      <c r="F33" s="7"/>
    </row>
    <row r="34" spans="1:6" ht="12.75">
      <c r="A34" s="8"/>
      <c r="B34" s="3"/>
      <c r="C34" s="3"/>
      <c r="D34" s="3"/>
      <c r="E34" s="3"/>
      <c r="F34" s="9"/>
    </row>
    <row r="35" spans="1:6" ht="12.75">
      <c r="A35" s="28" t="s">
        <v>0</v>
      </c>
      <c r="B35" s="29" t="s">
        <v>16</v>
      </c>
      <c r="C35" s="29" t="s">
        <v>17</v>
      </c>
      <c r="D35" s="29" t="s">
        <v>18</v>
      </c>
      <c r="E35" s="29" t="s">
        <v>19</v>
      </c>
      <c r="F35" s="30" t="s">
        <v>20</v>
      </c>
    </row>
    <row r="36" spans="1:6" ht="12.75">
      <c r="A36" s="28" t="s">
        <v>1</v>
      </c>
      <c r="B36" s="31">
        <v>101</v>
      </c>
      <c r="C36" s="31">
        <v>111</v>
      </c>
      <c r="D36" s="31">
        <v>121</v>
      </c>
      <c r="E36" s="31">
        <v>131</v>
      </c>
      <c r="F36" s="32">
        <v>146</v>
      </c>
    </row>
    <row r="37" spans="1:6" ht="12.75">
      <c r="A37" s="8"/>
      <c r="B37" s="3"/>
      <c r="C37" s="3"/>
      <c r="D37" s="3"/>
      <c r="E37" s="3"/>
      <c r="F37" s="9"/>
    </row>
    <row r="38" spans="1:6" ht="12.75">
      <c r="A38" s="8" t="s">
        <v>22</v>
      </c>
      <c r="B38" s="22">
        <f>+B60</f>
        <v>117166</v>
      </c>
      <c r="C38" s="22">
        <f>+C60</f>
        <v>48562</v>
      </c>
      <c r="D38" s="22">
        <f>+D60</f>
        <v>8930</v>
      </c>
      <c r="E38" s="22">
        <f>+E60</f>
        <v>613</v>
      </c>
      <c r="F38" s="23">
        <f>+F60</f>
        <v>20097</v>
      </c>
    </row>
    <row r="39" spans="1:6" ht="12.75">
      <c r="A39" s="8"/>
      <c r="B39" s="3"/>
      <c r="C39" s="3"/>
      <c r="D39" s="3"/>
      <c r="E39" s="3"/>
      <c r="F39" s="9"/>
    </row>
    <row r="40" spans="1:7" ht="25.5">
      <c r="A40" s="10" t="s">
        <v>14</v>
      </c>
      <c r="B40" s="4">
        <v>31783.9</v>
      </c>
      <c r="C40" s="4">
        <v>6770.7</v>
      </c>
      <c r="D40" s="4">
        <v>868.1</v>
      </c>
      <c r="E40" s="4">
        <v>60.5</v>
      </c>
      <c r="F40" s="11">
        <v>1211.6</v>
      </c>
      <c r="G40" s="2"/>
    </row>
    <row r="41" spans="1:7" ht="12.75">
      <c r="A41" s="10"/>
      <c r="B41" s="4"/>
      <c r="C41" s="4"/>
      <c r="D41" s="4"/>
      <c r="E41" s="4"/>
      <c r="F41" s="11"/>
      <c r="G41" s="2"/>
    </row>
    <row r="42" spans="1:7" ht="12.75">
      <c r="A42" s="10" t="s">
        <v>12</v>
      </c>
      <c r="B42" s="24">
        <v>80285.1</v>
      </c>
      <c r="C42" s="4">
        <v>33147.3</v>
      </c>
      <c r="D42" s="4">
        <v>5951.9</v>
      </c>
      <c r="E42" s="4">
        <v>397.5</v>
      </c>
      <c r="F42" s="11">
        <f>+E42/E38*F38</f>
        <v>13031.904567699838</v>
      </c>
      <c r="G42" s="2"/>
    </row>
    <row r="43" spans="1:7" ht="12.75">
      <c r="A43" s="10"/>
      <c r="B43" s="4"/>
      <c r="C43" s="4"/>
      <c r="D43" s="4"/>
      <c r="E43" s="4"/>
      <c r="F43" s="11"/>
      <c r="G43" s="2"/>
    </row>
    <row r="44" spans="1:7" ht="12.75">
      <c r="A44" s="10" t="s">
        <v>46</v>
      </c>
      <c r="B44" s="4">
        <f>+B42+B40</f>
        <v>112069</v>
      </c>
      <c r="C44" s="4">
        <f>+C42+C40</f>
        <v>39918</v>
      </c>
      <c r="D44" s="4">
        <f>+D42+D40</f>
        <v>6820</v>
      </c>
      <c r="E44" s="4">
        <f>+E42+E40</f>
        <v>458</v>
      </c>
      <c r="F44" s="11">
        <f>+F42+F40</f>
        <v>14243.504567699838</v>
      </c>
      <c r="G44" s="2"/>
    </row>
    <row r="45" spans="1:7" ht="12.75">
      <c r="A45" s="10"/>
      <c r="B45" s="4"/>
      <c r="C45" s="4"/>
      <c r="D45" s="4"/>
      <c r="E45" s="4"/>
      <c r="F45" s="11"/>
      <c r="G45" s="2"/>
    </row>
    <row r="46" spans="1:7" ht="38.25">
      <c r="A46" s="10" t="s">
        <v>15</v>
      </c>
      <c r="B46" s="4">
        <v>32241.8</v>
      </c>
      <c r="C46" s="4">
        <v>6430.6</v>
      </c>
      <c r="D46" s="4">
        <v>828.9</v>
      </c>
      <c r="E46" s="4">
        <v>42.2</v>
      </c>
      <c r="F46" s="11">
        <v>1151.3</v>
      </c>
      <c r="G46" s="2"/>
    </row>
    <row r="47" spans="1:7" ht="12.75">
      <c r="A47" s="10"/>
      <c r="B47" s="4"/>
      <c r="C47" s="4"/>
      <c r="D47" s="4"/>
      <c r="E47" s="4"/>
      <c r="F47" s="11"/>
      <c r="G47" s="2"/>
    </row>
    <row r="48" spans="1:7" ht="12.75">
      <c r="A48" s="10" t="s">
        <v>12</v>
      </c>
      <c r="B48" s="24">
        <v>80285.1</v>
      </c>
      <c r="C48" s="4">
        <v>33147.3</v>
      </c>
      <c r="D48" s="4">
        <v>5951.9</v>
      </c>
      <c r="E48" s="4">
        <v>397.5</v>
      </c>
      <c r="F48" s="11">
        <f>+F42</f>
        <v>13031.904567699838</v>
      </c>
      <c r="G48" s="2"/>
    </row>
    <row r="49" spans="1:7" ht="12.75">
      <c r="A49" s="10"/>
      <c r="B49" s="4"/>
      <c r="C49" s="4"/>
      <c r="D49" s="4"/>
      <c r="E49" s="4"/>
      <c r="F49" s="11"/>
      <c r="G49" s="2"/>
    </row>
    <row r="50" spans="1:6" ht="12.75">
      <c r="A50" s="10" t="s">
        <v>13</v>
      </c>
      <c r="B50" s="4">
        <f>+B48+B46</f>
        <v>112526.90000000001</v>
      </c>
      <c r="C50" s="4">
        <f>+C48+C46</f>
        <v>39577.9</v>
      </c>
      <c r="D50" s="4">
        <f>+D48+D46</f>
        <v>6780.799999999999</v>
      </c>
      <c r="E50" s="4">
        <f>+E48+E46</f>
        <v>439.7</v>
      </c>
      <c r="F50" s="11">
        <f>+F48+F46</f>
        <v>14183.204567699837</v>
      </c>
    </row>
    <row r="51" spans="1:6" ht="12.75">
      <c r="A51" s="17"/>
      <c r="B51" s="18"/>
      <c r="C51" s="18"/>
      <c r="D51" s="18"/>
      <c r="E51" s="18"/>
      <c r="F51" s="19"/>
    </row>
    <row r="52" spans="1:6" ht="26.25" thickBot="1">
      <c r="A52" s="25" t="s">
        <v>4</v>
      </c>
      <c r="B52" s="78">
        <f>+B44/B50</f>
        <v>0.99593075078048</v>
      </c>
      <c r="C52" s="78">
        <f>+C44/C50</f>
        <v>1.0085931795269583</v>
      </c>
      <c r="D52" s="78">
        <f>+D44/D50</f>
        <v>1.0057810287871638</v>
      </c>
      <c r="E52" s="78">
        <f>+E44/E50</f>
        <v>1.0416192858767341</v>
      </c>
      <c r="F52" s="79">
        <f>+F44/F50</f>
        <v>1.004251507458147</v>
      </c>
    </row>
    <row r="53" ht="13.5" thickBot="1"/>
    <row r="54" spans="1:7" ht="15.75">
      <c r="A54" s="5" t="s">
        <v>8</v>
      </c>
      <c r="B54" s="6"/>
      <c r="C54" s="6"/>
      <c r="D54" s="6"/>
      <c r="E54" s="6"/>
      <c r="F54" s="6"/>
      <c r="G54" s="7"/>
    </row>
    <row r="55" spans="1:7" ht="15.75">
      <c r="A55" s="15" t="s">
        <v>9</v>
      </c>
      <c r="B55" s="3"/>
      <c r="C55" s="3"/>
      <c r="D55" s="3"/>
      <c r="E55" s="3"/>
      <c r="F55" s="3"/>
      <c r="G55" s="9"/>
    </row>
    <row r="56" spans="1:7" ht="12.75">
      <c r="A56" s="8"/>
      <c r="B56" s="3"/>
      <c r="C56" s="3"/>
      <c r="D56" s="3"/>
      <c r="E56" s="3"/>
      <c r="F56" s="3"/>
      <c r="G56" s="9"/>
    </row>
    <row r="57" spans="1:7" ht="12.75">
      <c r="A57" s="28" t="s">
        <v>0</v>
      </c>
      <c r="B57" s="29" t="s">
        <v>16</v>
      </c>
      <c r="C57" s="29" t="s">
        <v>17</v>
      </c>
      <c r="D57" s="29" t="s">
        <v>18</v>
      </c>
      <c r="E57" s="29" t="s">
        <v>19</v>
      </c>
      <c r="F57" s="29" t="s">
        <v>20</v>
      </c>
      <c r="G57" s="30" t="s">
        <v>21</v>
      </c>
    </row>
    <row r="58" spans="1:7" ht="12.75">
      <c r="A58" s="28" t="s">
        <v>1</v>
      </c>
      <c r="B58" s="31">
        <v>101</v>
      </c>
      <c r="C58" s="31">
        <v>111</v>
      </c>
      <c r="D58" s="31">
        <v>121</v>
      </c>
      <c r="E58" s="31">
        <v>131</v>
      </c>
      <c r="F58" s="31">
        <v>146</v>
      </c>
      <c r="G58" s="32">
        <v>148</v>
      </c>
    </row>
    <row r="59" spans="1:7" ht="12.75">
      <c r="A59" s="8"/>
      <c r="B59" s="3"/>
      <c r="C59" s="3"/>
      <c r="D59" s="3"/>
      <c r="E59" s="3"/>
      <c r="F59" s="3"/>
      <c r="G59" s="9"/>
    </row>
    <row r="60" spans="1:7" ht="12.75">
      <c r="A60" s="8" t="s">
        <v>22</v>
      </c>
      <c r="B60" s="22">
        <v>117166</v>
      </c>
      <c r="C60" s="22">
        <v>48562</v>
      </c>
      <c r="D60" s="22">
        <v>8930</v>
      </c>
      <c r="E60" s="22">
        <v>613</v>
      </c>
      <c r="F60" s="22">
        <v>20097</v>
      </c>
      <c r="G60" s="23">
        <v>37956</v>
      </c>
    </row>
    <row r="61" spans="1:7" ht="12.75">
      <c r="A61" s="8"/>
      <c r="B61" s="3"/>
      <c r="C61" s="3"/>
      <c r="D61" s="3"/>
      <c r="E61" s="3"/>
      <c r="F61" s="3"/>
      <c r="G61" s="11"/>
    </row>
    <row r="62" spans="1:7" ht="25.5">
      <c r="A62" s="10" t="s">
        <v>2</v>
      </c>
      <c r="B62" s="4">
        <v>31821.9</v>
      </c>
      <c r="C62" s="4">
        <v>6786.4</v>
      </c>
      <c r="D62" s="4">
        <v>870.9</v>
      </c>
      <c r="E62" s="4">
        <v>60.7</v>
      </c>
      <c r="F62" s="4">
        <v>1211.6</v>
      </c>
      <c r="G62" s="11">
        <v>1619</v>
      </c>
    </row>
    <row r="63" spans="1:7" ht="12.75">
      <c r="A63" s="10"/>
      <c r="B63" s="4"/>
      <c r="C63" s="4"/>
      <c r="D63" s="4"/>
      <c r="E63" s="4"/>
      <c r="F63" s="4"/>
      <c r="G63" s="11"/>
    </row>
    <row r="64" spans="1:7" ht="12.75">
      <c r="A64" s="10" t="s">
        <v>12</v>
      </c>
      <c r="B64" s="4">
        <v>80247.1</v>
      </c>
      <c r="C64" s="4">
        <v>33131.6</v>
      </c>
      <c r="D64" s="4">
        <v>5949.1</v>
      </c>
      <c r="E64" s="4">
        <v>397.3</v>
      </c>
      <c r="F64" s="4">
        <f>+E64/E60*F60</f>
        <v>13025.347634584014</v>
      </c>
      <c r="G64" s="11">
        <f>+E64/E60*G60</f>
        <v>24600.193800978792</v>
      </c>
    </row>
    <row r="65" spans="1:7" ht="12.75">
      <c r="A65" s="10"/>
      <c r="B65" s="4"/>
      <c r="C65" s="4"/>
      <c r="D65" s="4"/>
      <c r="E65" s="4"/>
      <c r="F65" s="4"/>
      <c r="G65" s="11"/>
    </row>
    <row r="66" spans="1:7" ht="12.75">
      <c r="A66" s="10" t="s">
        <v>47</v>
      </c>
      <c r="B66" s="4">
        <f aca="true" t="shared" si="1" ref="B66:G66">+B64+B62</f>
        <v>112069</v>
      </c>
      <c r="C66" s="4">
        <f t="shared" si="1"/>
        <v>39918</v>
      </c>
      <c r="D66" s="4">
        <f t="shared" si="1"/>
        <v>6820</v>
      </c>
      <c r="E66" s="4">
        <f t="shared" si="1"/>
        <v>458</v>
      </c>
      <c r="F66" s="4">
        <f t="shared" si="1"/>
        <v>14236.947634584014</v>
      </c>
      <c r="G66" s="11">
        <f t="shared" si="1"/>
        <v>26219.193800978792</v>
      </c>
    </row>
    <row r="67" spans="1:7" ht="12.75">
      <c r="A67" s="10"/>
      <c r="B67" s="4"/>
      <c r="C67" s="4"/>
      <c r="D67" s="4"/>
      <c r="E67" s="4"/>
      <c r="F67" s="4"/>
      <c r="G67" s="11"/>
    </row>
    <row r="68" spans="1:7" ht="38.25">
      <c r="A68" s="10" t="s">
        <v>3</v>
      </c>
      <c r="B68" s="4">
        <v>29760.2</v>
      </c>
      <c r="C68" s="4">
        <v>8833.6</v>
      </c>
      <c r="D68" s="4">
        <v>1167.3</v>
      </c>
      <c r="E68" s="4">
        <v>39.5</v>
      </c>
      <c r="F68" s="4">
        <v>1145.9</v>
      </c>
      <c r="G68" s="11">
        <v>1424.1</v>
      </c>
    </row>
    <row r="69" spans="1:7" ht="12.75">
      <c r="A69" s="10"/>
      <c r="B69" s="4"/>
      <c r="C69" s="4"/>
      <c r="D69" s="4"/>
      <c r="E69" s="4"/>
      <c r="F69" s="4"/>
      <c r="G69" s="11"/>
    </row>
    <row r="70" spans="1:7" ht="12.75">
      <c r="A70" s="10" t="s">
        <v>12</v>
      </c>
      <c r="B70" s="4">
        <v>80247.1</v>
      </c>
      <c r="C70" s="4">
        <v>33131.6</v>
      </c>
      <c r="D70" s="4">
        <v>5949.1</v>
      </c>
      <c r="E70" s="4">
        <v>397.3</v>
      </c>
      <c r="F70" s="4">
        <f>+F64</f>
        <v>13025.347634584014</v>
      </c>
      <c r="G70" s="11">
        <f>+G64</f>
        <v>24600.193800978792</v>
      </c>
    </row>
    <row r="71" spans="1:7" ht="12.75">
      <c r="A71" s="10"/>
      <c r="B71" s="4"/>
      <c r="C71" s="4"/>
      <c r="D71" s="4"/>
      <c r="E71" s="4"/>
      <c r="F71" s="4"/>
      <c r="G71" s="11"/>
    </row>
    <row r="72" spans="1:7" ht="12.75">
      <c r="A72" s="10" t="s">
        <v>13</v>
      </c>
      <c r="B72" s="4">
        <f aca="true" t="shared" si="2" ref="B72:G72">+B70+B68</f>
        <v>110007.3</v>
      </c>
      <c r="C72" s="4">
        <f t="shared" si="2"/>
        <v>41965.2</v>
      </c>
      <c r="D72" s="4">
        <f t="shared" si="2"/>
        <v>7116.400000000001</v>
      </c>
      <c r="E72" s="4">
        <f t="shared" si="2"/>
        <v>436.8</v>
      </c>
      <c r="F72" s="4">
        <f t="shared" si="2"/>
        <v>14171.247634584013</v>
      </c>
      <c r="G72" s="11">
        <f t="shared" si="2"/>
        <v>26024.29380097879</v>
      </c>
    </row>
    <row r="73" spans="1:7" ht="12.75">
      <c r="A73" s="10"/>
      <c r="B73" s="3"/>
      <c r="C73" s="3"/>
      <c r="D73" s="3"/>
      <c r="E73" s="3"/>
      <c r="F73" s="3"/>
      <c r="G73" s="9"/>
    </row>
    <row r="74" spans="1:7" ht="26.25" thickBot="1">
      <c r="A74" s="25" t="s">
        <v>4</v>
      </c>
      <c r="B74" s="26">
        <f aca="true" t="shared" si="3" ref="B74:G74">+B66/B72</f>
        <v>1.01874148351973</v>
      </c>
      <c r="C74" s="26">
        <f t="shared" si="3"/>
        <v>0.951216722427154</v>
      </c>
      <c r="D74" s="26">
        <f t="shared" si="3"/>
        <v>0.9583497273902535</v>
      </c>
      <c r="E74" s="26">
        <f t="shared" si="3"/>
        <v>1.0485347985347986</v>
      </c>
      <c r="F74" s="26">
        <f t="shared" si="3"/>
        <v>1.00463614790272</v>
      </c>
      <c r="G74" s="27">
        <f t="shared" si="3"/>
        <v>1.007489156151191</v>
      </c>
    </row>
  </sheetData>
  <printOptions/>
  <pageMargins left="0.75" right="0.75" top="0.82" bottom="0.77" header="0.5" footer="0.5"/>
  <pageSetup horizontalDpi="600" verticalDpi="600" orientation="portrait" r:id="rId1"/>
  <rowBreaks count="2" manualBreakCount="2">
    <brk id="29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G8" sqref="G8"/>
    </sheetView>
  </sheetViews>
  <sheetFormatPr defaultColWidth="9.140625" defaultRowHeight="12.75"/>
  <cols>
    <col min="1" max="1" width="22.140625" style="0" customWidth="1"/>
    <col min="3" max="3" width="11.57421875" style="0" customWidth="1"/>
    <col min="4" max="5" width="9.7109375" style="0" bestFit="1" customWidth="1"/>
  </cols>
  <sheetData>
    <row r="1" ht="12.75">
      <c r="A1" s="85" t="s">
        <v>53</v>
      </c>
    </row>
    <row r="5" spans="1:6" ht="38.25">
      <c r="A5" s="31" t="s">
        <v>0</v>
      </c>
      <c r="B5" s="86" t="s">
        <v>54</v>
      </c>
      <c r="C5" s="86" t="s">
        <v>55</v>
      </c>
      <c r="D5" s="86" t="s">
        <v>56</v>
      </c>
      <c r="E5" s="86" t="s">
        <v>57</v>
      </c>
      <c r="F5" s="86" t="s">
        <v>58</v>
      </c>
    </row>
    <row r="6" spans="1:6" ht="12.75">
      <c r="A6" s="3"/>
      <c r="B6" s="3"/>
      <c r="C6" s="3"/>
      <c r="D6" s="3"/>
      <c r="E6" s="3"/>
      <c r="F6" s="3"/>
    </row>
    <row r="7" spans="1:6" ht="12.75">
      <c r="A7" s="3" t="s">
        <v>59</v>
      </c>
      <c r="B7" s="83">
        <f>+'JL15 Gas Cost of Service'!B44/'JL15 Gas Cost of Service'!B38</f>
        <v>0.9564976187631224</v>
      </c>
      <c r="C7" s="50">
        <f>+'JL 16 Gas Rate Spread'!B11/'JL15 Gas Cost of Service'!B60</f>
        <v>-0.000759926893394285</v>
      </c>
      <c r="D7" s="50">
        <f>0.23374+0.00034</f>
        <v>0.23408</v>
      </c>
      <c r="E7" s="50">
        <f>+D7+C7</f>
        <v>0.2333200731066057</v>
      </c>
      <c r="F7" s="84">
        <f>+E7/B7</f>
        <v>0.24393168213875882</v>
      </c>
    </row>
    <row r="8" spans="1:6" ht="12.75">
      <c r="A8" s="3"/>
      <c r="B8" s="83"/>
      <c r="C8" s="3"/>
      <c r="D8" s="3"/>
      <c r="E8" s="50"/>
      <c r="F8" s="84"/>
    </row>
    <row r="9" spans="1:6" ht="12.75">
      <c r="A9" s="3" t="s">
        <v>61</v>
      </c>
      <c r="B9" s="83">
        <f>+'JL15 Gas Cost of Service'!C44/'JL15 Gas Cost of Service'!C38</f>
        <v>0.8220007413203739</v>
      </c>
      <c r="C9" s="3">
        <f>+'JL 16 Gas Rate Spread'!C11/'JL15 Gas Cost of Service'!C60</f>
        <v>-0.0003905726895458566</v>
      </c>
      <c r="D9" s="3">
        <f>0.23358+0.00034</f>
        <v>0.23392000000000002</v>
      </c>
      <c r="E9" s="50">
        <f>+D9+C9</f>
        <v>0.23352942731045417</v>
      </c>
      <c r="F9" s="84">
        <f>+E9/B9</f>
        <v>0.2840988037739936</v>
      </c>
    </row>
    <row r="10" spans="1:6" ht="12.75">
      <c r="A10" s="3"/>
      <c r="B10" s="83"/>
      <c r="C10" s="3"/>
      <c r="D10" s="3"/>
      <c r="E10" s="50"/>
      <c r="F10" s="84"/>
    </row>
    <row r="11" spans="1:6" ht="12.75">
      <c r="A11" s="3" t="s">
        <v>60</v>
      </c>
      <c r="B11" s="83">
        <f>+'JL15 Gas Cost of Service'!D44/'JL15 Gas Cost of Service'!D38</f>
        <v>0.7637178051511758</v>
      </c>
      <c r="C11" s="3">
        <f>+'JL 16 Gas Rate Spread'!D11/'JL15 Gas Cost of Service'!D60</f>
        <v>-0.0002723222728050559</v>
      </c>
      <c r="D11" s="3">
        <f>0.23332+0.00034</f>
        <v>0.23366</v>
      </c>
      <c r="E11" s="50">
        <f>+D11+C11</f>
        <v>0.23338767772719496</v>
      </c>
      <c r="F11" s="84">
        <f>+E11/B11</f>
        <v>0.3055941293407406</v>
      </c>
    </row>
    <row r="12" spans="1:6" ht="12.75">
      <c r="A12" s="3"/>
      <c r="B12" s="83"/>
      <c r="C12" s="3"/>
      <c r="D12" s="3"/>
      <c r="E12" s="50"/>
      <c r="F12" s="84"/>
    </row>
    <row r="13" spans="1:6" ht="12.75">
      <c r="A13" s="3" t="s">
        <v>62</v>
      </c>
      <c r="B13" s="83">
        <f>+'JL15 Gas Cost of Service'!E44/'JL15 Gas Cost of Service'!E38</f>
        <v>0.7471451876019576</v>
      </c>
      <c r="C13" s="3">
        <f>+'JL 16 Gas Rate Spread'!E11/'JL15 Gas Cost of Service'!E60</f>
        <v>-0.00027647748221589765</v>
      </c>
      <c r="D13" s="3">
        <f>0.2327+0.00034</f>
        <v>0.23304</v>
      </c>
      <c r="E13" s="50">
        <f>+D13+C13</f>
        <v>0.2327635225177841</v>
      </c>
      <c r="F13" s="84">
        <f>+E13/B13</f>
        <v>0.31153720371921756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6.140625" style="0" customWidth="1"/>
    <col min="2" max="7" width="13.00390625" style="0" customWidth="1"/>
  </cols>
  <sheetData>
    <row r="1" ht="20.25">
      <c r="A1" s="16" t="s">
        <v>67</v>
      </c>
    </row>
    <row r="5" ht="13.5" thickBot="1"/>
    <row r="6" spans="1:7" ht="12.75">
      <c r="A6" s="36" t="s">
        <v>0</v>
      </c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8" t="s">
        <v>26</v>
      </c>
    </row>
    <row r="7" spans="1:7" ht="13.5" thickBot="1">
      <c r="A7" s="39" t="s">
        <v>1</v>
      </c>
      <c r="B7" s="40">
        <v>101</v>
      </c>
      <c r="C7" s="40">
        <v>111</v>
      </c>
      <c r="D7" s="40">
        <v>121</v>
      </c>
      <c r="E7" s="40">
        <v>131</v>
      </c>
      <c r="F7" s="40">
        <v>146</v>
      </c>
      <c r="G7" s="41"/>
    </row>
    <row r="8" spans="1:7" ht="12.75">
      <c r="A8" s="42"/>
      <c r="B8" s="35"/>
      <c r="C8" s="35"/>
      <c r="D8" s="35"/>
      <c r="E8" s="35"/>
      <c r="F8" s="35"/>
      <c r="G8" s="43"/>
    </row>
    <row r="9" spans="1:7" ht="12.75">
      <c r="A9" s="8" t="s">
        <v>24</v>
      </c>
      <c r="B9" s="4">
        <f>+'JL15 Gas Cost of Service'!B11</f>
        <v>31784</v>
      </c>
      <c r="C9" s="4">
        <f>+'JL15 Gas Cost of Service'!C11</f>
        <v>6770.7</v>
      </c>
      <c r="D9" s="4">
        <f>+'JL15 Gas Cost of Service'!D11</f>
        <v>868.1</v>
      </c>
      <c r="E9" s="4">
        <f>+'JL15 Gas Cost of Service'!E11</f>
        <v>60.5</v>
      </c>
      <c r="F9" s="4">
        <f>+'JL15 Gas Cost of Service'!F11</f>
        <v>1211.6</v>
      </c>
      <c r="G9" s="11">
        <f>SUM(B9:F9)</f>
        <v>40694.899999999994</v>
      </c>
    </row>
    <row r="10" spans="1:7" ht="12.75">
      <c r="A10" s="8"/>
      <c r="B10" s="3"/>
      <c r="C10" s="3"/>
      <c r="D10" s="3"/>
      <c r="E10" s="3"/>
      <c r="F10" s="3"/>
      <c r="G10" s="9"/>
    </row>
    <row r="11" spans="1:7" ht="12.75">
      <c r="A11" s="8" t="s">
        <v>25</v>
      </c>
      <c r="B11" s="4">
        <f>+$G$15*B9</f>
        <v>-89.03759439143481</v>
      </c>
      <c r="C11" s="4">
        <f>+$G$15*C9</f>
        <v>-18.96699094972589</v>
      </c>
      <c r="D11" s="4">
        <f>+$G$15*D9</f>
        <v>-2.4318378961491494</v>
      </c>
      <c r="E11" s="4">
        <f>+$G$15*E9</f>
        <v>-0.16948069659834525</v>
      </c>
      <c r="F11" s="4">
        <f>+$G$15*F9</f>
        <v>-3.39409606609182</v>
      </c>
      <c r="G11" s="9">
        <v>-114</v>
      </c>
    </row>
    <row r="12" spans="1:7" ht="12.75">
      <c r="A12" s="8"/>
      <c r="B12" s="3"/>
      <c r="C12" s="3"/>
      <c r="D12" s="3"/>
      <c r="E12" s="3"/>
      <c r="F12" s="3"/>
      <c r="G12" s="9"/>
    </row>
    <row r="13" spans="1:7" ht="12.75">
      <c r="A13" s="8" t="s">
        <v>27</v>
      </c>
      <c r="B13" s="33">
        <f>+B11+B9</f>
        <v>31694.962405608567</v>
      </c>
      <c r="C13" s="33">
        <f>+C11+C9</f>
        <v>6751.733009050274</v>
      </c>
      <c r="D13" s="33">
        <f>+D11+D9</f>
        <v>865.6681621038508</v>
      </c>
      <c r="E13" s="33">
        <f>+E11+E9</f>
        <v>60.33051930340166</v>
      </c>
      <c r="F13" s="33">
        <f>+F11+F9</f>
        <v>1208.205903933908</v>
      </c>
      <c r="G13" s="11">
        <f>SUM(B13:F13)</f>
        <v>40580.9</v>
      </c>
    </row>
    <row r="14" spans="1:7" ht="12.75">
      <c r="A14" s="8"/>
      <c r="B14" s="3"/>
      <c r="C14" s="3"/>
      <c r="D14" s="3"/>
      <c r="E14" s="3"/>
      <c r="F14" s="3"/>
      <c r="G14" s="9"/>
    </row>
    <row r="15" spans="1:7" ht="12.75">
      <c r="A15" s="44" t="s">
        <v>28</v>
      </c>
      <c r="B15" s="3"/>
      <c r="C15" s="3"/>
      <c r="D15" s="3"/>
      <c r="E15" s="3"/>
      <c r="F15" s="3"/>
      <c r="G15" s="45">
        <f>+G11/G9</f>
        <v>-0.0028013338280718225</v>
      </c>
    </row>
    <row r="16" spans="1:7" ht="12.75">
      <c r="A16" s="8"/>
      <c r="B16" s="3"/>
      <c r="C16" s="3"/>
      <c r="D16" s="3"/>
      <c r="E16" s="3"/>
      <c r="F16" s="3"/>
      <c r="G16" s="9"/>
    </row>
    <row r="17" spans="1:7" ht="12.75">
      <c r="A17" s="8"/>
      <c r="B17" s="3"/>
      <c r="C17" s="3"/>
      <c r="D17" s="3"/>
      <c r="E17" s="3"/>
      <c r="F17" s="3"/>
      <c r="G17" s="9"/>
    </row>
    <row r="18" spans="1:7" ht="12.75">
      <c r="A18" s="8" t="s">
        <v>29</v>
      </c>
      <c r="B18" s="4">
        <f>+'JL15 Gas Cost of Service'!B44</f>
        <v>112069</v>
      </c>
      <c r="C18" s="4">
        <f>+'JL15 Gas Cost of Service'!C44</f>
        <v>39918</v>
      </c>
      <c r="D18" s="4">
        <f>+'JL15 Gas Cost of Service'!D44</f>
        <v>6820</v>
      </c>
      <c r="E18" s="4">
        <f>+'JL15 Gas Cost of Service'!E44</f>
        <v>458</v>
      </c>
      <c r="F18" s="4">
        <f>+'JL15 Gas Cost of Service'!F44</f>
        <v>14243.504567699838</v>
      </c>
      <c r="G18" s="11">
        <f>SUM(B18:F18)</f>
        <v>173508.50456769983</v>
      </c>
    </row>
    <row r="19" spans="1:7" ht="12.75">
      <c r="A19" s="8"/>
      <c r="B19" s="3"/>
      <c r="C19" s="3"/>
      <c r="D19" s="3"/>
      <c r="E19" s="3"/>
      <c r="F19" s="3"/>
      <c r="G19" s="9"/>
    </row>
    <row r="20" spans="1:7" ht="12.75">
      <c r="A20" s="8" t="s">
        <v>25</v>
      </c>
      <c r="B20" s="33">
        <f aca="true" t="shared" si="0" ref="B20:G20">+B11</f>
        <v>-89.03759439143481</v>
      </c>
      <c r="C20" s="33">
        <f t="shared" si="0"/>
        <v>-18.96699094972589</v>
      </c>
      <c r="D20" s="33">
        <f t="shared" si="0"/>
        <v>-2.4318378961491494</v>
      </c>
      <c r="E20" s="82">
        <f t="shared" si="0"/>
        <v>-0.16948069659834525</v>
      </c>
      <c r="F20" s="33">
        <f t="shared" si="0"/>
        <v>-3.39409606609182</v>
      </c>
      <c r="G20" s="46">
        <f t="shared" si="0"/>
        <v>-114</v>
      </c>
    </row>
    <row r="21" spans="1:7" ht="12.75">
      <c r="A21" s="8"/>
      <c r="B21" s="3"/>
      <c r="C21" s="3"/>
      <c r="D21" s="3"/>
      <c r="E21" s="3"/>
      <c r="F21" s="3"/>
      <c r="G21" s="9"/>
    </row>
    <row r="22" spans="1:7" ht="12.75">
      <c r="A22" s="8" t="s">
        <v>31</v>
      </c>
      <c r="B22" s="33">
        <f>+B20+B18</f>
        <v>111979.96240560856</v>
      </c>
      <c r="C22" s="33">
        <f>+C20+C18</f>
        <v>39899.033009050276</v>
      </c>
      <c r="D22" s="33">
        <f>+D20+D18</f>
        <v>6817.568162103851</v>
      </c>
      <c r="E22" s="33">
        <f>+E20+E18</f>
        <v>457.8305193034017</v>
      </c>
      <c r="F22" s="33">
        <f>+F20+F18</f>
        <v>14240.110471633747</v>
      </c>
      <c r="G22" s="11">
        <f>SUM(B22:F22)</f>
        <v>173394.50456769983</v>
      </c>
    </row>
    <row r="23" spans="1:7" ht="12.75">
      <c r="A23" s="8"/>
      <c r="B23" s="3"/>
      <c r="C23" s="3"/>
      <c r="D23" s="3"/>
      <c r="E23" s="3"/>
      <c r="F23" s="3"/>
      <c r="G23" s="9"/>
    </row>
    <row r="24" spans="1:7" ht="13.5" thickBot="1">
      <c r="A24" s="47" t="s">
        <v>30</v>
      </c>
      <c r="B24" s="63">
        <f aca="true" t="shared" si="1" ref="B24:G24">+B20/B18</f>
        <v>-0.0007944890593423232</v>
      </c>
      <c r="C24" s="63">
        <f t="shared" si="1"/>
        <v>-0.0004751488288422739</v>
      </c>
      <c r="D24" s="63">
        <f t="shared" si="1"/>
        <v>-0.0003565744715761216</v>
      </c>
      <c r="E24" s="63">
        <f t="shared" si="1"/>
        <v>-0.00037004518907935645</v>
      </c>
      <c r="F24" s="63">
        <f t="shared" si="1"/>
        <v>-0.00023829079774289897</v>
      </c>
      <c r="G24" s="77">
        <f t="shared" si="1"/>
        <v>-0.0006570283127275717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&amp;R&amp;"Arial Black,Regular"&amp;7Docket Nos. UE-050482 and UG-050483
Exhibit No. ___ (JL-16)
Page 1 of 1</oddHeader>
    <oddFooter>&amp;C&amp;N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F42"/>
  <sheetViews>
    <sheetView workbookViewId="0" topLeftCell="A1">
      <selection activeCell="C4" sqref="C4"/>
    </sheetView>
  </sheetViews>
  <sheetFormatPr defaultColWidth="9.140625" defaultRowHeight="12.75"/>
  <cols>
    <col min="1" max="1" width="20.421875" style="0" customWidth="1"/>
    <col min="2" max="2" width="14.421875" style="0" customWidth="1"/>
    <col min="3" max="3" width="13.7109375" style="0" customWidth="1"/>
    <col min="4" max="5" width="15.8515625" style="0" customWidth="1"/>
  </cols>
  <sheetData>
    <row r="5" ht="20.25">
      <c r="A5" s="16" t="s">
        <v>68</v>
      </c>
    </row>
    <row r="7" ht="13.5" thickBot="1"/>
    <row r="8" spans="1:5" ht="12.75">
      <c r="A8" s="51" t="s">
        <v>32</v>
      </c>
      <c r="B8" s="55" t="s">
        <v>33</v>
      </c>
      <c r="C8" s="55" t="s">
        <v>34</v>
      </c>
      <c r="D8" s="56" t="s">
        <v>35</v>
      </c>
      <c r="E8" s="59"/>
    </row>
    <row r="9" spans="1:5" ht="12.75">
      <c r="A9" s="8"/>
      <c r="B9" s="3"/>
      <c r="C9" s="3"/>
      <c r="D9" s="9"/>
      <c r="E9" s="60"/>
    </row>
    <row r="10" spans="1:5" ht="12.75">
      <c r="A10" s="8" t="s">
        <v>36</v>
      </c>
      <c r="B10" s="20">
        <v>5.5</v>
      </c>
      <c r="C10" s="22">
        <v>1555912</v>
      </c>
      <c r="D10" s="46">
        <f>+C10*B10</f>
        <v>8557516</v>
      </c>
      <c r="E10" s="61"/>
    </row>
    <row r="11" spans="1:5" ht="12.75">
      <c r="A11" s="8"/>
      <c r="B11" s="3"/>
      <c r="C11" s="22"/>
      <c r="D11" s="9"/>
      <c r="E11" s="60"/>
    </row>
    <row r="12" spans="1:5" ht="12.75">
      <c r="A12" s="8" t="s">
        <v>37</v>
      </c>
      <c r="B12" s="50">
        <v>0.88346</v>
      </c>
      <c r="C12" s="22">
        <f>+'JL15 Gas Cost of Service'!B60*1000</f>
        <v>117166000</v>
      </c>
      <c r="D12" s="57">
        <f>+C12*B12</f>
        <v>103511474.36</v>
      </c>
      <c r="E12" s="62"/>
    </row>
    <row r="13" spans="1:5" ht="12.75">
      <c r="A13" s="8"/>
      <c r="B13" s="3"/>
      <c r="C13" s="3"/>
      <c r="D13" s="57"/>
      <c r="E13" s="62"/>
    </row>
    <row r="14" spans="1:5" ht="13.5" thickBot="1">
      <c r="A14" s="53" t="s">
        <v>38</v>
      </c>
      <c r="B14" s="54"/>
      <c r="C14" s="54"/>
      <c r="D14" s="58">
        <f>SUM(D10:D13)</f>
        <v>112068990.36</v>
      </c>
      <c r="E14" s="62"/>
    </row>
    <row r="16" ht="12.75">
      <c r="A16" t="s">
        <v>65</v>
      </c>
    </row>
    <row r="19" ht="13.5" thickBot="1"/>
    <row r="20" spans="1:6" ht="38.25">
      <c r="A20" s="36" t="s">
        <v>32</v>
      </c>
      <c r="B20" s="75" t="s">
        <v>63</v>
      </c>
      <c r="C20" s="75" t="s">
        <v>66</v>
      </c>
      <c r="D20" s="75" t="s">
        <v>40</v>
      </c>
      <c r="E20" s="76" t="s">
        <v>41</v>
      </c>
      <c r="F20" s="1"/>
    </row>
    <row r="21" spans="1:5" ht="12.75">
      <c r="A21" s="8"/>
      <c r="B21" s="3"/>
      <c r="C21" s="3"/>
      <c r="D21" s="3"/>
      <c r="E21" s="9"/>
    </row>
    <row r="22" spans="1:5" ht="12.75">
      <c r="A22" s="8" t="s">
        <v>36</v>
      </c>
      <c r="B22" s="20">
        <v>5.5</v>
      </c>
      <c r="C22" s="4">
        <f>+B22*C10</f>
        <v>8557516</v>
      </c>
      <c r="D22" s="49">
        <f>+B22</f>
        <v>5.5</v>
      </c>
      <c r="E22" s="46">
        <f>+D22*C10</f>
        <v>8557516</v>
      </c>
    </row>
    <row r="23" spans="1:5" ht="12.75">
      <c r="A23" s="8"/>
      <c r="B23" s="3"/>
      <c r="C23" s="3"/>
      <c r="D23" s="3"/>
      <c r="E23" s="9"/>
    </row>
    <row r="24" spans="1:5" ht="12.75">
      <c r="A24" s="8" t="s">
        <v>37</v>
      </c>
      <c r="B24" s="50">
        <v>0.891</v>
      </c>
      <c r="C24" s="4">
        <f>+B24*C12</f>
        <v>104394906</v>
      </c>
      <c r="D24" s="50">
        <f>+E24/C12</f>
        <v>0.8827000731066057</v>
      </c>
      <c r="E24" s="46">
        <f>+E26-E22</f>
        <v>103422436.76560856</v>
      </c>
    </row>
    <row r="25" spans="1:5" ht="12.75">
      <c r="A25" s="8"/>
      <c r="B25" s="3"/>
      <c r="C25" s="3"/>
      <c r="D25" s="3"/>
      <c r="E25" s="9"/>
    </row>
    <row r="26" spans="1:5" ht="12.75">
      <c r="A26" s="8" t="s">
        <v>38</v>
      </c>
      <c r="B26" s="3"/>
      <c r="C26" s="33">
        <f>SUM(C22:C25)</f>
        <v>112952422</v>
      </c>
      <c r="D26" s="34"/>
      <c r="E26" s="11">
        <f>+D14+('JL 16 Gas Rate Spread'!B11*1000)</f>
        <v>111979952.76560856</v>
      </c>
    </row>
    <row r="27" spans="1:5" ht="12.75">
      <c r="A27" s="8"/>
      <c r="B27" s="3"/>
      <c r="C27" s="3"/>
      <c r="D27" s="3"/>
      <c r="E27" s="9"/>
    </row>
    <row r="28" spans="1:5" ht="13.5" thickBot="1">
      <c r="A28" s="47" t="s">
        <v>39</v>
      </c>
      <c r="B28" s="54"/>
      <c r="C28" s="48">
        <f>+C26/$D$14-1</f>
        <v>0.007882926732561302</v>
      </c>
      <c r="D28" s="54"/>
      <c r="E28" s="77">
        <f>+E26/$D$14-1</f>
        <v>-0.0007944891276829846</v>
      </c>
    </row>
    <row r="30" ht="13.5" thickBot="1"/>
    <row r="31" spans="1:4" ht="18">
      <c r="A31" s="72" t="s">
        <v>42</v>
      </c>
      <c r="B31" s="64"/>
      <c r="C31" s="64"/>
      <c r="D31" s="65"/>
    </row>
    <row r="32" spans="1:4" ht="12.75">
      <c r="A32" s="66"/>
      <c r="B32" s="60"/>
      <c r="C32" s="60"/>
      <c r="D32" s="67"/>
    </row>
    <row r="33" spans="1:4" ht="12.75">
      <c r="A33" s="66"/>
      <c r="B33" s="60"/>
      <c r="C33" s="60"/>
      <c r="D33" s="67"/>
    </row>
    <row r="34" spans="1:4" ht="25.5">
      <c r="A34" s="28" t="s">
        <v>45</v>
      </c>
      <c r="B34" s="73" t="s">
        <v>43</v>
      </c>
      <c r="C34" s="73" t="s">
        <v>64</v>
      </c>
      <c r="D34" s="74" t="s">
        <v>44</v>
      </c>
    </row>
    <row r="35" spans="1:4" ht="12.75">
      <c r="A35" s="8"/>
      <c r="B35" s="3"/>
      <c r="C35" s="3"/>
      <c r="D35" s="9"/>
    </row>
    <row r="36" spans="1:4" ht="12.75">
      <c r="A36" s="68">
        <v>0</v>
      </c>
      <c r="B36" s="49">
        <f>+B10</f>
        <v>5.5</v>
      </c>
      <c r="C36" s="49">
        <f>+B22</f>
        <v>5.5</v>
      </c>
      <c r="D36" s="52">
        <f>+D22</f>
        <v>5.5</v>
      </c>
    </row>
    <row r="37" spans="1:4" ht="12.75">
      <c r="A37" s="68">
        <v>10</v>
      </c>
      <c r="B37" s="20">
        <f aca="true" t="shared" si="0" ref="B37:B42">+B$36+A37*$B$12</f>
        <v>14.3346</v>
      </c>
      <c r="C37" s="20">
        <f aca="true" t="shared" si="1" ref="C37:C42">+$C$36+A37*$B$24</f>
        <v>14.41</v>
      </c>
      <c r="D37" s="21">
        <f aca="true" t="shared" si="2" ref="D37:D42">+$D$36+A37*$D$24</f>
        <v>14.327000731066057</v>
      </c>
    </row>
    <row r="38" spans="1:4" ht="12.75">
      <c r="A38" s="68">
        <v>20</v>
      </c>
      <c r="B38" s="20">
        <f t="shared" si="0"/>
        <v>23.1692</v>
      </c>
      <c r="C38" s="20">
        <f t="shared" si="1"/>
        <v>23.32</v>
      </c>
      <c r="D38" s="21">
        <f t="shared" si="2"/>
        <v>23.154001462132115</v>
      </c>
    </row>
    <row r="39" spans="1:4" ht="12.75">
      <c r="A39" s="68">
        <v>50</v>
      </c>
      <c r="B39" s="20">
        <f t="shared" si="0"/>
        <v>49.673</v>
      </c>
      <c r="C39" s="20">
        <f t="shared" si="1"/>
        <v>50.05</v>
      </c>
      <c r="D39" s="21">
        <f t="shared" si="2"/>
        <v>49.63500365533029</v>
      </c>
    </row>
    <row r="40" spans="1:4" ht="12.75">
      <c r="A40" s="68">
        <v>100</v>
      </c>
      <c r="B40" s="20">
        <f t="shared" si="0"/>
        <v>93.846</v>
      </c>
      <c r="C40" s="20">
        <f t="shared" si="1"/>
        <v>94.6</v>
      </c>
      <c r="D40" s="21">
        <f t="shared" si="2"/>
        <v>93.77000731066057</v>
      </c>
    </row>
    <row r="41" spans="1:4" ht="12.75">
      <c r="A41" s="68">
        <v>200</v>
      </c>
      <c r="B41" s="20">
        <f t="shared" si="0"/>
        <v>182.192</v>
      </c>
      <c r="C41" s="20">
        <f t="shared" si="1"/>
        <v>183.7</v>
      </c>
      <c r="D41" s="21">
        <f t="shared" si="2"/>
        <v>182.04001462132115</v>
      </c>
    </row>
    <row r="42" spans="1:4" ht="13.5" thickBot="1">
      <c r="A42" s="69">
        <v>300</v>
      </c>
      <c r="B42" s="70">
        <f t="shared" si="0"/>
        <v>270.538</v>
      </c>
      <c r="C42" s="70">
        <f t="shared" si="1"/>
        <v>272.8</v>
      </c>
      <c r="D42" s="71">
        <f t="shared" si="2"/>
        <v>270.31002193198174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&amp;R&amp;"Arial Black,Regular"&amp;7Docket Nos. UE-050482 and UG-050483
Exhibit No. ___ (JL-17)
Page 1 of 1</oddHeader>
    <oddFooter>&amp;C&amp;N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E17" sqref="E17"/>
    </sheetView>
  </sheetViews>
  <sheetFormatPr defaultColWidth="9.140625" defaultRowHeight="12.75"/>
  <cols>
    <col min="1" max="1" width="21.8515625" style="0" customWidth="1"/>
    <col min="2" max="7" width="13.00390625" style="0" customWidth="1"/>
  </cols>
  <sheetData>
    <row r="2" ht="12.75">
      <c r="A2" t="s">
        <v>52</v>
      </c>
    </row>
    <row r="5" spans="1:7" ht="12.75">
      <c r="A5" s="28" t="s">
        <v>0</v>
      </c>
      <c r="B5" s="29" t="s">
        <v>16</v>
      </c>
      <c r="C5" s="29" t="s">
        <v>17</v>
      </c>
      <c r="D5" s="29" t="s">
        <v>18</v>
      </c>
      <c r="E5" s="29" t="s">
        <v>19</v>
      </c>
      <c r="F5" s="29" t="s">
        <v>20</v>
      </c>
      <c r="G5" s="30" t="s">
        <v>21</v>
      </c>
    </row>
    <row r="6" spans="1:7" ht="12.75">
      <c r="A6" s="28" t="s">
        <v>1</v>
      </c>
      <c r="B6" s="31">
        <v>101</v>
      </c>
      <c r="C6" s="31">
        <v>111</v>
      </c>
      <c r="D6" s="31">
        <v>121</v>
      </c>
      <c r="E6" s="31">
        <v>131</v>
      </c>
      <c r="F6" s="31">
        <v>146</v>
      </c>
      <c r="G6" s="32">
        <v>148</v>
      </c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 t="s">
        <v>48</v>
      </c>
      <c r="B8" s="3"/>
      <c r="C8" s="3"/>
      <c r="D8" s="3"/>
      <c r="E8" s="3"/>
      <c r="F8" s="3"/>
      <c r="G8" s="3"/>
    </row>
    <row r="9" spans="1:7" ht="12.75">
      <c r="A9" s="3" t="s">
        <v>49</v>
      </c>
      <c r="B9" s="80">
        <f>+'JL15 Gas Cost of Service'!B15</f>
        <v>0.9858010408848141</v>
      </c>
      <c r="C9" s="80">
        <f>+'JL15 Gas Cost of Service'!C15</f>
        <v>1.052887755419401</v>
      </c>
      <c r="D9" s="80">
        <f>+'JL15 Gas Cost of Service'!D15</f>
        <v>1.0472915912655327</v>
      </c>
      <c r="E9" s="80">
        <f>+'JL15 Gas Cost of Service'!E15</f>
        <v>1.433649289099526</v>
      </c>
      <c r="F9" s="80">
        <f>+'JL15 Gas Cost of Service'!F15</f>
        <v>1.052375575436463</v>
      </c>
      <c r="G9" s="80"/>
    </row>
    <row r="10" spans="1:7" ht="12.75">
      <c r="A10" s="3" t="s">
        <v>50</v>
      </c>
      <c r="B10" s="81">
        <f>+'JL15 Gas Cost of Service'!B52</f>
        <v>0.99593075078048</v>
      </c>
      <c r="C10" s="81">
        <f>+'JL15 Gas Cost of Service'!C52</f>
        <v>1.0085931795269583</v>
      </c>
      <c r="D10" s="81">
        <f>+'JL15 Gas Cost of Service'!D52</f>
        <v>1.0057810287871638</v>
      </c>
      <c r="E10" s="81">
        <f>+'JL15 Gas Cost of Service'!E52</f>
        <v>1.0416192858767341</v>
      </c>
      <c r="F10" s="81">
        <f>+'JL15 Gas Cost of Service'!F52</f>
        <v>1.004251507458147</v>
      </c>
      <c r="G10" s="81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 t="s">
        <v>51</v>
      </c>
      <c r="B12" s="3"/>
      <c r="C12" s="3"/>
      <c r="D12" s="3"/>
      <c r="E12" s="3"/>
      <c r="F12" s="3"/>
      <c r="G12" s="3"/>
    </row>
    <row r="13" spans="1:7" ht="12.75">
      <c r="A13" s="3" t="s">
        <v>49</v>
      </c>
      <c r="B13" s="80">
        <f>+'JL15 Gas Cost of Service'!B28</f>
        <v>1.0692770881916116</v>
      </c>
      <c r="C13" s="80">
        <f>+'JL15 Gas Cost of Service'!C28</f>
        <v>0.7682485057054881</v>
      </c>
      <c r="D13" s="80">
        <f>+'JL15 Gas Cost of Service'!D28</f>
        <v>0.7460806990490877</v>
      </c>
      <c r="E13" s="80">
        <f>+'JL15 Gas Cost of Service'!E28</f>
        <v>1.5367088607594936</v>
      </c>
      <c r="F13" s="80">
        <f>+'JL15 Gas Cost of Service'!F28</f>
        <v>1.0573348459725977</v>
      </c>
      <c r="G13" s="80">
        <f>+'JL15 Gas Cost of Service'!G28</f>
        <v>1.1368583666877328</v>
      </c>
    </row>
    <row r="14" spans="1:7" ht="12.75">
      <c r="A14" s="3" t="s">
        <v>50</v>
      </c>
      <c r="B14" s="80">
        <f>+'JL15 Gas Cost of Service'!B74</f>
        <v>1.01874148351973</v>
      </c>
      <c r="C14" s="80">
        <f>+'JL15 Gas Cost of Service'!C74</f>
        <v>0.951216722427154</v>
      </c>
      <c r="D14" s="80">
        <f>+'JL15 Gas Cost of Service'!D74</f>
        <v>0.9583497273902535</v>
      </c>
      <c r="E14" s="80">
        <f>+'JL15 Gas Cost of Service'!E74</f>
        <v>1.0485347985347986</v>
      </c>
      <c r="F14" s="80">
        <f>+'JL15 Gas Cost of Service'!F74</f>
        <v>1.00463614790272</v>
      </c>
      <c r="G14" s="80">
        <f>+'JL15 Gas Cost of Service'!G74</f>
        <v>1.007489156151191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Microdesign Northwest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Lazar</dc:creator>
  <cp:keywords/>
  <dc:description/>
  <cp:lastModifiedBy>Office of the Attorney General</cp:lastModifiedBy>
  <cp:lastPrinted>2005-09-21T17:44:25Z</cp:lastPrinted>
  <dcterms:created xsi:type="dcterms:W3CDTF">2005-08-22T21:54:14Z</dcterms:created>
  <dcterms:modified xsi:type="dcterms:W3CDTF">2005-09-21T23:06:09Z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2005-09-22T00:00:00Z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