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6.xml" ContentType="application/vnd.openxmlformats-officedocument.spreadsheetml.comments+xml"/>
  <Override PartName="/xl/comments9.xml" ContentType="application/vnd.openxmlformats-officedocument.spreadsheetml.comments+xml"/>
  <Override PartName="/xl/comments3.xml" ContentType="application/vnd.openxmlformats-officedocument.spreadsheetml.comments+xml"/>
  <Override PartName="/xl/comments7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S:\PGA Analysis\WA PGA\WA Monthly Report\2023\08.2023\"/>
    </mc:Choice>
  </mc:AlternateContent>
  <xr:revisionPtr revIDLastSave="0" documentId="8_{721C1281-EBEF-4B51-9991-8F540E2BB1D6}" xr6:coauthVersionLast="47" xr6:coauthVersionMax="47" xr10:uidLastSave="{00000000-0000-0000-0000-000000000000}"/>
  <bookViews>
    <workbookView xWindow="-108" yWindow="-108" windowWidth="23256" windowHeight="12576" tabRatio="772" activeTab="9" xr2:uid="{00000000-000D-0000-FFFF-FFFF00000000}"/>
  </bookViews>
  <sheets>
    <sheet name="Jan 23" sheetId="86" r:id="rId1"/>
    <sheet name="Feb 23" sheetId="87" r:id="rId2"/>
    <sheet name="Mar 23" sheetId="88" r:id="rId3"/>
    <sheet name="Apr 23" sheetId="89" r:id="rId4"/>
    <sheet name="May 23" sheetId="90" r:id="rId5"/>
    <sheet name="Jun 23" sheetId="91" r:id="rId6"/>
    <sheet name="Jul 23" sheetId="92" r:id="rId7"/>
    <sheet name="Aug 23" sheetId="93" r:id="rId8"/>
    <sheet name="191010 WA DEF" sheetId="39" r:id="rId9"/>
    <sheet name="191000 WA Amort" sheetId="41" r:id="rId10"/>
  </sheets>
  <externalReferences>
    <externalReference r:id="rId11"/>
    <externalReference r:id="rId12"/>
    <externalReference r:id="rId13"/>
  </externalReferences>
  <definedNames>
    <definedName name="Actual_Cost_Per_MMBtu" localSheetId="9">'[1]Oregon Gas Costs - 1999'!#REF!</definedName>
    <definedName name="Actual_Cost_Per_MMBtu">'[1]Oregon Gas Costs - 1999'!#REF!</definedName>
    <definedName name="Actual_Gas_Costs" localSheetId="9">#REF!</definedName>
    <definedName name="Actual_Gas_Costs">#REF!</definedName>
    <definedName name="Actual_Volumes" localSheetId="9">#REF!</definedName>
    <definedName name="Actual_Volumes">#REF!</definedName>
    <definedName name="Analysis_of_Year_to_Date_Gas_Costs___WWP_System" localSheetId="9">#REF!</definedName>
    <definedName name="Analysis_of_Year_to_Date_Gas_Costs___WWP_System">#REF!</definedName>
    <definedName name="Balancing_Account_Summary" localSheetId="9">#REF!</definedName>
    <definedName name="Balancing_Account_Summary">#REF!</definedName>
    <definedName name="Budgeted_Costs_Volumes" localSheetId="9">#REF!</definedName>
    <definedName name="Budgeted_Costs_Volumes">#REF!</definedName>
    <definedName name="Commodity_Costs" localSheetId="9">#REF!</definedName>
    <definedName name="Commodity_Costs">#REF!</definedName>
    <definedName name="_xlnm.Database" localSheetId="9">'[2]May 2000'!#REF!</definedName>
    <definedName name="_xlnm.Database">'[2]May 2000'!#REF!</definedName>
    <definedName name="EIA857_Report_Info" localSheetId="9">#REF!</definedName>
    <definedName name="EIA857_Report_Info">#REF!</definedName>
    <definedName name="InputMonth">[3]Start!$B$2</definedName>
    <definedName name="JanJunPretaxRate">[3]Start!$C$7</definedName>
    <definedName name="jj" localSheetId="9">'[1]Oregon Gas Costs - 1999'!#REF!</definedName>
    <definedName name="jj">'[1]Oregon Gas Costs - 1999'!#REF!</definedName>
    <definedName name="Journal_Entry_Dollars" localSheetId="9">#REF!</definedName>
    <definedName name="Journal_Entry_Dollars">#REF!</definedName>
    <definedName name="Journal_Entry_Volumes" localSheetId="9">#REF!</definedName>
    <definedName name="Journal_Entry_Volumes">#REF!</definedName>
    <definedName name="JournalEntryPrintArea" localSheetId="9">#REF!</definedName>
    <definedName name="JournalEntryPrintArea">#REF!</definedName>
    <definedName name="JulDecPretaxRate">[3]Start!$C$8</definedName>
    <definedName name="Notes" localSheetId="9">#REF!</definedName>
    <definedName name="Notes">#REF!</definedName>
    <definedName name="_xlnm.Print_Area" localSheetId="9">'191000 WA Amort'!$A$1:$S$93</definedName>
    <definedName name="_xlnm.Print_Area" localSheetId="8">'191010 WA DEF'!$A$1:$L$93</definedName>
    <definedName name="_xlnm.Print_Area" localSheetId="3">'Apr 23'!$B$1:$R$48</definedName>
    <definedName name="_xlnm.Print_Area" localSheetId="7">'Aug 23'!$B$1:$R$48</definedName>
    <definedName name="_xlnm.Print_Area" localSheetId="1">'Feb 23'!$B$1:$R$48</definedName>
    <definedName name="_xlnm.Print_Area" localSheetId="0">'Jan 23'!$B$1:$R$48</definedName>
    <definedName name="_xlnm.Print_Area" localSheetId="6">'Jul 23'!$B$1:$R$48</definedName>
    <definedName name="_xlnm.Print_Area" localSheetId="5">'Jun 23'!$B$1:$R$48</definedName>
    <definedName name="_xlnm.Print_Area" localSheetId="2">'Mar 23'!$B$1:$R$48</definedName>
    <definedName name="_xlnm.Print_Area" localSheetId="4">'May 23'!$B$1:$R$48</definedName>
    <definedName name="SPREADSHEET_DOCUMENTATION" localSheetId="9">#REF!</definedName>
    <definedName name="SPREADSHEET_DOCUMENTATION">#REF!</definedName>
    <definedName name="Summary_of_Off_system_Sales" localSheetId="9">'[1]Oregon Gas Costs - 1999'!#REF!</definedName>
    <definedName name="Summary_of_Off_system_Sales">'[1]Oregon Gas Costs - 1999'!#REF!</definedName>
    <definedName name="Transportation_Costs" localSheetId="9">#REF!</definedName>
    <definedName name="Transportation_Cos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41" l="1"/>
  <c r="D1396" i="93"/>
  <c r="L28" i="93"/>
  <c r="P27" i="93"/>
  <c r="L27" i="93"/>
  <c r="P26" i="93"/>
  <c r="L26" i="93"/>
  <c r="P25" i="93"/>
  <c r="L25" i="93"/>
  <c r="Q24" i="93"/>
  <c r="Q25" i="93" s="1"/>
  <c r="Q26" i="93" s="1"/>
  <c r="Q27" i="93" s="1"/>
  <c r="P24" i="93"/>
  <c r="M24" i="93"/>
  <c r="M25" i="93" s="1"/>
  <c r="M26" i="93" s="1"/>
  <c r="L24" i="93"/>
  <c r="N24" i="93" s="1"/>
  <c r="P23" i="93"/>
  <c r="R23" i="93" s="1"/>
  <c r="L23" i="93"/>
  <c r="L29" i="93" s="1"/>
  <c r="L17" i="93"/>
  <c r="L19" i="93" s="1"/>
  <c r="N16" i="93"/>
  <c r="P15" i="93"/>
  <c r="P17" i="93" s="1"/>
  <c r="N15" i="93"/>
  <c r="N14" i="93"/>
  <c r="N13" i="93"/>
  <c r="N12" i="93"/>
  <c r="Q11" i="93"/>
  <c r="R11" i="93" s="1"/>
  <c r="N11" i="93"/>
  <c r="R10" i="93"/>
  <c r="N10" i="93"/>
  <c r="E8" i="93"/>
  <c r="F73" i="41"/>
  <c r="D1396" i="92"/>
  <c r="L28" i="92"/>
  <c r="P27" i="92"/>
  <c r="L27" i="92"/>
  <c r="P26" i="92"/>
  <c r="L26" i="92"/>
  <c r="P25" i="92"/>
  <c r="L25" i="92"/>
  <c r="Q24" i="92"/>
  <c r="Q25" i="92" s="1"/>
  <c r="Q26" i="92" s="1"/>
  <c r="Q27" i="92" s="1"/>
  <c r="P24" i="92"/>
  <c r="R24" i="92" s="1"/>
  <c r="M24" i="92"/>
  <c r="M25" i="92" s="1"/>
  <c r="M26" i="92" s="1"/>
  <c r="M27" i="92" s="1"/>
  <c r="M28" i="92" s="1"/>
  <c r="L24" i="92"/>
  <c r="N24" i="92" s="1"/>
  <c r="P23" i="92"/>
  <c r="R23" i="92" s="1"/>
  <c r="L23" i="92"/>
  <c r="L29" i="92" s="1"/>
  <c r="L17" i="92"/>
  <c r="L19" i="92" s="1"/>
  <c r="N16" i="92"/>
  <c r="P15" i="92"/>
  <c r="P17" i="92" s="1"/>
  <c r="N15" i="92"/>
  <c r="N14" i="92"/>
  <c r="N13" i="92"/>
  <c r="N12" i="92"/>
  <c r="Q11" i="92"/>
  <c r="Q12" i="92" s="1"/>
  <c r="N11" i="92"/>
  <c r="R10" i="92"/>
  <c r="N10" i="92"/>
  <c r="E8" i="92"/>
  <c r="F72" i="41"/>
  <c r="D1396" i="91"/>
  <c r="L28" i="91"/>
  <c r="P27" i="91"/>
  <c r="L27" i="91"/>
  <c r="P26" i="91"/>
  <c r="L26" i="91"/>
  <c r="P25" i="91"/>
  <c r="L25" i="91"/>
  <c r="Q24" i="91"/>
  <c r="Q25" i="91" s="1"/>
  <c r="Q26" i="91" s="1"/>
  <c r="Q27" i="91" s="1"/>
  <c r="P24" i="91"/>
  <c r="R24" i="91" s="1"/>
  <c r="M24" i="91"/>
  <c r="M25" i="91" s="1"/>
  <c r="M26" i="91" s="1"/>
  <c r="M27" i="91" s="1"/>
  <c r="M28" i="91" s="1"/>
  <c r="L24" i="91"/>
  <c r="N24" i="91" s="1"/>
  <c r="P23" i="91"/>
  <c r="R23" i="91" s="1"/>
  <c r="L23" i="91"/>
  <c r="L17" i="91"/>
  <c r="L19" i="91" s="1"/>
  <c r="N16" i="91"/>
  <c r="P15" i="91"/>
  <c r="P17" i="91" s="1"/>
  <c r="N15" i="91"/>
  <c r="N14" i="91"/>
  <c r="N13" i="91"/>
  <c r="N12" i="91"/>
  <c r="Q11" i="91"/>
  <c r="Q12" i="91" s="1"/>
  <c r="R12" i="91" s="1"/>
  <c r="N11" i="91"/>
  <c r="R10" i="91"/>
  <c r="N10" i="91"/>
  <c r="E8" i="91"/>
  <c r="N17" i="93" l="1"/>
  <c r="L36" i="93" s="1"/>
  <c r="Q12" i="93"/>
  <c r="R12" i="93" s="1"/>
  <c r="N23" i="93"/>
  <c r="P28" i="93"/>
  <c r="P30" i="93" s="1"/>
  <c r="R25" i="93"/>
  <c r="R26" i="93"/>
  <c r="G35" i="93"/>
  <c r="E12" i="93"/>
  <c r="G33" i="93"/>
  <c r="I36" i="93"/>
  <c r="E13" i="93"/>
  <c r="E31" i="93" s="1"/>
  <c r="E32" i="93" s="1"/>
  <c r="I34" i="93"/>
  <c r="R27" i="93"/>
  <c r="L31" i="93"/>
  <c r="N26" i="93"/>
  <c r="M27" i="93"/>
  <c r="N25" i="93"/>
  <c r="Q13" i="93"/>
  <c r="R24" i="93"/>
  <c r="R28" i="93" s="1"/>
  <c r="O36" i="93" s="1"/>
  <c r="N17" i="92"/>
  <c r="L36" i="92" s="1"/>
  <c r="R11" i="92"/>
  <c r="N23" i="92"/>
  <c r="R25" i="92"/>
  <c r="N26" i="92"/>
  <c r="R26" i="92"/>
  <c r="N27" i="92"/>
  <c r="R27" i="92"/>
  <c r="I36" i="92"/>
  <c r="G35" i="92"/>
  <c r="E12" i="92"/>
  <c r="G33" i="92"/>
  <c r="E13" i="92"/>
  <c r="E31" i="92" s="1"/>
  <c r="E32" i="92" s="1"/>
  <c r="I34" i="92"/>
  <c r="N28" i="92"/>
  <c r="R12" i="92"/>
  <c r="Q13" i="92"/>
  <c r="L31" i="92"/>
  <c r="N25" i="92"/>
  <c r="P28" i="92"/>
  <c r="P30" i="92" s="1"/>
  <c r="L29" i="91"/>
  <c r="L31" i="91" s="1"/>
  <c r="N17" i="91"/>
  <c r="R11" i="91"/>
  <c r="N23" i="91"/>
  <c r="N25" i="91"/>
  <c r="N26" i="91"/>
  <c r="N27" i="91"/>
  <c r="N28" i="91"/>
  <c r="G35" i="91"/>
  <c r="I36" i="91"/>
  <c r="E12" i="91"/>
  <c r="G33" i="91"/>
  <c r="E13" i="91"/>
  <c r="E31" i="91" s="1"/>
  <c r="E32" i="91" s="1"/>
  <c r="I34" i="91"/>
  <c r="R25" i="91"/>
  <c r="N29" i="91"/>
  <c r="M36" i="91" s="1"/>
  <c r="R26" i="91"/>
  <c r="R27" i="91"/>
  <c r="P28" i="91"/>
  <c r="P30" i="91" s="1"/>
  <c r="Q13" i="91"/>
  <c r="F71" i="41"/>
  <c r="D1396" i="90"/>
  <c r="L28" i="90"/>
  <c r="P27" i="90"/>
  <c r="L27" i="90"/>
  <c r="P26" i="90"/>
  <c r="L26" i="90"/>
  <c r="P25" i="90"/>
  <c r="L25" i="90"/>
  <c r="Q24" i="90"/>
  <c r="Q25" i="90" s="1"/>
  <c r="Q26" i="90" s="1"/>
  <c r="Q27" i="90" s="1"/>
  <c r="P24" i="90"/>
  <c r="R24" i="90" s="1"/>
  <c r="M24" i="90"/>
  <c r="M25" i="90" s="1"/>
  <c r="M26" i="90" s="1"/>
  <c r="M27" i="90" s="1"/>
  <c r="M28" i="90" s="1"/>
  <c r="L24" i="90"/>
  <c r="N24" i="90" s="1"/>
  <c r="P23" i="90"/>
  <c r="R23" i="90" s="1"/>
  <c r="L23" i="90"/>
  <c r="L17" i="90"/>
  <c r="L19" i="90" s="1"/>
  <c r="N16" i="90"/>
  <c r="P15" i="90"/>
  <c r="P17" i="90" s="1"/>
  <c r="N15" i="90"/>
  <c r="N14" i="90"/>
  <c r="N13" i="90"/>
  <c r="N12" i="90"/>
  <c r="Q11" i="90"/>
  <c r="Q12" i="90" s="1"/>
  <c r="R12" i="90" s="1"/>
  <c r="N11" i="90"/>
  <c r="R10" i="90"/>
  <c r="N10" i="90"/>
  <c r="E8" i="90"/>
  <c r="F70" i="41"/>
  <c r="D1396" i="89"/>
  <c r="L28" i="89"/>
  <c r="P27" i="89"/>
  <c r="L27" i="89"/>
  <c r="P26" i="89"/>
  <c r="L26" i="89"/>
  <c r="P25" i="89"/>
  <c r="L25" i="89"/>
  <c r="Q24" i="89"/>
  <c r="Q25" i="89" s="1"/>
  <c r="Q26" i="89" s="1"/>
  <c r="Q27" i="89" s="1"/>
  <c r="P24" i="89"/>
  <c r="R24" i="89" s="1"/>
  <c r="M24" i="89"/>
  <c r="M25" i="89" s="1"/>
  <c r="M26" i="89" s="1"/>
  <c r="M27" i="89" s="1"/>
  <c r="M28" i="89" s="1"/>
  <c r="L24" i="89"/>
  <c r="N24" i="89" s="1"/>
  <c r="P23" i="89"/>
  <c r="R23" i="89" s="1"/>
  <c r="L23" i="89"/>
  <c r="L17" i="89"/>
  <c r="L19" i="89" s="1"/>
  <c r="N16" i="89"/>
  <c r="P15" i="89"/>
  <c r="P17" i="89" s="1"/>
  <c r="N15" i="89"/>
  <c r="N14" i="89"/>
  <c r="N13" i="89"/>
  <c r="N12" i="89"/>
  <c r="Q11" i="89"/>
  <c r="R11" i="89" s="1"/>
  <c r="N11" i="89"/>
  <c r="R10" i="89"/>
  <c r="N10" i="89"/>
  <c r="E8" i="89"/>
  <c r="F69" i="41"/>
  <c r="G8" i="93" l="1"/>
  <c r="I8" i="93" s="1"/>
  <c r="E14" i="93"/>
  <c r="E37" i="93"/>
  <c r="E39" i="93" s="1"/>
  <c r="I32" i="93"/>
  <c r="I39" i="93" s="1"/>
  <c r="O35" i="93" s="1"/>
  <c r="O37" i="93" s="1"/>
  <c r="N27" i="93"/>
  <c r="M28" i="93"/>
  <c r="N28" i="93" s="1"/>
  <c r="H14" i="93"/>
  <c r="H39" i="93" s="1"/>
  <c r="N35" i="93" s="1"/>
  <c r="F14" i="93"/>
  <c r="F39" i="93" s="1"/>
  <c r="L35" i="93" s="1"/>
  <c r="L37" i="93" s="1"/>
  <c r="G74" i="39" s="1"/>
  <c r="Q14" i="93"/>
  <c r="R14" i="93" s="1"/>
  <c r="R13" i="93"/>
  <c r="R28" i="92"/>
  <c r="O36" i="92" s="1"/>
  <c r="N29" i="92"/>
  <c r="M36" i="92" s="1"/>
  <c r="E14" i="92"/>
  <c r="F14" i="92" s="1"/>
  <c r="F39" i="92" s="1"/>
  <c r="L35" i="92" s="1"/>
  <c r="L37" i="92" s="1"/>
  <c r="G73" i="39" s="1"/>
  <c r="G8" i="92"/>
  <c r="I8" i="92" s="1"/>
  <c r="I32" i="92" s="1"/>
  <c r="I39" i="92" s="1"/>
  <c r="O35" i="92" s="1"/>
  <c r="O37" i="92" s="1"/>
  <c r="E37" i="92"/>
  <c r="Q14" i="92"/>
  <c r="R14" i="92" s="1"/>
  <c r="R13" i="92"/>
  <c r="R28" i="91"/>
  <c r="O36" i="91" s="1"/>
  <c r="L36" i="91"/>
  <c r="E14" i="91"/>
  <c r="H14" i="91" s="1"/>
  <c r="H39" i="91" s="1"/>
  <c r="N35" i="91" s="1"/>
  <c r="Q14" i="91"/>
  <c r="R14" i="91" s="1"/>
  <c r="R13" i="91"/>
  <c r="R15" i="91" s="1"/>
  <c r="N36" i="91" s="1"/>
  <c r="G8" i="91"/>
  <c r="I8" i="91" s="1"/>
  <c r="I32" i="91" s="1"/>
  <c r="I39" i="91" s="1"/>
  <c r="O35" i="91" s="1"/>
  <c r="O37" i="91" s="1"/>
  <c r="E37" i="91"/>
  <c r="E39" i="91" s="1"/>
  <c r="L29" i="90"/>
  <c r="L31" i="90" s="1"/>
  <c r="N17" i="90"/>
  <c r="L36" i="90" s="1"/>
  <c r="R11" i="90"/>
  <c r="N23" i="90"/>
  <c r="N25" i="90"/>
  <c r="R25" i="90"/>
  <c r="N26" i="90"/>
  <c r="R26" i="90"/>
  <c r="N27" i="90"/>
  <c r="R27" i="90"/>
  <c r="G35" i="90"/>
  <c r="E12" i="90"/>
  <c r="I36" i="90"/>
  <c r="G33" i="90"/>
  <c r="E13" i="90"/>
  <c r="E31" i="90" s="1"/>
  <c r="E32" i="90" s="1"/>
  <c r="I34" i="90"/>
  <c r="R28" i="90"/>
  <c r="O36" i="90" s="1"/>
  <c r="N28" i="90"/>
  <c r="Q13" i="90"/>
  <c r="P28" i="90"/>
  <c r="P30" i="90" s="1"/>
  <c r="L29" i="89"/>
  <c r="L31" i="89" s="1"/>
  <c r="N17" i="89"/>
  <c r="L36" i="89" s="1"/>
  <c r="Q12" i="89"/>
  <c r="R12" i="89" s="1"/>
  <c r="N25" i="89"/>
  <c r="R25" i="89"/>
  <c r="N26" i="89"/>
  <c r="R26" i="89"/>
  <c r="R27" i="89"/>
  <c r="E13" i="89"/>
  <c r="E31" i="89" s="1"/>
  <c r="E32" i="89" s="1"/>
  <c r="G35" i="89"/>
  <c r="I36" i="89"/>
  <c r="E12" i="89"/>
  <c r="G33" i="89"/>
  <c r="I34" i="89"/>
  <c r="N27" i="89"/>
  <c r="N28" i="89"/>
  <c r="P28" i="89"/>
  <c r="P30" i="89" s="1"/>
  <c r="Q13" i="89"/>
  <c r="N23" i="89"/>
  <c r="D1396" i="88"/>
  <c r="L28" i="88"/>
  <c r="P27" i="88"/>
  <c r="L27" i="88"/>
  <c r="P26" i="88"/>
  <c r="L26" i="88"/>
  <c r="P25" i="88"/>
  <c r="L25" i="88"/>
  <c r="Q24" i="88"/>
  <c r="Q25" i="88" s="1"/>
  <c r="Q26" i="88" s="1"/>
  <c r="Q27" i="88" s="1"/>
  <c r="P24" i="88"/>
  <c r="R24" i="88" s="1"/>
  <c r="M24" i="88"/>
  <c r="M25" i="88" s="1"/>
  <c r="L24" i="88"/>
  <c r="N24" i="88" s="1"/>
  <c r="P23" i="88"/>
  <c r="R23" i="88" s="1"/>
  <c r="L23" i="88"/>
  <c r="L17" i="88"/>
  <c r="L19" i="88" s="1"/>
  <c r="N16" i="88"/>
  <c r="P15" i="88"/>
  <c r="P17" i="88" s="1"/>
  <c r="N15" i="88"/>
  <c r="N14" i="88"/>
  <c r="N13" i="88"/>
  <c r="N12" i="88"/>
  <c r="Q11" i="88"/>
  <c r="R11" i="88" s="1"/>
  <c r="N11" i="88"/>
  <c r="R10" i="88"/>
  <c r="N10" i="88"/>
  <c r="E8" i="88"/>
  <c r="F68" i="41"/>
  <c r="D1396" i="87"/>
  <c r="L28" i="87"/>
  <c r="P27" i="87"/>
  <c r="L27" i="87"/>
  <c r="P26" i="87"/>
  <c r="L26" i="87"/>
  <c r="P25" i="87"/>
  <c r="L25" i="87"/>
  <c r="Q24" i="87"/>
  <c r="Q25" i="87" s="1"/>
  <c r="Q26" i="87" s="1"/>
  <c r="Q27" i="87" s="1"/>
  <c r="P24" i="87"/>
  <c r="R24" i="87" s="1"/>
  <c r="M24" i="87"/>
  <c r="M25" i="87" s="1"/>
  <c r="M26" i="87" s="1"/>
  <c r="M27" i="87" s="1"/>
  <c r="M28" i="87" s="1"/>
  <c r="L24" i="87"/>
  <c r="N24" i="87" s="1"/>
  <c r="P23" i="87"/>
  <c r="R23" i="87" s="1"/>
  <c r="L23" i="87"/>
  <c r="N23" i="87" s="1"/>
  <c r="L17" i="87"/>
  <c r="L19" i="87" s="1"/>
  <c r="N16" i="87"/>
  <c r="P15" i="87"/>
  <c r="P17" i="87" s="1"/>
  <c r="N15" i="87"/>
  <c r="N14" i="87"/>
  <c r="N13" i="87"/>
  <c r="N12" i="87"/>
  <c r="Q11" i="87"/>
  <c r="Q12" i="87" s="1"/>
  <c r="R12" i="87" s="1"/>
  <c r="N11" i="87"/>
  <c r="R10" i="87"/>
  <c r="N10" i="87"/>
  <c r="E8" i="87"/>
  <c r="F67" i="41"/>
  <c r="N76" i="41"/>
  <c r="K76" i="41"/>
  <c r="H76" i="41"/>
  <c r="N75" i="41"/>
  <c r="K75" i="41"/>
  <c r="H75" i="41"/>
  <c r="N74" i="41"/>
  <c r="K74" i="41"/>
  <c r="H74" i="41"/>
  <c r="N73" i="41"/>
  <c r="K73" i="41"/>
  <c r="H73" i="41"/>
  <c r="N72" i="41"/>
  <c r="K72" i="41"/>
  <c r="N71" i="41"/>
  <c r="K71" i="41"/>
  <c r="N70" i="41"/>
  <c r="K70" i="41"/>
  <c r="H70" i="41"/>
  <c r="N69" i="41"/>
  <c r="K69" i="41"/>
  <c r="H69" i="41"/>
  <c r="N68" i="41"/>
  <c r="K68" i="41"/>
  <c r="H68" i="41"/>
  <c r="N67" i="41"/>
  <c r="K67" i="41"/>
  <c r="K79" i="41" s="1"/>
  <c r="H67" i="41"/>
  <c r="H79" i="41" s="1"/>
  <c r="A68" i="39"/>
  <c r="A69" i="39" s="1"/>
  <c r="A70" i="39" s="1"/>
  <c r="Q24" i="86"/>
  <c r="Q25" i="86" s="1"/>
  <c r="Q26" i="86" s="1"/>
  <c r="Q27" i="86" s="1"/>
  <c r="M24" i="86"/>
  <c r="M25" i="86" s="1"/>
  <c r="M26" i="86" s="1"/>
  <c r="M27" i="86" s="1"/>
  <c r="M28" i="86" s="1"/>
  <c r="E14" i="89" l="1"/>
  <c r="H14" i="89" s="1"/>
  <c r="H39" i="89" s="1"/>
  <c r="N35" i="89" s="1"/>
  <c r="F14" i="91"/>
  <c r="F39" i="91" s="1"/>
  <c r="L35" i="91" s="1"/>
  <c r="L37" i="91" s="1"/>
  <c r="G72" i="39" s="1"/>
  <c r="G32" i="93"/>
  <c r="G39" i="93" s="1"/>
  <c r="M35" i="93" s="1"/>
  <c r="N29" i="93"/>
  <c r="R15" i="93"/>
  <c r="N36" i="93" s="1"/>
  <c r="N37" i="93" s="1"/>
  <c r="P35" i="93"/>
  <c r="E42" i="93"/>
  <c r="G32" i="92"/>
  <c r="G39" i="92" s="1"/>
  <c r="M35" i="92" s="1"/>
  <c r="M37" i="92" s="1"/>
  <c r="F73" i="39" s="1"/>
  <c r="H14" i="92"/>
  <c r="H39" i="92" s="1"/>
  <c r="N35" i="92" s="1"/>
  <c r="E39" i="92"/>
  <c r="R15" i="92"/>
  <c r="E42" i="92"/>
  <c r="P36" i="91"/>
  <c r="N37" i="91"/>
  <c r="G32" i="91"/>
  <c r="G39" i="91" s="1"/>
  <c r="M35" i="91" s="1"/>
  <c r="M37" i="91" s="1"/>
  <c r="O39" i="91"/>
  <c r="E42" i="91"/>
  <c r="E14" i="90"/>
  <c r="N29" i="90"/>
  <c r="G8" i="90"/>
  <c r="I8" i="90" s="1"/>
  <c r="I32" i="90" s="1"/>
  <c r="I39" i="90" s="1"/>
  <c r="O35" i="90" s="1"/>
  <c r="O37" i="90" s="1"/>
  <c r="M36" i="90"/>
  <c r="Q14" i="90"/>
  <c r="R14" i="90" s="1"/>
  <c r="R13" i="90"/>
  <c r="R15" i="90" s="1"/>
  <c r="N36" i="90" s="1"/>
  <c r="E37" i="90"/>
  <c r="E39" i="90" s="1"/>
  <c r="H14" i="90"/>
  <c r="H39" i="90" s="1"/>
  <c r="N35" i="90" s="1"/>
  <c r="N37" i="90" s="1"/>
  <c r="F14" i="90"/>
  <c r="F39" i="90" s="1"/>
  <c r="L35" i="90" s="1"/>
  <c r="L37" i="90" s="1"/>
  <c r="G71" i="39" s="1"/>
  <c r="R28" i="89"/>
  <c r="O36" i="89" s="1"/>
  <c r="N29" i="89"/>
  <c r="M36" i="89" s="1"/>
  <c r="A71" i="39"/>
  <c r="R13" i="89"/>
  <c r="Q14" i="89"/>
  <c r="R14" i="89" s="1"/>
  <c r="E37" i="89"/>
  <c r="G8" i="89"/>
  <c r="I8" i="89" s="1"/>
  <c r="I32" i="89" s="1"/>
  <c r="I39" i="89" s="1"/>
  <c r="O35" i="89" s="1"/>
  <c r="O37" i="89" s="1"/>
  <c r="L29" i="88"/>
  <c r="L31" i="88" s="1"/>
  <c r="N17" i="88"/>
  <c r="Q12" i="88"/>
  <c r="R12" i="88" s="1"/>
  <c r="E13" i="88"/>
  <c r="E31" i="88" s="1"/>
  <c r="E32" i="88" s="1"/>
  <c r="I34" i="88"/>
  <c r="G35" i="88"/>
  <c r="I36" i="88"/>
  <c r="E12" i="88"/>
  <c r="E14" i="88" s="1"/>
  <c r="G33" i="88"/>
  <c r="R25" i="88"/>
  <c r="R26" i="88"/>
  <c r="R27" i="88"/>
  <c r="R28" i="88"/>
  <c r="O36" i="88" s="1"/>
  <c r="M26" i="88"/>
  <c r="N25" i="88"/>
  <c r="N23" i="88"/>
  <c r="Q13" i="88"/>
  <c r="P28" i="88"/>
  <c r="P30" i="88" s="1"/>
  <c r="R11" i="87"/>
  <c r="R25" i="87"/>
  <c r="N26" i="87"/>
  <c r="R26" i="87"/>
  <c r="L29" i="87"/>
  <c r="L31" i="87" s="1"/>
  <c r="N17" i="87"/>
  <c r="L36" i="87" s="1"/>
  <c r="I36" i="87"/>
  <c r="G35" i="87"/>
  <c r="E12" i="87"/>
  <c r="G33" i="87"/>
  <c r="E13" i="87"/>
  <c r="E31" i="87" s="1"/>
  <c r="E32" i="87" s="1"/>
  <c r="I34" i="87"/>
  <c r="N27" i="87"/>
  <c r="R27" i="87"/>
  <c r="R28" i="87" s="1"/>
  <c r="O36" i="87" s="1"/>
  <c r="N28" i="87"/>
  <c r="N25" i="87"/>
  <c r="N29" i="87" s="1"/>
  <c r="P28" i="87"/>
  <c r="P30" i="87" s="1"/>
  <c r="Q13" i="87"/>
  <c r="R10" i="86"/>
  <c r="N16" i="86"/>
  <c r="N15" i="86"/>
  <c r="N14" i="86"/>
  <c r="N13" i="86"/>
  <c r="N12" i="86"/>
  <c r="N11" i="86"/>
  <c r="N10" i="86"/>
  <c r="D1396" i="86"/>
  <c r="L28" i="86"/>
  <c r="N28" i="86" s="1"/>
  <c r="P27" i="86"/>
  <c r="R27" i="86" s="1"/>
  <c r="L27" i="86"/>
  <c r="N27" i="86" s="1"/>
  <c r="P26" i="86"/>
  <c r="R26" i="86" s="1"/>
  <c r="L26" i="86"/>
  <c r="N26" i="86" s="1"/>
  <c r="P25" i="86"/>
  <c r="R25" i="86" s="1"/>
  <c r="L25" i="86"/>
  <c r="N25" i="86" s="1"/>
  <c r="P24" i="86"/>
  <c r="R24" i="86" s="1"/>
  <c r="L24" i="86"/>
  <c r="N24" i="86" s="1"/>
  <c r="P23" i="86"/>
  <c r="R23" i="86" s="1"/>
  <c r="L23" i="86"/>
  <c r="L17" i="86"/>
  <c r="L19" i="86" s="1"/>
  <c r="P15" i="86"/>
  <c r="P17" i="86" s="1"/>
  <c r="Q11" i="86"/>
  <c r="Q12" i="86" s="1"/>
  <c r="Q13" i="86" s="1"/>
  <c r="Q14" i="86" s="1"/>
  <c r="R14" i="86" s="1"/>
  <c r="E8" i="86"/>
  <c r="F14" i="89" l="1"/>
  <c r="F39" i="89" s="1"/>
  <c r="L35" i="89" s="1"/>
  <c r="L37" i="89" s="1"/>
  <c r="G70" i="39" s="1"/>
  <c r="E39" i="89"/>
  <c r="O39" i="93"/>
  <c r="M36" i="93"/>
  <c r="M37" i="93" s="1"/>
  <c r="E14" i="87"/>
  <c r="F14" i="87" s="1"/>
  <c r="F39" i="87" s="1"/>
  <c r="L35" i="87" s="1"/>
  <c r="L37" i="87" s="1"/>
  <c r="G68" i="39" s="1"/>
  <c r="P35" i="92"/>
  <c r="M39" i="92"/>
  <c r="N36" i="92"/>
  <c r="P36" i="92" s="1"/>
  <c r="P35" i="91"/>
  <c r="M39" i="91"/>
  <c r="F72" i="39"/>
  <c r="G32" i="90"/>
  <c r="G39" i="90" s="1"/>
  <c r="M35" i="90" s="1"/>
  <c r="M37" i="90" s="1"/>
  <c r="F71" i="39" s="1"/>
  <c r="A72" i="39"/>
  <c r="O39" i="90"/>
  <c r="E42" i="90"/>
  <c r="P36" i="90"/>
  <c r="G32" i="89"/>
  <c r="G39" i="89" s="1"/>
  <c r="M35" i="89" s="1"/>
  <c r="M37" i="89" s="1"/>
  <c r="F70" i="39" s="1"/>
  <c r="R15" i="89"/>
  <c r="N36" i="89" s="1"/>
  <c r="P36" i="89" s="1"/>
  <c r="E42" i="89"/>
  <c r="F14" i="88"/>
  <c r="F39" i="88" s="1"/>
  <c r="L35" i="88" s="1"/>
  <c r="L37" i="88" s="1"/>
  <c r="H14" i="88"/>
  <c r="L36" i="88"/>
  <c r="M27" i="88"/>
  <c r="N26" i="88"/>
  <c r="E37" i="88"/>
  <c r="E39" i="88" s="1"/>
  <c r="H39" i="88"/>
  <c r="N35" i="88" s="1"/>
  <c r="R13" i="88"/>
  <c r="Q14" i="88"/>
  <c r="R14" i="88" s="1"/>
  <c r="G8" i="88"/>
  <c r="M36" i="87"/>
  <c r="E37" i="87"/>
  <c r="Q14" i="87"/>
  <c r="R14" i="87" s="1"/>
  <c r="R13" i="87"/>
  <c r="R15" i="87" s="1"/>
  <c r="N36" i="87" s="1"/>
  <c r="G8" i="87"/>
  <c r="I8" i="87" s="1"/>
  <c r="I32" i="87" s="1"/>
  <c r="I39" i="87" s="1"/>
  <c r="O35" i="87" s="1"/>
  <c r="O37" i="87" s="1"/>
  <c r="R28" i="86"/>
  <c r="O36" i="86" s="1"/>
  <c r="L29" i="86"/>
  <c r="L31" i="86" s="1"/>
  <c r="P28" i="86"/>
  <c r="P30" i="86" s="1"/>
  <c r="N23" i="86"/>
  <c r="N29" i="86" s="1"/>
  <c r="M36" i="86" s="1"/>
  <c r="R12" i="86"/>
  <c r="R13" i="86"/>
  <c r="R11" i="86"/>
  <c r="R15" i="86" s="1"/>
  <c r="N36" i="86" s="1"/>
  <c r="N17" i="86"/>
  <c r="L36" i="86" s="1"/>
  <c r="E13" i="86"/>
  <c r="E31" i="86" s="1"/>
  <c r="E32" i="86" s="1"/>
  <c r="G33" i="86"/>
  <c r="I36" i="86"/>
  <c r="G35" i="86"/>
  <c r="E12" i="86"/>
  <c r="I34" i="86"/>
  <c r="H66" i="41"/>
  <c r="F66" i="41"/>
  <c r="H65" i="41"/>
  <c r="F65" i="41"/>
  <c r="H14" i="87" l="1"/>
  <c r="H39" i="87" s="1"/>
  <c r="N35" i="87" s="1"/>
  <c r="N37" i="87" s="1"/>
  <c r="E14" i="86"/>
  <c r="E39" i="87"/>
  <c r="E42" i="87" s="1"/>
  <c r="P36" i="93"/>
  <c r="F74" i="39"/>
  <c r="M39" i="93"/>
  <c r="N37" i="92"/>
  <c r="O39" i="92"/>
  <c r="A73" i="39"/>
  <c r="P35" i="90"/>
  <c r="M39" i="90"/>
  <c r="N37" i="89"/>
  <c r="P35" i="89"/>
  <c r="M39" i="89"/>
  <c r="I8" i="88"/>
  <c r="I32" i="88" s="1"/>
  <c r="I39" i="88" s="1"/>
  <c r="O35" i="88" s="1"/>
  <c r="O37" i="88" s="1"/>
  <c r="G32" i="88"/>
  <c r="G39" i="88" s="1"/>
  <c r="G69" i="39"/>
  <c r="E42" i="88"/>
  <c r="M28" i="88"/>
  <c r="N28" i="88" s="1"/>
  <c r="N27" i="88"/>
  <c r="R15" i="88"/>
  <c r="N36" i="88" s="1"/>
  <c r="N37" i="88" s="1"/>
  <c r="G32" i="87"/>
  <c r="G39" i="87" s="1"/>
  <c r="M35" i="87" s="1"/>
  <c r="M37" i="87" s="1"/>
  <c r="P36" i="87"/>
  <c r="G8" i="86"/>
  <c r="I8" i="86" s="1"/>
  <c r="I32" i="86" s="1"/>
  <c r="I39" i="86" s="1"/>
  <c r="O35" i="86" s="1"/>
  <c r="O37" i="86" s="1"/>
  <c r="P36" i="86"/>
  <c r="E37" i="86"/>
  <c r="E39" i="86" s="1"/>
  <c r="H14" i="86"/>
  <c r="H39" i="86" s="1"/>
  <c r="N35" i="86" s="1"/>
  <c r="N37" i="86" s="1"/>
  <c r="F14" i="86"/>
  <c r="F39" i="86" s="1"/>
  <c r="L35" i="86" s="1"/>
  <c r="L37" i="86" s="1"/>
  <c r="G67" i="39" s="1"/>
  <c r="F64" i="41"/>
  <c r="F63" i="41"/>
  <c r="A74" i="39" l="1"/>
  <c r="O39" i="89"/>
  <c r="M35" i="88"/>
  <c r="P35" i="88" s="1"/>
  <c r="O39" i="88"/>
  <c r="N29" i="88"/>
  <c r="M36" i="88" s="1"/>
  <c r="M39" i="87"/>
  <c r="F68" i="39"/>
  <c r="O39" i="87"/>
  <c r="P35" i="87"/>
  <c r="G32" i="86"/>
  <c r="G39" i="86" s="1"/>
  <c r="M35" i="86" s="1"/>
  <c r="M37" i="86" s="1"/>
  <c r="F67" i="39" s="1"/>
  <c r="O39" i="86"/>
  <c r="E42" i="86"/>
  <c r="A75" i="39" l="1"/>
  <c r="A76" i="39" s="1"/>
  <c r="A77" i="39" s="1"/>
  <c r="A78" i="39" s="1"/>
  <c r="P36" i="88"/>
  <c r="P35" i="86"/>
  <c r="M39" i="86"/>
  <c r="F62" i="41"/>
  <c r="F61" i="41"/>
  <c r="M37" i="88" l="1"/>
  <c r="F60" i="41"/>
  <c r="F59" i="41"/>
  <c r="F58" i="41"/>
  <c r="F69" i="39" l="1"/>
  <c r="M39" i="88"/>
  <c r="F57" i="41"/>
  <c r="F56" i="41" l="1"/>
  <c r="K55" i="41" l="1"/>
  <c r="F55" i="41"/>
  <c r="H55" i="41" s="1"/>
  <c r="D79" i="41" l="1"/>
  <c r="N64" i="41"/>
  <c r="K64" i="41"/>
  <c r="H64" i="41"/>
  <c r="N63" i="41"/>
  <c r="K63" i="41"/>
  <c r="H63" i="41"/>
  <c r="N62" i="41"/>
  <c r="K62" i="41"/>
  <c r="H62" i="41"/>
  <c r="N61" i="41"/>
  <c r="K61" i="41"/>
  <c r="H61" i="41"/>
  <c r="N60" i="41"/>
  <c r="K60" i="41"/>
  <c r="H60" i="41"/>
  <c r="N59" i="41"/>
  <c r="K59" i="41"/>
  <c r="H59" i="41"/>
  <c r="N58" i="41"/>
  <c r="K58" i="41"/>
  <c r="H58" i="41"/>
  <c r="N57" i="41"/>
  <c r="K57" i="41"/>
  <c r="H57" i="41"/>
  <c r="N56" i="41"/>
  <c r="K56" i="41"/>
  <c r="H56" i="41"/>
  <c r="N55" i="41"/>
  <c r="E43" i="41"/>
  <c r="A56" i="39" l="1"/>
  <c r="A57" i="39" l="1"/>
  <c r="H54" i="41"/>
  <c r="A58" i="39" l="1"/>
  <c r="F54" i="41"/>
  <c r="A59" i="39" l="1"/>
  <c r="A60" i="39" l="1"/>
  <c r="A61" i="39" l="1"/>
  <c r="H53" i="41"/>
  <c r="A62" i="39" l="1"/>
  <c r="F53" i="41"/>
  <c r="A63" i="39" l="1"/>
  <c r="F52" i="41"/>
  <c r="A64" i="39" l="1"/>
  <c r="F51" i="41"/>
  <c r="A65" i="39" l="1"/>
  <c r="F50" i="41"/>
  <c r="A66" i="39" l="1"/>
  <c r="F49" i="41" l="1"/>
  <c r="F48" i="41" l="1"/>
  <c r="F47" i="41" l="1"/>
  <c r="F46" i="41" l="1"/>
  <c r="F45" i="41" l="1"/>
  <c r="F44" i="41" l="1"/>
  <c r="F43" i="41" l="1"/>
  <c r="N52" i="41" l="1"/>
  <c r="K52" i="41"/>
  <c r="H52" i="41"/>
  <c r="N51" i="41"/>
  <c r="K51" i="41"/>
  <c r="H51" i="41"/>
  <c r="N50" i="41"/>
  <c r="K50" i="41"/>
  <c r="H50" i="41"/>
  <c r="N49" i="41"/>
  <c r="K49" i="41"/>
  <c r="H49" i="41"/>
  <c r="N48" i="41"/>
  <c r="K48" i="41"/>
  <c r="H48" i="41"/>
  <c r="N47" i="41"/>
  <c r="K47" i="41"/>
  <c r="H47" i="41"/>
  <c r="N46" i="41"/>
  <c r="K46" i="41"/>
  <c r="H46" i="41"/>
  <c r="N45" i="41"/>
  <c r="K45" i="41"/>
  <c r="H45" i="41"/>
  <c r="N44" i="41"/>
  <c r="K44" i="41"/>
  <c r="H44" i="41"/>
  <c r="N43" i="41"/>
  <c r="N79" i="41" s="1"/>
  <c r="K43" i="41"/>
  <c r="H43" i="41"/>
  <c r="A44" i="39"/>
  <c r="H87" i="41" l="1"/>
  <c r="A45" i="39"/>
  <c r="A46" i="39" l="1"/>
  <c r="A47" i="39" l="1"/>
  <c r="A48" i="39" l="1"/>
  <c r="A49" i="39" l="1"/>
  <c r="A50" i="39" l="1"/>
  <c r="A51" i="39" l="1"/>
  <c r="A52" i="39" l="1"/>
  <c r="A53" i="39" l="1"/>
  <c r="A54" i="39" l="1"/>
  <c r="D79" i="39" l="1"/>
  <c r="F79" i="39"/>
  <c r="G79" i="39"/>
  <c r="I87" i="41"/>
  <c r="E87" i="39" l="1"/>
  <c r="F87" i="39"/>
  <c r="E43" i="39" l="1"/>
  <c r="H43" i="39" s="1"/>
  <c r="O43" i="41" l="1"/>
  <c r="I43" i="39"/>
  <c r="L43" i="39" l="1"/>
  <c r="E44" i="39"/>
  <c r="H44" i="39" s="1"/>
  <c r="P43" i="41"/>
  <c r="E44" i="41" s="1"/>
  <c r="O44" i="41" s="1"/>
  <c r="P44" i="41" s="1"/>
  <c r="S43" i="41"/>
  <c r="S44" i="41" l="1"/>
  <c r="E45" i="41"/>
  <c r="I44" i="39"/>
  <c r="O45" i="41"/>
  <c r="P45" i="41" s="1"/>
  <c r="S45" i="41" l="1"/>
  <c r="E46" i="41"/>
  <c r="L44" i="39"/>
  <c r="E45" i="39"/>
  <c r="H45" i="39" s="1"/>
  <c r="O46" i="41"/>
  <c r="P46" i="41" s="1"/>
  <c r="E47" i="41" s="1"/>
  <c r="S46" i="41" l="1"/>
  <c r="I45" i="39"/>
  <c r="L45" i="39" l="1"/>
  <c r="E46" i="39"/>
  <c r="H46" i="39" s="1"/>
  <c r="I46" i="39" l="1"/>
  <c r="E47" i="39" s="1"/>
  <c r="L46" i="39" l="1"/>
  <c r="H47" i="39" l="1"/>
  <c r="I47" i="39" s="1"/>
  <c r="O47" i="41"/>
  <c r="P47" i="41" s="1"/>
  <c r="S47" i="41" l="1"/>
  <c r="E48" i="41"/>
  <c r="L47" i="39"/>
  <c r="E48" i="39"/>
  <c r="H48" i="39" l="1"/>
  <c r="I48" i="39" s="1"/>
  <c r="O48" i="41"/>
  <c r="P48" i="41" s="1"/>
  <c r="S48" i="41" l="1"/>
  <c r="E49" i="41"/>
  <c r="E49" i="39"/>
  <c r="L48" i="39"/>
  <c r="O49" i="41" l="1"/>
  <c r="P49" i="41" s="1"/>
  <c r="H49" i="39"/>
  <c r="I49" i="39" s="1"/>
  <c r="E50" i="39" l="1"/>
  <c r="L49" i="39"/>
  <c r="S49" i="41"/>
  <c r="E50" i="41"/>
  <c r="O50" i="41" l="1"/>
  <c r="P50" i="41"/>
  <c r="H50" i="39"/>
  <c r="I50" i="39" s="1"/>
  <c r="L50" i="39" l="1"/>
  <c r="E51" i="39"/>
  <c r="E51" i="41"/>
  <c r="S50" i="41"/>
  <c r="O51" i="41" l="1"/>
  <c r="P51" i="41" s="1"/>
  <c r="H51" i="39"/>
  <c r="I51" i="39" s="1"/>
  <c r="L51" i="39" l="1"/>
  <c r="E52" i="39"/>
  <c r="S51" i="41"/>
  <c r="E52" i="41"/>
  <c r="H52" i="39" l="1"/>
  <c r="I52" i="39" s="1"/>
  <c r="O52" i="41"/>
  <c r="P52" i="41" s="1"/>
  <c r="S52" i="41" l="1"/>
  <c r="D53" i="39"/>
  <c r="C53" i="41" s="1"/>
  <c r="E53" i="41" s="1"/>
  <c r="E53" i="39"/>
  <c r="L52" i="39"/>
  <c r="O53" i="41" l="1"/>
  <c r="P53" i="41"/>
  <c r="H53" i="39"/>
  <c r="I53" i="39"/>
  <c r="L53" i="39" l="1"/>
  <c r="E54" i="39"/>
  <c r="S53" i="41"/>
  <c r="E54" i="41"/>
  <c r="O54" i="41" l="1"/>
  <c r="P54" i="41" s="1"/>
  <c r="H54" i="39"/>
  <c r="I54" i="39" s="1"/>
  <c r="L54" i="39" l="1"/>
  <c r="E55" i="39"/>
  <c r="E55" i="41"/>
  <c r="S54" i="41"/>
  <c r="O55" i="41" l="1"/>
  <c r="P55" i="41" s="1"/>
  <c r="H55" i="39"/>
  <c r="I55" i="39"/>
  <c r="S55" i="41" l="1"/>
  <c r="E56" i="41"/>
  <c r="L55" i="39"/>
  <c r="E56" i="39"/>
  <c r="H56" i="39" l="1"/>
  <c r="I56" i="39" s="1"/>
  <c r="O56" i="41"/>
  <c r="P56" i="41" s="1"/>
  <c r="S56" i="41" l="1"/>
  <c r="E57" i="41"/>
  <c r="L56" i="39"/>
  <c r="E57" i="39"/>
  <c r="H57" i="39" l="1"/>
  <c r="I57" i="39" s="1"/>
  <c r="O57" i="41"/>
  <c r="P57" i="41"/>
  <c r="L57" i="39" l="1"/>
  <c r="E58" i="39"/>
  <c r="S57" i="41"/>
  <c r="E58" i="41"/>
  <c r="O58" i="41" l="1"/>
  <c r="P58" i="41" s="1"/>
  <c r="H58" i="39"/>
  <c r="I58" i="39" s="1"/>
  <c r="L58" i="39" l="1"/>
  <c r="E59" i="39"/>
  <c r="S58" i="41"/>
  <c r="E59" i="41"/>
  <c r="O59" i="41" l="1"/>
  <c r="P59" i="41" s="1"/>
  <c r="H59" i="39"/>
  <c r="I59" i="39" s="1"/>
  <c r="L59" i="39" l="1"/>
  <c r="E60" i="39"/>
  <c r="S59" i="41"/>
  <c r="E60" i="41"/>
  <c r="H60" i="39" l="1"/>
  <c r="I60" i="39" s="1"/>
  <c r="O60" i="41"/>
  <c r="P60" i="41" s="1"/>
  <c r="E61" i="41" l="1"/>
  <c r="S60" i="41"/>
  <c r="E61" i="39"/>
  <c r="L60" i="39"/>
  <c r="H61" i="39" l="1"/>
  <c r="I61" i="39" s="1"/>
  <c r="O61" i="41"/>
  <c r="P61" i="41" s="1"/>
  <c r="S61" i="41" l="1"/>
  <c r="E62" i="41"/>
  <c r="L61" i="39"/>
  <c r="E62" i="39"/>
  <c r="H62" i="39" l="1"/>
  <c r="I62" i="39" s="1"/>
  <c r="O62" i="41"/>
  <c r="P62" i="41" s="1"/>
  <c r="E63" i="41" l="1"/>
  <c r="S62" i="41"/>
  <c r="L62" i="39"/>
  <c r="E63" i="39"/>
  <c r="H63" i="39" l="1"/>
  <c r="I63" i="39" s="1"/>
  <c r="O63" i="41"/>
  <c r="P63" i="41" s="1"/>
  <c r="E64" i="41" l="1"/>
  <c r="S63" i="41"/>
  <c r="L63" i="39"/>
  <c r="E64" i="39"/>
  <c r="H64" i="39" l="1"/>
  <c r="I64" i="39" s="1"/>
  <c r="O64" i="41"/>
  <c r="P64" i="41" s="1"/>
  <c r="S64" i="41" l="1"/>
  <c r="L64" i="39"/>
  <c r="D65" i="39"/>
  <c r="C65" i="41" s="1"/>
  <c r="E65" i="41" s="1"/>
  <c r="E65" i="39" l="1"/>
  <c r="O65" i="41"/>
  <c r="P65" i="41" s="1"/>
  <c r="H65" i="39"/>
  <c r="I65" i="39" s="1"/>
  <c r="L65" i="39" l="1"/>
  <c r="E66" i="39"/>
  <c r="S65" i="41"/>
  <c r="E66" i="41"/>
  <c r="O66" i="41" l="1"/>
  <c r="P66" i="41" s="1"/>
  <c r="H66" i="39"/>
  <c r="I66" i="39" s="1"/>
  <c r="E67" i="39" l="1"/>
  <c r="L66" i="39"/>
  <c r="S66" i="41"/>
  <c r="E67" i="41"/>
  <c r="O67" i="41" l="1"/>
  <c r="P67" i="41" s="1"/>
  <c r="H67" i="39"/>
  <c r="I67" i="39" s="1"/>
  <c r="L67" i="39" l="1"/>
  <c r="E68" i="39"/>
  <c r="S67" i="41"/>
  <c r="E68" i="41"/>
  <c r="O68" i="41" l="1"/>
  <c r="P68" i="41"/>
  <c r="H68" i="39"/>
  <c r="I68" i="39" s="1"/>
  <c r="E69" i="39" l="1"/>
  <c r="L68" i="39"/>
  <c r="E69" i="41"/>
  <c r="S68" i="41"/>
  <c r="O69" i="41" l="1"/>
  <c r="H69" i="39"/>
  <c r="I69" i="39" l="1"/>
  <c r="P69" i="41"/>
  <c r="S69" i="41" l="1"/>
  <c r="E70" i="41"/>
  <c r="E70" i="39"/>
  <c r="L69" i="39"/>
  <c r="H70" i="39" l="1"/>
  <c r="O70" i="41"/>
  <c r="P70" i="41" l="1"/>
  <c r="I70" i="39"/>
  <c r="E71" i="41" l="1"/>
  <c r="O71" i="41" s="1"/>
  <c r="S70" i="41"/>
  <c r="E71" i="39"/>
  <c r="H71" i="39" s="1"/>
  <c r="L70" i="39"/>
  <c r="I71" i="39" l="1"/>
  <c r="P71" i="41"/>
  <c r="E72" i="39" l="1"/>
  <c r="H72" i="39" s="1"/>
  <c r="L71" i="39"/>
  <c r="E72" i="41"/>
  <c r="O72" i="41" s="1"/>
  <c r="S71" i="41"/>
  <c r="I72" i="39" l="1"/>
  <c r="P72" i="41"/>
  <c r="E73" i="39" l="1"/>
  <c r="H73" i="39" s="1"/>
  <c r="L72" i="39"/>
  <c r="E73" i="41"/>
  <c r="O73" i="41" s="1"/>
  <c r="S72" i="41"/>
  <c r="P73" i="41" l="1"/>
  <c r="I73" i="39"/>
  <c r="E74" i="41" l="1"/>
  <c r="O74" i="41" s="1"/>
  <c r="S73" i="41"/>
  <c r="E74" i="39"/>
  <c r="L73" i="39"/>
  <c r="H74" i="39" l="1"/>
  <c r="I74" i="39" s="1"/>
  <c r="H79" i="39"/>
  <c r="P74" i="41"/>
  <c r="O79" i="41"/>
  <c r="E75" i="41" l="1"/>
  <c r="O75" i="41" s="1"/>
  <c r="P75" i="41" s="1"/>
  <c r="E76" i="41" s="1"/>
  <c r="O76" i="41" s="1"/>
  <c r="P76" i="41" s="1"/>
  <c r="E77" i="41" s="1"/>
  <c r="O77" i="41" s="1"/>
  <c r="P77" i="41" s="1"/>
  <c r="E78" i="41" s="1"/>
  <c r="O78" i="41" s="1"/>
  <c r="P78" i="41" s="1"/>
  <c r="S74" i="41"/>
  <c r="E75" i="39"/>
  <c r="H75" i="39" s="1"/>
  <c r="I75" i="39" s="1"/>
  <c r="E76" i="39" s="1"/>
  <c r="H76" i="39" s="1"/>
  <c r="I76" i="39" s="1"/>
  <c r="E77" i="39" s="1"/>
  <c r="H77" i="39" s="1"/>
  <c r="I77" i="39" s="1"/>
  <c r="E78" i="39" s="1"/>
  <c r="H78" i="39" s="1"/>
  <c r="I78" i="39" s="1"/>
  <c r="L74" i="39"/>
  <c r="E86" i="39"/>
  <c r="F86" i="39"/>
  <c r="I86" i="41"/>
  <c r="I84" i="41"/>
  <c r="H86" i="41"/>
  <c r="H85" i="41"/>
  <c r="F84" i="39"/>
  <c r="E85" i="39"/>
  <c r="I89" i="41" l="1"/>
  <c r="E47" i="93"/>
  <c r="F47" i="93" s="1"/>
  <c r="E47" i="92"/>
  <c r="F47" i="92" s="1"/>
  <c r="F89" i="39"/>
  <c r="E47" i="91"/>
  <c r="F47" i="91" s="1"/>
  <c r="E47" i="88"/>
  <c r="F47" i="88" s="1"/>
  <c r="E47" i="87"/>
  <c r="F47" i="87" s="1"/>
  <c r="E47" i="90"/>
  <c r="F47" i="90" s="1"/>
  <c r="E47" i="86"/>
  <c r="F47" i="86" s="1"/>
  <c r="E47" i="89"/>
  <c r="F47" i="8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B58C20AF-FC2C-41B1-8867-E38AB068335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B706234-49DE-4184-AD5C-E353CE0E6B33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D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true up of large customer refund from 201712
</t>
        </r>
      </text>
    </comment>
    <comment ref="C29" authorId="0" shapeId="0" xr:uid="{5BA9E4AA-503F-45E9-8789-3FEE6FEF873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S29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Interest calc error on Large Customer Refund.
Corrected in 202003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1" authorId="0" shapeId="0" xr:uid="{965F01AF-BD70-4694-986E-758B15AE2CEB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plugged .02 to clean up rounding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79C2CDA-A763-4FAF-899D-DB66DE9BC4E8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6F964CE-9DA4-4A94-A7AF-8F1F3D39F4B2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090C5FCE-29CF-43EB-8B1F-D9C6955E192E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007DE7B2-4DBE-42A5-9697-843A292E9AB5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1FDC140-E595-4C3E-A8EF-32E4B57585D1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DDDE0B97-7FA5-47EC-BAE3-D02C81A4E8C9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265819D5-9CC1-41C7-83D9-B2D94F253D90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75A95EB-D2D5-45D7-A383-3424816D5F7B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3AC3A819-F678-47C5-A34A-8B9D95BC3C0B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B02A5A18-4AB0-4F90-B55A-99D4F7FD5CE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AFF418B8-47E7-4230-8BFF-6CC82C450634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F290AD43-6A97-4F8A-8BD3-BC53B157B7BD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MGG9990</author>
    <author>KM</author>
  </authors>
  <commentList>
    <comment ref="F8" authorId="0" shapeId="0" xr:uid="{F8F2BA8F-C8EA-4E15-9442-C26352927896}">
      <text>
        <r>
          <rPr>
            <sz val="14"/>
            <color indexed="81"/>
            <rFont val="Tahoma"/>
            <family val="2"/>
          </rPr>
          <t xml:space="preserve">Updated once per year; email (5 Day Peak Allocator) to be provided by rates with a memo on the allocation %. 
</t>
        </r>
        <r>
          <rPr>
            <b/>
            <sz val="14"/>
            <color indexed="81"/>
            <rFont val="Tahoma"/>
            <family val="2"/>
          </rPr>
          <t>UPDATED AS OF 11/1/2022</t>
        </r>
      </text>
    </comment>
    <comment ref="K37" authorId="1" shapeId="0" xr:uid="{E29AC32F-BF8E-492F-9E82-3CE2E1A816AC}">
      <text>
        <r>
          <rPr>
            <b/>
            <sz val="9"/>
            <color indexed="81"/>
            <rFont val="Tahoma"/>
            <family val="2"/>
          </rPr>
          <t>(over collected) / under collected
(rebate) / surcharge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KM</author>
  </authors>
  <commentList>
    <comment ref="L2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L2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3" authorId="0" shapeId="0" xr:uid="{5AA0670E-CC82-4599-B9B1-ECA56FAF8854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2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4" authorId="0" shapeId="0" xr:uid="{4A9A844C-BC62-4559-91FC-03893ACE70A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24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5" authorId="0" shapeId="0" xr:uid="{AB97AE2E-5CD3-4018-B365-A554A1AE399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25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6" authorId="0" shapeId="0" xr:uid="{F8DDF11C-CFA8-41E0-86D6-6BE3A5E7EC7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L26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Mar tab inadvertantly had plugged cells instead of calculated. Discovered and fixed in Sept
</t>
        </r>
      </text>
    </comment>
    <comment ref="G27" authorId="0" shapeId="0" xr:uid="{58D28E05-B647-4271-93B7-5425E1DFD577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G28" authorId="0" shapeId="0" xr:uid="{56E87D7C-D4DC-4C3E-9BC8-CA4074276361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D29" authorId="0" shapeId="0" xr:uid="{7DB3A522-A52D-46C8-BD2C-35DEC2F8A6F0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9.30.20 discovered 5-day peak allocation percentages between WA/ID were incorrect for 201905-201910. Correction entered on 202009 JE</t>
        </r>
      </text>
    </comment>
    <comment ref="D65" authorId="0" shapeId="0" xr:uid="{167A6031-955A-4645-ABBA-CDB00740D8AF}">
      <text>
        <r>
          <rPr>
            <b/>
            <sz val="9"/>
            <color indexed="81"/>
            <rFont val="Tahoma"/>
            <family val="2"/>
          </rPr>
          <t>KM:</t>
        </r>
        <r>
          <rPr>
            <sz val="9"/>
            <color indexed="81"/>
            <rFont val="Tahoma"/>
            <family val="2"/>
          </rPr>
          <t xml:space="preserve">
per phone call w/Marcus G. 11.11.22 - transfer balance as of end of October for both WA and ID</t>
        </r>
      </text>
    </comment>
  </commentList>
</comments>
</file>

<file path=xl/sharedStrings.xml><?xml version="1.0" encoding="utf-8"?>
<sst xmlns="http://schemas.openxmlformats.org/spreadsheetml/2006/main" count="1350" uniqueCount="207">
  <si>
    <t>State of Washington</t>
  </si>
  <si>
    <t>Commodity</t>
  </si>
  <si>
    <t>Demand</t>
  </si>
  <si>
    <t>Interest</t>
  </si>
  <si>
    <t>Avista Corporation</t>
  </si>
  <si>
    <t>Amortization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</si>
  <si>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</si>
  <si>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</si>
  <si>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</si>
  <si>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</si>
  <si>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</si>
  <si>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</si>
  <si>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</si>
  <si>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131</t>
  </si>
  <si>
    <t>Schedule 132</t>
  </si>
  <si>
    <t>Ending Balance</t>
  </si>
  <si>
    <t>Idaho</t>
  </si>
  <si>
    <t xml:space="preserve">Total </t>
  </si>
  <si>
    <t>Expense Calculation</t>
  </si>
  <si>
    <t>Deferral Calculation</t>
  </si>
  <si>
    <t>Schedule 146</t>
  </si>
  <si>
    <t>Interest Income</t>
  </si>
  <si>
    <t>Volumes</t>
  </si>
  <si>
    <t>check</t>
  </si>
  <si>
    <t xml:space="preserve">Balance Sheet </t>
  </si>
  <si>
    <t>less variable costs charged to Commodity</t>
  </si>
  <si>
    <t>plus variable costs from Demand</t>
  </si>
  <si>
    <t>Total Commodity Costs to be Allocated</t>
  </si>
  <si>
    <t>DEMAND</t>
  </si>
  <si>
    <t xml:space="preserve">Total Demand </t>
  </si>
  <si>
    <t>COMMODITY</t>
  </si>
  <si>
    <t>Total Commodity</t>
  </si>
  <si>
    <t>WASHINGTON</t>
  </si>
  <si>
    <t>IDAHO</t>
  </si>
  <si>
    <t>Check</t>
  </si>
  <si>
    <t>Def Rev Calc</t>
  </si>
  <si>
    <t>WA Total</t>
  </si>
  <si>
    <t>ID Total</t>
  </si>
  <si>
    <t>Debits</t>
  </si>
  <si>
    <t>Credits</t>
  </si>
  <si>
    <t>Beginning Balance</t>
  </si>
  <si>
    <t>Interest Rate</t>
  </si>
  <si>
    <t>Schedule 102</t>
  </si>
  <si>
    <t>Month Ending</t>
  </si>
  <si>
    <t>GL WAND BALANCES</t>
  </si>
  <si>
    <t>MONTHLY RECON</t>
  </si>
  <si>
    <t>201801</t>
  </si>
  <si>
    <t>201802</t>
  </si>
  <si>
    <t>201803</t>
  </si>
  <si>
    <t>Accounts 191000</t>
  </si>
  <si>
    <t>Annual xfer of balance per PGA to 191000</t>
  </si>
  <si>
    <t>201804</t>
  </si>
  <si>
    <t>201805</t>
  </si>
  <si>
    <t>201806</t>
  </si>
  <si>
    <t>201905</t>
  </si>
  <si>
    <t>Amort</t>
  </si>
  <si>
    <t>THIS ROW USED TO CALC JET ENTRY</t>
  </si>
  <si>
    <t>UPDATE DATE MONTHLY TO CALC JET ENTRY</t>
  </si>
  <si>
    <t>JET ENTRY:</t>
  </si>
  <si>
    <t>DR</t>
  </si>
  <si>
    <t>CR</t>
  </si>
  <si>
    <t>419600.GD.WA</t>
  </si>
  <si>
    <t>431600.GD.WA</t>
  </si>
  <si>
    <t>191010.GD.WA</t>
  </si>
  <si>
    <t>805120.GD.WA</t>
  </si>
  <si>
    <t>Interest Expense</t>
  </si>
  <si>
    <t>Deferral Expense</t>
  </si>
  <si>
    <t>201812</t>
  </si>
  <si>
    <t>A</t>
  </si>
  <si>
    <t>B</t>
  </si>
  <si>
    <t>C</t>
  </si>
  <si>
    <t>A+B+C</t>
  </si>
  <si>
    <t>(A+B)</t>
  </si>
  <si>
    <t>check s/b 0</t>
  </si>
  <si>
    <t>201807</t>
  </si>
  <si>
    <t>201808</t>
  </si>
  <si>
    <t>201809</t>
  </si>
  <si>
    <t>201810</t>
  </si>
  <si>
    <t>201811</t>
  </si>
  <si>
    <t>xferred 201807-201910 per PGA</t>
  </si>
  <si>
    <t>xferred 201707-201806 per PGA</t>
  </si>
  <si>
    <t>NOVEMBER ENTRY TO XFER BALANCES:</t>
  </si>
  <si>
    <t>D</t>
  </si>
  <si>
    <t>191000.GD.WA</t>
  </si>
  <si>
    <t>Annual xfer of balance per PGA from 191010</t>
  </si>
  <si>
    <t>Amort Rate</t>
  </si>
  <si>
    <t>pro-rated</t>
  </si>
  <si>
    <t>Annual Large Customer Refund</t>
  </si>
  <si>
    <t>201901</t>
  </si>
  <si>
    <t>201902</t>
  </si>
  <si>
    <t>201903</t>
  </si>
  <si>
    <t>201904</t>
  </si>
  <si>
    <t>201906</t>
  </si>
  <si>
    <t>201907</t>
  </si>
  <si>
    <t>201908</t>
  </si>
  <si>
    <t>201909</t>
  </si>
  <si>
    <t>201910</t>
  </si>
  <si>
    <t>201911</t>
  </si>
  <si>
    <t>201912</t>
  </si>
  <si>
    <t>805110.GD.WA</t>
  </si>
  <si>
    <t>A+B</t>
  </si>
  <si>
    <t>Amort Expense</t>
  </si>
  <si>
    <t>Schedule 101/102 Volumes</t>
  </si>
  <si>
    <t>Schedule 111 Volumes</t>
  </si>
  <si>
    <t>Schedule 121 Volumes</t>
  </si>
  <si>
    <t>Current Unrecovered PGA Deferral</t>
  </si>
  <si>
    <t>Account 191010</t>
  </si>
  <si>
    <t>Recoverable Gas Costs Amortized</t>
  </si>
  <si>
    <t>Demand+Comm Def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</si>
  <si>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</si>
  <si>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</si>
  <si>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</si>
  <si>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</si>
  <si>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</si>
  <si>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</si>
  <si>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</si>
  <si>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</si>
  <si>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</si>
  <si>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</si>
  <si>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</si>
  <si>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</si>
  <si>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(B)</t>
  </si>
  <si>
    <t>ID Entitlement Penalty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</si>
  <si>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</si>
  <si>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</si>
  <si>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</si>
  <si>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</si>
  <si>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</si>
  <si>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</si>
  <si>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</si>
  <si>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</si>
  <si>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</si>
  <si>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</si>
  <si>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</si>
  <si>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</si>
  <si>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WA Entitlement Penalty</t>
  </si>
  <si>
    <t>AN Entitlement Penalty</t>
  </si>
  <si>
    <t>GD.AN</t>
  </si>
  <si>
    <t>KEY:</t>
  </si>
  <si>
    <t>Manual Input</t>
  </si>
  <si>
    <t>GLWand</t>
  </si>
  <si>
    <t>Total Demand Costs</t>
  </si>
  <si>
    <t>GD.WA</t>
  </si>
  <si>
    <t>GD.ID</t>
  </si>
  <si>
    <t>WA Imbalance Costs</t>
  </si>
  <si>
    <t>ID Imbalance Costs</t>
  </si>
  <si>
    <t>Total Demand and Commodity</t>
  </si>
  <si>
    <t>check:</t>
  </si>
  <si>
    <t>JET Entry - check</t>
  </si>
  <si>
    <t>Deferral Expenses</t>
  </si>
  <si>
    <t>Total Deferred</t>
  </si>
  <si>
    <t>System Cost</t>
  </si>
  <si>
    <t>Deferral Revenue</t>
  </si>
  <si>
    <t>WASHINGTON / IDAHO GAS COSTS</t>
  </si>
  <si>
    <t>Total Current Demand Costs</t>
  </si>
  <si>
    <t>Total Commodity Costs</t>
  </si>
  <si>
    <t>Total per GL</t>
  </si>
  <si>
    <t>804%,808%,811000,483%,495028,495100</t>
  </si>
  <si>
    <t>Deferrals dependant on:</t>
  </si>
  <si>
    <t>NUC export - Gas costs</t>
  </si>
  <si>
    <t>DJ 404 - Realized FX G/L</t>
  </si>
  <si>
    <t>DJ 436 - Imbalances</t>
  </si>
  <si>
    <t>DJ 437 - GST (Qtrly)</t>
  </si>
  <si>
    <t>DJ 467 - Merchandise processing fees</t>
  </si>
  <si>
    <t>DJ 471 - Broker Fees</t>
  </si>
  <si>
    <t>DJ 476 - Mizuho/Wells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</si>
  <si>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</si>
  <si>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</si>
  <si>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</si>
  <si>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</si>
  <si>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</si>
  <si>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</si>
  <si>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</si>
  <si>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</si>
  <si>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</si>
  <si>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</si>
  <si>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</si>
  <si>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</si>
  <si>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NOVEMBER ENTRY - LARGE CUSTOMER TRUEUP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</si>
  <si>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</si>
  <si>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</si>
  <si>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</si>
  <si>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</si>
  <si>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</si>
  <si>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</si>
  <si>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</si>
  <si>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</si>
  <si>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</si>
  <si>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</si>
  <si>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</si>
  <si>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</si>
  <si>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$2.11 Jan demand rate decimal error - fixed in Feb</t>
  </si>
  <si>
    <t>GAS COSTS-COMMODITY</t>
  </si>
  <si>
    <t>GAS COSTS - FX HEDGE</t>
  </si>
  <si>
    <t>GAS COSTS-TRANSACTION FEE</t>
  </si>
  <si>
    <t>Gas Costs - Merchandise Processing Fee</t>
  </si>
  <si>
    <t>GAS PURCHASES - FINANCIAL</t>
  </si>
  <si>
    <t>GAS COSTS-INTRACO LDC GAS</t>
  </si>
  <si>
    <t>GAS STORAGE WITHDRAWALS</t>
  </si>
  <si>
    <t>GAS STORAGE INJECTIONS</t>
  </si>
  <si>
    <t>GAS USED FOR PRODUCTS EXTRACTION</t>
  </si>
  <si>
    <t>SALES FOR RESALE PHYSICAL-GAS</t>
  </si>
  <si>
    <t>SALES FOR RESALE-FINANCIAL GAS</t>
  </si>
  <si>
    <t>SALES FOR RESALE-INTRACO LDC GAS</t>
  </si>
  <si>
    <t>DEFERRED EXCHANGE RESERVATION FEE</t>
  </si>
  <si>
    <t>GAS COSTS-DEMAND</t>
  </si>
  <si>
    <t>TRANSPORT VARIABLE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</si>
</sst>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General_)"/>
    <numFmt numFmtId="167" formatCode="0_)"/>
    <numFmt numFmtId="168" formatCode="#,##0.00000_);\(#,##0.00000\)"/>
    <numFmt numFmtId="169" formatCode="#,##0.0000_);\(#,##0.0000\)"/>
    <numFmt numFmtId="170" formatCode="#,##0.0000_);[Red]\(#,##0.0000\)"/>
    <numFmt numFmtId="171" formatCode="&quot;$&quot;#,##0\ ;\(&quot;$&quot;#,##0\)"/>
    <numFmt numFmtId="172" formatCode="_(* #,##0_);_(* \(#,##0\);_(* &quot;-&quot;??_);_(@_)"/>
    <numFmt numFmtId="173" formatCode="_(* #,##0.00000_);_(* \(#,##0.00000\);_(* &quot;-&quot;?????_);_(@_)"/>
    <numFmt numFmtId="174" formatCode="_(&quot;$&quot;* #,##0.00000_);_(&quot;$&quot;* \(#,##0.00000\);_(&quot;$&quot;* &quot;-&quot;??_);_(@_)"/>
  </numFmts>
  <fonts count="54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  <font>
      <sz val="11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33CC"/>
      <name val="Calibri"/>
      <family val="2"/>
      <scheme val="minor"/>
    </font>
    <font>
      <i/>
      <sz val="12"/>
      <name val="Calibri"/>
      <family val="2"/>
      <scheme val="minor"/>
    </font>
    <font>
      <sz val="14"/>
      <color indexed="81"/>
      <name val="Tahoma"/>
      <family val="2"/>
    </font>
    <font>
      <b/>
      <sz val="10"/>
      <color rgb="FF0000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2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6">
    <xf numFmtId="39" fontId="0" fillId="0" borderId="0"/>
    <xf numFmtId="40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16" fillId="2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9" fontId="15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0" fillId="0" borderId="0"/>
    <xf numFmtId="0" fontId="21" fillId="0" borderId="0"/>
    <xf numFmtId="0" fontId="10" fillId="0" borderId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0" borderId="0"/>
    <xf numFmtId="0" fontId="22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39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1" fillId="0" borderId="0"/>
  </cellStyleXfs>
  <cellXfs count="298">
    <xf numFmtId="39" fontId="0" fillId="0" borderId="0" xfId="0"/>
    <xf numFmtId="39" fontId="12" fillId="0" borderId="0" xfId="0" applyFont="1" applyBorder="1"/>
    <xf numFmtId="39" fontId="12" fillId="0" borderId="0" xfId="0" applyFont="1" applyAlignment="1">
      <alignment horizontal="center"/>
    </xf>
    <xf numFmtId="39" fontId="12" fillId="0" borderId="0" xfId="0" applyFont="1" applyFill="1" applyBorder="1"/>
    <xf numFmtId="39" fontId="13" fillId="0" borderId="0" xfId="0" applyFont="1" applyFill="1" applyBorder="1"/>
    <xf numFmtId="39" fontId="13" fillId="0" borderId="2" xfId="0" applyFont="1" applyFill="1" applyBorder="1" applyAlignment="1">
      <alignment horizontal="center"/>
    </xf>
    <xf numFmtId="39" fontId="13" fillId="0" borderId="0" xfId="0" applyFont="1" applyBorder="1"/>
    <xf numFmtId="39" fontId="12" fillId="3" borderId="0" xfId="0" applyFont="1" applyFill="1"/>
    <xf numFmtId="39" fontId="12" fillId="0" borderId="0" xfId="0" applyFont="1" applyFill="1" applyBorder="1" applyAlignment="1">
      <alignment horizontal="right"/>
    </xf>
    <xf numFmtId="39" fontId="12" fillId="0" borderId="0" xfId="0" applyFont="1" applyFill="1" applyAlignment="1">
      <alignment horizontal="right"/>
    </xf>
    <xf numFmtId="39" fontId="12" fillId="0" borderId="0" xfId="0" applyFont="1" applyBorder="1" applyAlignment="1">
      <alignment horizontal="right"/>
    </xf>
    <xf numFmtId="39" fontId="12" fillId="0" borderId="8" xfId="0" applyFont="1" applyFill="1" applyBorder="1"/>
    <xf numFmtId="39" fontId="13" fillId="0" borderId="5" xfId="0" applyFont="1" applyFill="1" applyBorder="1" applyAlignment="1">
      <alignment horizontal="center"/>
    </xf>
    <xf numFmtId="39" fontId="12" fillId="0" borderId="2" xfId="0" applyFont="1" applyFill="1" applyBorder="1"/>
    <xf numFmtId="39" fontId="12" fillId="0" borderId="7" xfId="0" applyFont="1" applyFill="1" applyBorder="1"/>
    <xf numFmtId="39" fontId="12" fillId="0" borderId="7" xfId="0" applyFont="1" applyFill="1" applyBorder="1" applyAlignment="1">
      <alignment horizontal="left"/>
    </xf>
    <xf numFmtId="168" fontId="12" fillId="0" borderId="0" xfId="0" applyNumberFormat="1" applyFont="1" applyFill="1" applyBorder="1" applyAlignment="1" applyProtection="1">
      <alignment horizontal="left"/>
      <protection locked="0"/>
    </xf>
    <xf numFmtId="39" fontId="12" fillId="0" borderId="4" xfId="0" applyFont="1" applyFill="1" applyBorder="1" applyAlignment="1">
      <alignment horizontal="left"/>
    </xf>
    <xf numFmtId="168" fontId="12" fillId="0" borderId="5" xfId="0" applyNumberFormat="1" applyFont="1" applyFill="1" applyBorder="1" applyAlignment="1" applyProtection="1">
      <alignment horizontal="left"/>
      <protection locked="0"/>
    </xf>
    <xf numFmtId="8" fontId="12" fillId="0" borderId="0" xfId="2" applyFont="1" applyFill="1" applyBorder="1"/>
    <xf numFmtId="8" fontId="12" fillId="0" borderId="7" xfId="2" applyFont="1" applyFill="1" applyBorder="1"/>
    <xf numFmtId="165" fontId="12" fillId="0" borderId="0" xfId="4" applyNumberFormat="1" applyFont="1" applyFill="1" applyBorder="1"/>
    <xf numFmtId="44" fontId="13" fillId="0" borderId="15" xfId="2" applyNumberFormat="1" applyFont="1" applyFill="1" applyBorder="1"/>
    <xf numFmtId="8" fontId="12" fillId="0" borderId="8" xfId="2" applyFont="1" applyFill="1" applyBorder="1"/>
    <xf numFmtId="39" fontId="13" fillId="0" borderId="7" xfId="0" applyFont="1" applyFill="1" applyBorder="1" applyAlignment="1">
      <alignment horizontal="right"/>
    </xf>
    <xf numFmtId="39" fontId="12" fillId="0" borderId="7" xfId="0" applyFont="1" applyFill="1" applyBorder="1" applyAlignment="1">
      <alignment horizontal="right"/>
    </xf>
    <xf numFmtId="39" fontId="12" fillId="0" borderId="3" xfId="0" applyFont="1" applyFill="1" applyBorder="1"/>
    <xf numFmtId="0" fontId="12" fillId="0" borderId="0" xfId="0" applyNumberFormat="1" applyFont="1" applyFill="1" applyBorder="1" applyAlignment="1">
      <alignment horizontal="left"/>
    </xf>
    <xf numFmtId="38" fontId="12" fillId="0" borderId="0" xfId="1" applyNumberFormat="1" applyFont="1"/>
    <xf numFmtId="39" fontId="12" fillId="0" borderId="6" xfId="0" applyFont="1" applyBorder="1"/>
    <xf numFmtId="39" fontId="12" fillId="0" borderId="0" xfId="0" applyFont="1"/>
    <xf numFmtId="39" fontId="12" fillId="0" borderId="0" xfId="0" applyFont="1" applyFill="1"/>
    <xf numFmtId="0" fontId="1" fillId="0" borderId="0" xfId="137" applyFont="1"/>
    <xf numFmtId="0" fontId="1" fillId="0" borderId="0" xfId="137" applyFont="1" applyFill="1" applyBorder="1"/>
    <xf numFmtId="164" fontId="28" fillId="0" borderId="0" xfId="92" applyNumberFormat="1" applyFont="1" applyAlignment="1">
      <alignment horizontal="left"/>
    </xf>
    <xf numFmtId="0" fontId="29" fillId="0" borderId="0" xfId="92" applyFont="1"/>
    <xf numFmtId="39" fontId="29" fillId="0" borderId="0" xfId="136" applyFont="1" applyFill="1" applyBorder="1"/>
    <xf numFmtId="164" fontId="30" fillId="0" borderId="0" xfId="92" applyNumberFormat="1" applyFont="1" applyAlignment="1">
      <alignment horizontal="left"/>
    </xf>
    <xf numFmtId="0" fontId="26" fillId="0" borderId="0" xfId="92" applyFont="1"/>
    <xf numFmtId="39" fontId="26" fillId="0" borderId="0" xfId="136" applyFont="1" applyFill="1" applyBorder="1"/>
    <xf numFmtId="0" fontId="29" fillId="0" borderId="0" xfId="137" applyFont="1"/>
    <xf numFmtId="0" fontId="27" fillId="0" borderId="19" xfId="137" applyFont="1" applyBorder="1" applyAlignment="1">
      <alignment horizontal="center" wrapText="1"/>
    </xf>
    <xf numFmtId="0" fontId="27" fillId="0" borderId="18" xfId="137" applyFont="1" applyBorder="1" applyAlignment="1">
      <alignment horizontal="center" wrapText="1"/>
    </xf>
    <xf numFmtId="0" fontId="27" fillId="0" borderId="0" xfId="137" applyFont="1" applyFill="1" applyBorder="1" applyAlignment="1">
      <alignment horizontal="center" wrapText="1"/>
    </xf>
    <xf numFmtId="0" fontId="27" fillId="6" borderId="18" xfId="137" applyFont="1" applyFill="1" applyBorder="1" applyAlignment="1">
      <alignment horizontal="center" wrapText="1"/>
    </xf>
    <xf numFmtId="1" fontId="29" fillId="0" borderId="0" xfId="63" applyNumberFormat="1" applyFont="1" applyFill="1" applyBorder="1" applyAlignment="1">
      <alignment horizontal="left"/>
    </xf>
    <xf numFmtId="43" fontId="26" fillId="0" borderId="0" xfId="138" applyFont="1" applyFill="1" applyBorder="1"/>
    <xf numFmtId="0" fontId="26" fillId="0" borderId="0" xfId="137" applyFont="1" applyFill="1" applyBorder="1"/>
    <xf numFmtId="0" fontId="31" fillId="7" borderId="0" xfId="24" quotePrefix="1" applyFont="1" applyFill="1" applyBorder="1"/>
    <xf numFmtId="0" fontId="32" fillId="0" borderId="0" xfId="24" applyFont="1" applyFill="1" applyBorder="1"/>
    <xf numFmtId="0" fontId="26" fillId="0" borderId="0" xfId="24" applyFont="1" applyFill="1" applyBorder="1"/>
    <xf numFmtId="0" fontId="27" fillId="0" borderId="0" xfId="24" applyFont="1" applyFill="1" applyBorder="1"/>
    <xf numFmtId="1" fontId="26" fillId="0" borderId="18" xfId="63" applyNumberFormat="1" applyFont="1" applyFill="1" applyBorder="1" applyAlignment="1">
      <alignment horizontal="left"/>
    </xf>
    <xf numFmtId="40" fontId="26" fillId="8" borderId="18" xfId="1" applyFont="1" applyFill="1" applyBorder="1"/>
    <xf numFmtId="40" fontId="26" fillId="0" borderId="18" xfId="1" applyFont="1" applyFill="1" applyBorder="1"/>
    <xf numFmtId="0" fontId="34" fillId="0" borderId="0" xfId="137" applyFont="1"/>
    <xf numFmtId="0" fontId="34" fillId="0" borderId="0" xfId="137" applyFont="1" applyFill="1" applyBorder="1"/>
    <xf numFmtId="165" fontId="35" fillId="0" borderId="0" xfId="139" applyNumberFormat="1" applyFont="1" applyFill="1" applyBorder="1"/>
    <xf numFmtId="43" fontId="26" fillId="0" borderId="18" xfId="138" applyFont="1" applyFill="1" applyBorder="1"/>
    <xf numFmtId="43" fontId="35" fillId="0" borderId="0" xfId="138" applyFont="1" applyFill="1" applyBorder="1"/>
    <xf numFmtId="43" fontId="26" fillId="6" borderId="18" xfId="138" applyFont="1" applyFill="1" applyBorder="1"/>
    <xf numFmtId="43" fontId="27" fillId="6" borderId="18" xfId="138" applyFont="1" applyFill="1" applyBorder="1"/>
    <xf numFmtId="10" fontId="35" fillId="5" borderId="18" xfId="4" applyNumberFormat="1" applyFont="1" applyFill="1" applyBorder="1"/>
    <xf numFmtId="43" fontId="35" fillId="5" borderId="18" xfId="138" applyFont="1" applyFill="1" applyBorder="1"/>
    <xf numFmtId="10" fontId="35" fillId="5" borderId="22" xfId="4" applyNumberFormat="1" applyFont="1" applyFill="1" applyBorder="1"/>
    <xf numFmtId="43" fontId="35" fillId="5" borderId="22" xfId="138" applyFont="1" applyFill="1" applyBorder="1"/>
    <xf numFmtId="43" fontId="26" fillId="0" borderId="22" xfId="138" applyFont="1" applyFill="1" applyBorder="1"/>
    <xf numFmtId="43" fontId="26" fillId="6" borderId="22" xfId="138" applyFont="1" applyFill="1" applyBorder="1"/>
    <xf numFmtId="43" fontId="27" fillId="6" borderId="22" xfId="138" applyFont="1" applyFill="1" applyBorder="1"/>
    <xf numFmtId="43" fontId="36" fillId="0" borderId="0" xfId="9" applyFont="1" applyFill="1"/>
    <xf numFmtId="0" fontId="32" fillId="0" borderId="0" xfId="24" applyFont="1" applyFill="1"/>
    <xf numFmtId="0" fontId="34" fillId="0" borderId="0" xfId="137" applyFont="1" applyFill="1" applyBorder="1" applyAlignment="1">
      <alignment horizontal="right"/>
    </xf>
    <xf numFmtId="40" fontId="37" fillId="0" borderId="0" xfId="137" applyNumberFormat="1" applyFont="1"/>
    <xf numFmtId="0" fontId="37" fillId="0" borderId="0" xfId="137" applyFont="1"/>
    <xf numFmtId="0" fontId="34" fillId="0" borderId="0" xfId="137" applyFont="1" applyFill="1"/>
    <xf numFmtId="43" fontId="27" fillId="0" borderId="0" xfId="138" applyFont="1" applyFill="1" applyBorder="1"/>
    <xf numFmtId="0" fontId="1" fillId="0" borderId="0" xfId="137" applyFont="1" applyFill="1"/>
    <xf numFmtId="0" fontId="27" fillId="0" borderId="19" xfId="137" quotePrefix="1" applyFont="1" applyBorder="1" applyAlignment="1">
      <alignment horizontal="center" wrapText="1"/>
    </xf>
    <xf numFmtId="0" fontId="27" fillId="0" borderId="22" xfId="137" quotePrefix="1" applyFont="1" applyBorder="1" applyAlignment="1">
      <alignment horizontal="center" wrapText="1"/>
    </xf>
    <xf numFmtId="165" fontId="35" fillId="0" borderId="5" xfId="139" applyNumberFormat="1" applyFont="1" applyFill="1" applyBorder="1"/>
    <xf numFmtId="43" fontId="35" fillId="0" borderId="5" xfId="138" applyFont="1" applyFill="1" applyBorder="1"/>
    <xf numFmtId="0" fontId="27" fillId="0" borderId="20" xfId="137" quotePrefix="1" applyFont="1" applyBorder="1" applyAlignment="1">
      <alignment horizontal="center" wrapText="1"/>
    </xf>
    <xf numFmtId="10" fontId="35" fillId="5" borderId="21" xfId="4" applyNumberFormat="1" applyFont="1" applyFill="1" applyBorder="1"/>
    <xf numFmtId="43" fontId="35" fillId="5" borderId="21" xfId="138" applyFont="1" applyFill="1" applyBorder="1"/>
    <xf numFmtId="43" fontId="26" fillId="0" borderId="21" xfId="138" applyFont="1" applyFill="1" applyBorder="1"/>
    <xf numFmtId="43" fontId="26" fillId="6" borderId="21" xfId="138" applyFont="1" applyFill="1" applyBorder="1"/>
    <xf numFmtId="43" fontId="27" fillId="6" borderId="21" xfId="138" applyFont="1" applyFill="1" applyBorder="1"/>
    <xf numFmtId="10" fontId="35" fillId="5" borderId="23" xfId="4" applyNumberFormat="1" applyFont="1" applyFill="1" applyBorder="1"/>
    <xf numFmtId="43" fontId="35" fillId="5" borderId="23" xfId="138" applyFont="1" applyFill="1" applyBorder="1"/>
    <xf numFmtId="43" fontId="26" fillId="0" borderId="23" xfId="138" applyFont="1" applyFill="1" applyBorder="1"/>
    <xf numFmtId="1" fontId="26" fillId="0" borderId="18" xfId="24" applyNumberFormat="1" applyFont="1" applyFill="1" applyBorder="1" applyAlignment="1">
      <alignment horizontal="left"/>
    </xf>
    <xf numFmtId="43" fontId="26" fillId="0" borderId="18" xfId="9" applyFont="1" applyFill="1" applyBorder="1"/>
    <xf numFmtId="0" fontId="33" fillId="0" borderId="0" xfId="24" applyFont="1" applyFill="1"/>
    <xf numFmtId="14" fontId="27" fillId="0" borderId="18" xfId="137" quotePrefix="1" applyNumberFormat="1" applyFont="1" applyFill="1" applyBorder="1" applyAlignment="1">
      <alignment horizontal="right"/>
    </xf>
    <xf numFmtId="14" fontId="27" fillId="0" borderId="22" xfId="137" quotePrefix="1" applyNumberFormat="1" applyFont="1" applyFill="1" applyBorder="1" applyAlignment="1">
      <alignment horizontal="right"/>
    </xf>
    <xf numFmtId="14" fontId="27" fillId="0" borderId="21" xfId="137" quotePrefix="1" applyNumberFormat="1" applyFont="1" applyFill="1" applyBorder="1" applyAlignment="1">
      <alignment horizontal="right"/>
    </xf>
    <xf numFmtId="164" fontId="27" fillId="0" borderId="0" xfId="92" applyNumberFormat="1" applyFont="1" applyAlignment="1">
      <alignment horizontal="left"/>
    </xf>
    <xf numFmtId="0" fontId="26" fillId="0" borderId="0" xfId="137" applyFont="1"/>
    <xf numFmtId="43" fontId="26" fillId="0" borderId="0" xfId="137" applyNumberFormat="1" applyFont="1"/>
    <xf numFmtId="164" fontId="38" fillId="0" borderId="0" xfId="92" applyNumberFormat="1" applyFont="1" applyAlignment="1">
      <alignment horizontal="left"/>
    </xf>
    <xf numFmtId="10" fontId="35" fillId="5" borderId="21" xfId="139" applyNumberFormat="1" applyFont="1" applyFill="1" applyBorder="1"/>
    <xf numFmtId="168" fontId="39" fillId="5" borderId="21" xfId="145" applyNumberFormat="1" applyFont="1" applyFill="1" applyBorder="1" applyAlignment="1">
      <alignment horizontal="center"/>
    </xf>
    <xf numFmtId="43" fontId="26" fillId="0" borderId="24" xfId="138" applyFont="1" applyFill="1" applyBorder="1"/>
    <xf numFmtId="0" fontId="27" fillId="0" borderId="26" xfId="137" applyFont="1" applyBorder="1" applyAlignment="1">
      <alignment horizontal="center" wrapText="1"/>
    </xf>
    <xf numFmtId="0" fontId="27" fillId="0" borderId="27" xfId="137" applyFont="1" applyBorder="1" applyAlignment="1">
      <alignment horizontal="center" wrapText="1"/>
    </xf>
    <xf numFmtId="0" fontId="27" fillId="0" borderId="28" xfId="137" applyFont="1" applyBorder="1" applyAlignment="1">
      <alignment horizontal="center" wrapText="1"/>
    </xf>
    <xf numFmtId="43" fontId="35" fillId="5" borderId="30" xfId="138" applyFont="1" applyFill="1" applyBorder="1"/>
    <xf numFmtId="43" fontId="35" fillId="5" borderId="32" xfId="138" applyFont="1" applyFill="1" applyBorder="1"/>
    <xf numFmtId="43" fontId="26" fillId="0" borderId="25" xfId="138" applyFont="1" applyFill="1" applyBorder="1"/>
    <xf numFmtId="43" fontId="26" fillId="0" borderId="33" xfId="138" applyFont="1" applyFill="1" applyBorder="1"/>
    <xf numFmtId="172" fontId="35" fillId="5" borderId="29" xfId="138" applyNumberFormat="1" applyFont="1" applyFill="1" applyBorder="1"/>
    <xf numFmtId="38" fontId="35" fillId="5" borderId="29" xfId="1" applyNumberFormat="1" applyFont="1" applyFill="1" applyBorder="1"/>
    <xf numFmtId="38" fontId="35" fillId="5" borderId="29" xfId="138" applyNumberFormat="1" applyFont="1" applyFill="1" applyBorder="1"/>
    <xf numFmtId="0" fontId="27" fillId="0" borderId="34" xfId="137" applyFont="1" applyBorder="1" applyAlignment="1">
      <alignment horizontal="center" wrapText="1"/>
    </xf>
    <xf numFmtId="43" fontId="26" fillId="0" borderId="34" xfId="138" applyFont="1" applyFill="1" applyBorder="1"/>
    <xf numFmtId="43" fontId="26" fillId="0" borderId="30" xfId="138" applyFont="1" applyFill="1" applyBorder="1"/>
    <xf numFmtId="0" fontId="27" fillId="0" borderId="33" xfId="137" applyFont="1" applyBorder="1" applyAlignment="1">
      <alignment horizontal="center" wrapText="1"/>
    </xf>
    <xf numFmtId="0" fontId="27" fillId="0" borderId="0" xfId="137" applyFont="1" applyBorder="1" applyAlignment="1">
      <alignment horizontal="center" wrapText="1"/>
    </xf>
    <xf numFmtId="0" fontId="34" fillId="0" borderId="0" xfId="137" applyFont="1" applyBorder="1"/>
    <xf numFmtId="10" fontId="35" fillId="5" borderId="23" xfId="139" applyNumberFormat="1" applyFont="1" applyFill="1" applyBorder="1"/>
    <xf numFmtId="43" fontId="26" fillId="0" borderId="35" xfId="138" applyFont="1" applyFill="1" applyBorder="1"/>
    <xf numFmtId="172" fontId="35" fillId="5" borderId="31" xfId="138" applyNumberFormat="1" applyFont="1" applyFill="1" applyBorder="1"/>
    <xf numFmtId="38" fontId="35" fillId="5" borderId="31" xfId="138" applyNumberFormat="1" applyFont="1" applyFill="1" applyBorder="1"/>
    <xf numFmtId="43" fontId="26" fillId="0" borderId="36" xfId="138" applyFont="1" applyFill="1" applyBorder="1"/>
    <xf numFmtId="43" fontId="26" fillId="0" borderId="5" xfId="138" applyFont="1" applyFill="1" applyBorder="1"/>
    <xf numFmtId="0" fontId="37" fillId="0" borderId="0" xfId="137" applyFont="1" applyFill="1" applyBorder="1"/>
    <xf numFmtId="0" fontId="37" fillId="0" borderId="0" xfId="137" applyFont="1" applyAlignment="1">
      <alignment horizontal="center"/>
    </xf>
    <xf numFmtId="0" fontId="37" fillId="0" borderId="0" xfId="137" applyFont="1" applyFill="1"/>
    <xf numFmtId="0" fontId="25" fillId="0" borderId="0" xfId="137" applyFont="1"/>
    <xf numFmtId="0" fontId="25" fillId="0" borderId="0" xfId="137" applyFont="1" applyFill="1" applyBorder="1"/>
    <xf numFmtId="0" fontId="36" fillId="0" borderId="0" xfId="24" applyFont="1"/>
    <xf numFmtId="1" fontId="40" fillId="0" borderId="0" xfId="63" applyNumberFormat="1" applyFont="1" applyFill="1" applyBorder="1" applyAlignment="1">
      <alignment horizontal="left"/>
    </xf>
    <xf numFmtId="43" fontId="36" fillId="0" borderId="0" xfId="138" applyFont="1" applyFill="1" applyBorder="1"/>
    <xf numFmtId="0" fontId="36" fillId="0" borderId="0" xfId="137" applyFont="1" applyFill="1" applyBorder="1"/>
    <xf numFmtId="0" fontId="37" fillId="0" borderId="0" xfId="137" applyFont="1" applyFill="1" applyAlignment="1">
      <alignment horizontal="center"/>
    </xf>
    <xf numFmtId="43" fontId="26" fillId="0" borderId="37" xfId="138" applyFont="1" applyFill="1" applyBorder="1"/>
    <xf numFmtId="43" fontId="26" fillId="0" borderId="38" xfId="138" applyFont="1" applyFill="1" applyBorder="1"/>
    <xf numFmtId="7" fontId="12" fillId="0" borderId="0" xfId="0" applyNumberFormat="1" applyFont="1" applyFill="1" applyAlignment="1" applyProtection="1">
      <alignment horizontal="center"/>
    </xf>
    <xf numFmtId="168" fontId="12" fillId="0" borderId="0" xfId="0" applyNumberFormat="1" applyFont="1" applyFill="1" applyBorder="1" applyAlignment="1" applyProtection="1">
      <alignment horizontal="center"/>
      <protection locked="0"/>
    </xf>
    <xf numFmtId="5" fontId="12" fillId="0" borderId="0" xfId="0" applyNumberFormat="1" applyFont="1" applyFill="1" applyAlignment="1">
      <alignment horizontal="center"/>
    </xf>
    <xf numFmtId="39" fontId="12" fillId="0" borderId="12" xfId="0" applyFont="1" applyFill="1" applyBorder="1" applyAlignment="1">
      <alignment horizontal="center"/>
    </xf>
    <xf numFmtId="39" fontId="12" fillId="0" borderId="13" xfId="0" applyFont="1" applyFill="1" applyBorder="1" applyAlignment="1">
      <alignment horizontal="center"/>
    </xf>
    <xf numFmtId="39" fontId="12" fillId="0" borderId="12" xfId="0" applyFont="1" applyFill="1" applyBorder="1"/>
    <xf numFmtId="39" fontId="12" fillId="0" borderId="13" xfId="0" applyFont="1" applyFill="1" applyBorder="1"/>
    <xf numFmtId="39" fontId="12" fillId="0" borderId="1" xfId="0" applyFont="1" applyFill="1" applyBorder="1" applyAlignment="1">
      <alignment horizontal="center"/>
    </xf>
    <xf numFmtId="39" fontId="12" fillId="0" borderId="2" xfId="0" applyFont="1" applyFill="1" applyBorder="1" applyAlignment="1">
      <alignment horizontal="center"/>
    </xf>
    <xf numFmtId="43" fontId="12" fillId="0" borderId="0" xfId="1" applyNumberFormat="1" applyFont="1" applyFill="1" applyBorder="1"/>
    <xf numFmtId="43" fontId="12" fillId="0" borderId="0" xfId="0" applyNumberFormat="1" applyFont="1" applyFill="1" applyBorder="1"/>
    <xf numFmtId="43" fontId="12" fillId="4" borderId="0" xfId="1" applyNumberFormat="1" applyFont="1" applyFill="1" applyBorder="1"/>
    <xf numFmtId="37" fontId="13" fillId="0" borderId="16" xfId="0" applyNumberFormat="1" applyFont="1" applyFill="1" applyBorder="1" applyProtection="1"/>
    <xf numFmtId="168" fontId="13" fillId="0" borderId="0" xfId="0" applyNumberFormat="1" applyFont="1" applyFill="1" applyBorder="1" applyAlignment="1" applyProtection="1">
      <alignment horizontal="center"/>
      <protection locked="0"/>
    </xf>
    <xf numFmtId="173" fontId="12" fillId="0" borderId="8" xfId="0" applyNumberFormat="1" applyFont="1" applyFill="1" applyBorder="1"/>
    <xf numFmtId="44" fontId="13" fillId="9" borderId="17" xfId="0" applyNumberFormat="1" applyFont="1" applyFill="1" applyBorder="1"/>
    <xf numFmtId="49" fontId="27" fillId="0" borderId="21" xfId="137" quotePrefix="1" applyNumberFormat="1" applyFont="1" applyFill="1" applyBorder="1" applyAlignment="1">
      <alignment horizontal="right"/>
    </xf>
    <xf numFmtId="173" fontId="12" fillId="0" borderId="39" xfId="0" applyNumberFormat="1" applyFont="1" applyFill="1" applyBorder="1"/>
    <xf numFmtId="43" fontId="12" fillId="4" borderId="5" xfId="1" applyNumberFormat="1" applyFont="1" applyFill="1" applyBorder="1"/>
    <xf numFmtId="39" fontId="0" fillId="0" borderId="5" xfId="0" applyBorder="1"/>
    <xf numFmtId="44" fontId="13" fillId="0" borderId="16" xfId="2" applyNumberFormat="1" applyFont="1" applyFill="1" applyBorder="1"/>
    <xf numFmtId="173" fontId="12" fillId="0" borderId="40" xfId="0" applyNumberFormat="1" applyFont="1" applyFill="1" applyBorder="1"/>
    <xf numFmtId="39" fontId="13" fillId="0" borderId="4" xfId="0" applyFont="1" applyFill="1" applyBorder="1" applyAlignment="1">
      <alignment horizontal="right"/>
    </xf>
    <xf numFmtId="37" fontId="12" fillId="0" borderId="5" xfId="0" applyNumberFormat="1" applyFont="1" applyFill="1" applyBorder="1"/>
    <xf numFmtId="39" fontId="12" fillId="0" borderId="5" xfId="0" applyFont="1" applyFill="1" applyBorder="1"/>
    <xf numFmtId="8" fontId="12" fillId="0" borderId="6" xfId="2" applyFont="1" applyFill="1" applyBorder="1"/>
    <xf numFmtId="43" fontId="35" fillId="5" borderId="24" xfId="138" applyFont="1" applyFill="1" applyBorder="1"/>
    <xf numFmtId="43" fontId="26" fillId="0" borderId="19" xfId="138" applyFont="1" applyFill="1" applyBorder="1"/>
    <xf numFmtId="43" fontId="42" fillId="5" borderId="18" xfId="138" applyFont="1" applyFill="1" applyBorder="1"/>
    <xf numFmtId="43" fontId="35" fillId="0" borderId="18" xfId="138" applyFont="1" applyFill="1" applyBorder="1"/>
    <xf numFmtId="43" fontId="35" fillId="0" borderId="22" xfId="138" applyFont="1" applyFill="1" applyBorder="1"/>
    <xf numFmtId="43" fontId="35" fillId="0" borderId="21" xfId="138" applyFont="1" applyFill="1" applyBorder="1"/>
    <xf numFmtId="43" fontId="34" fillId="0" borderId="0" xfId="137" applyNumberFormat="1" applyFont="1" applyFill="1" applyBorder="1"/>
    <xf numFmtId="169" fontId="14" fillId="0" borderId="0" xfId="0" applyNumberFormat="1" applyFont="1"/>
    <xf numFmtId="43" fontId="34" fillId="0" borderId="0" xfId="137" applyNumberFormat="1" applyFont="1"/>
    <xf numFmtId="43" fontId="42" fillId="4" borderId="18" xfId="138" applyFont="1" applyFill="1" applyBorder="1"/>
    <xf numFmtId="43" fontId="35" fillId="4" borderId="18" xfId="138" applyFont="1" applyFill="1" applyBorder="1"/>
    <xf numFmtId="0" fontId="43" fillId="0" borderId="0" xfId="137" applyFont="1" applyFill="1" applyBorder="1"/>
    <xf numFmtId="39" fontId="14" fillId="0" borderId="0" xfId="0" applyFont="1" applyBorder="1"/>
    <xf numFmtId="0" fontId="43" fillId="0" borderId="0" xfId="137" applyFont="1" applyBorder="1"/>
    <xf numFmtId="0" fontId="37" fillId="0" borderId="0" xfId="137" applyFont="1" applyBorder="1"/>
    <xf numFmtId="43" fontId="43" fillId="0" borderId="0" xfId="1" applyNumberFormat="1" applyFont="1" applyBorder="1"/>
    <xf numFmtId="39" fontId="12" fillId="0" borderId="0" xfId="0" applyFont="1" applyFill="1" applyBorder="1" applyAlignment="1">
      <alignment horizontal="center"/>
    </xf>
    <xf numFmtId="39" fontId="12" fillId="0" borderId="8" xfId="0" applyFont="1" applyFill="1" applyBorder="1" applyAlignment="1">
      <alignment horizontal="center"/>
    </xf>
    <xf numFmtId="49" fontId="27" fillId="0" borderId="23" xfId="137" quotePrefix="1" applyNumberFormat="1" applyFont="1" applyFill="1" applyBorder="1" applyAlignment="1">
      <alignment horizontal="right"/>
    </xf>
    <xf numFmtId="43" fontId="26" fillId="6" borderId="23" xfId="138" applyFont="1" applyFill="1" applyBorder="1"/>
    <xf numFmtId="43" fontId="27" fillId="6" borderId="23" xfId="138" applyFont="1" applyFill="1" applyBorder="1"/>
    <xf numFmtId="43" fontId="12" fillId="0" borderId="8" xfId="2" applyNumberFormat="1" applyFont="1" applyBorder="1"/>
    <xf numFmtId="39" fontId="13" fillId="0" borderId="0" xfId="145" applyFont="1" applyAlignment="1" applyProtection="1">
      <alignment horizontal="right"/>
      <protection locked="0"/>
    </xf>
    <xf numFmtId="167" fontId="13" fillId="0" borderId="0" xfId="145" applyNumberFormat="1" applyFont="1" applyAlignment="1" applyProtection="1">
      <alignment horizontal="center"/>
      <protection locked="0"/>
    </xf>
    <xf numFmtId="174" fontId="45" fillId="10" borderId="0" xfId="57" applyNumberFormat="1" applyFont="1" applyFill="1" applyAlignment="1" applyProtection="1">
      <alignment horizontal="left"/>
      <protection locked="0"/>
    </xf>
    <xf numFmtId="39" fontId="12" fillId="0" borderId="7" xfId="145" applyFont="1" applyBorder="1" applyProtection="1">
      <protection locked="0"/>
    </xf>
    <xf numFmtId="17" fontId="46" fillId="0" borderId="0" xfId="0" applyNumberFormat="1" applyFont="1" applyProtection="1">
      <protection locked="0"/>
    </xf>
    <xf numFmtId="0" fontId="47" fillId="10" borderId="0" xfId="145" applyNumberFormat="1" applyFont="1" applyFill="1" applyAlignment="1" applyProtection="1">
      <alignment horizontal="center"/>
      <protection locked="0"/>
    </xf>
    <xf numFmtId="39" fontId="49" fillId="11" borderId="0" xfId="145" applyFont="1" applyFill="1" applyAlignment="1" applyProtection="1">
      <alignment horizontal="left"/>
      <protection locked="0"/>
    </xf>
    <xf numFmtId="174" fontId="45" fillId="0" borderId="0" xfId="57" applyNumberFormat="1" applyFont="1" applyFill="1" applyAlignment="1" applyProtection="1">
      <alignment horizontal="left"/>
      <protection locked="0"/>
    </xf>
    <xf numFmtId="39" fontId="12" fillId="0" borderId="0" xfId="145" applyFont="1" applyProtection="1">
      <protection locked="0"/>
    </xf>
    <xf numFmtId="0" fontId="13" fillId="0" borderId="1" xfId="0" applyNumberFormat="1" applyFont="1" applyFill="1" applyBorder="1" applyAlignment="1">
      <alignment horizontal="center"/>
    </xf>
    <xf numFmtId="39" fontId="13" fillId="0" borderId="7" xfId="0" applyFont="1" applyFill="1" applyBorder="1"/>
    <xf numFmtId="10" fontId="12" fillId="0" borderId="8" xfId="4" applyNumberFormat="1" applyFont="1" applyFill="1" applyBorder="1" applyAlignment="1">
      <alignment horizontal="center"/>
    </xf>
    <xf numFmtId="39" fontId="13" fillId="0" borderId="7" xfId="0" applyFont="1" applyBorder="1"/>
    <xf numFmtId="39" fontId="12" fillId="0" borderId="7" xfId="0" applyFont="1" applyBorder="1"/>
    <xf numFmtId="166" fontId="12" fillId="0" borderId="0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Protection="1">
      <protection locked="0"/>
    </xf>
    <xf numFmtId="39" fontId="12" fillId="0" borderId="7" xfId="0" applyFont="1" applyBorder="1" applyAlignment="1">
      <alignment horizontal="left"/>
    </xf>
    <xf numFmtId="166" fontId="12" fillId="0" borderId="7" xfId="0" applyNumberFormat="1" applyFont="1" applyFill="1" applyBorder="1" applyAlignment="1" applyProtection="1">
      <alignment horizontal="left"/>
    </xf>
    <xf numFmtId="44" fontId="12" fillId="0" borderId="8" xfId="0" applyNumberFormat="1" applyFont="1" applyFill="1" applyBorder="1" applyAlignment="1" applyProtection="1">
      <alignment horizontal="center"/>
    </xf>
    <xf numFmtId="39" fontId="13" fillId="0" borderId="4" xfId="0" applyFont="1" applyFill="1" applyBorder="1"/>
    <xf numFmtId="166" fontId="12" fillId="0" borderId="5" xfId="0" applyNumberFormat="1" applyFont="1" applyFill="1" applyBorder="1" applyAlignment="1" applyProtection="1">
      <alignment horizontal="left"/>
    </xf>
    <xf numFmtId="44" fontId="12" fillId="0" borderId="41" xfId="0" applyNumberFormat="1" applyFont="1" applyFill="1" applyBorder="1" applyProtection="1">
      <protection locked="0"/>
    </xf>
    <xf numFmtId="168" fontId="48" fillId="11" borderId="0" xfId="0" applyNumberFormat="1" applyFont="1" applyFill="1" applyBorder="1" applyAlignment="1" applyProtection="1">
      <alignment horizontal="center"/>
      <protection locked="0"/>
    </xf>
    <xf numFmtId="37" fontId="48" fillId="11" borderId="0" xfId="0" applyNumberFormat="1" applyFont="1" applyFill="1" applyBorder="1" applyProtection="1"/>
    <xf numFmtId="43" fontId="12" fillId="0" borderId="0" xfId="2" applyNumberFormat="1" applyFont="1" applyFill="1" applyBorder="1" applyProtection="1"/>
    <xf numFmtId="39" fontId="13" fillId="0" borderId="1" xfId="0" applyFont="1" applyFill="1" applyBorder="1"/>
    <xf numFmtId="8" fontId="12" fillId="0" borderId="3" xfId="2" applyFont="1" applyFill="1" applyBorder="1"/>
    <xf numFmtId="44" fontId="12" fillId="0" borderId="8" xfId="2" applyNumberFormat="1" applyFont="1" applyFill="1" applyBorder="1" applyProtection="1"/>
    <xf numFmtId="39" fontId="14" fillId="0" borderId="7" xfId="0" applyFont="1" applyBorder="1"/>
    <xf numFmtId="39" fontId="0" fillId="0" borderId="8" xfId="0" applyBorder="1"/>
    <xf numFmtId="39" fontId="14" fillId="0" borderId="4" xfId="0" applyNumberFormat="1" applyFont="1" applyBorder="1"/>
    <xf numFmtId="39" fontId="12" fillId="0" borderId="5" xfId="0" applyFont="1" applyBorder="1"/>
    <xf numFmtId="39" fontId="13" fillId="0" borderId="0" xfId="0" applyFont="1" applyBorder="1" applyAlignment="1">
      <alignment horizontal="right"/>
    </xf>
    <xf numFmtId="39" fontId="13" fillId="0" borderId="5" xfId="0" applyFont="1" applyBorder="1"/>
    <xf numFmtId="39" fontId="13" fillId="0" borderId="5" xfId="0" applyFont="1" applyBorder="1" applyAlignment="1">
      <alignment horizontal="right"/>
    </xf>
    <xf numFmtId="43" fontId="12" fillId="4" borderId="8" xfId="1" applyNumberFormat="1" applyFont="1" applyFill="1" applyBorder="1"/>
    <xf numFmtId="39" fontId="12" fillId="0" borderId="8" xfId="0" applyFont="1" applyFill="1" applyBorder="1" applyAlignment="1">
      <alignment horizontal="right"/>
    </xf>
    <xf numFmtId="43" fontId="12" fillId="0" borderId="6" xfId="2" applyNumberFormat="1" applyFont="1" applyBorder="1"/>
    <xf numFmtId="39" fontId="12" fillId="0" borderId="8" xfId="145" applyFont="1" applyBorder="1" applyProtection="1">
      <protection locked="0"/>
    </xf>
    <xf numFmtId="43" fontId="12" fillId="0" borderId="4" xfId="2" applyNumberFormat="1" applyFont="1" applyBorder="1"/>
    <xf numFmtId="169" fontId="14" fillId="0" borderId="0" xfId="0" applyNumberFormat="1" applyFont="1" applyFill="1"/>
    <xf numFmtId="43" fontId="12" fillId="0" borderId="8" xfId="1" applyNumberFormat="1" applyFont="1" applyFill="1" applyBorder="1"/>
    <xf numFmtId="44" fontId="13" fillId="0" borderId="8" xfId="0" applyNumberFormat="1" applyFont="1" applyFill="1" applyBorder="1"/>
    <xf numFmtId="167" fontId="13" fillId="0" borderId="6" xfId="0" applyNumberFormat="1" applyFont="1" applyFill="1" applyBorder="1" applyAlignment="1" applyProtection="1">
      <alignment horizontal="center"/>
    </xf>
    <xf numFmtId="167" fontId="13" fillId="0" borderId="42" xfId="0" applyNumberFormat="1" applyFont="1" applyFill="1" applyBorder="1" applyAlignment="1" applyProtection="1">
      <alignment horizontal="center"/>
    </xf>
    <xf numFmtId="167" fontId="13" fillId="0" borderId="43" xfId="0" applyNumberFormat="1" applyFont="1" applyFill="1" applyBorder="1" applyAlignment="1" applyProtection="1">
      <alignment horizontal="center"/>
    </xf>
    <xf numFmtId="39" fontId="12" fillId="0" borderId="44" xfId="0" applyFont="1" applyFill="1" applyBorder="1"/>
    <xf numFmtId="39" fontId="12" fillId="0" borderId="45" xfId="0" applyFont="1" applyFill="1" applyBorder="1"/>
    <xf numFmtId="10" fontId="48" fillId="11" borderId="44" xfId="4" applyNumberFormat="1" applyFont="1" applyFill="1" applyBorder="1" applyAlignment="1">
      <alignment horizontal="center"/>
    </xf>
    <xf numFmtId="10" fontId="12" fillId="0" borderId="45" xfId="4" applyNumberFormat="1" applyFont="1" applyFill="1" applyBorder="1" applyAlignment="1">
      <alignment horizontal="center"/>
    </xf>
    <xf numFmtId="43" fontId="12" fillId="0" borderId="44" xfId="1" applyNumberFormat="1" applyFont="1" applyFill="1" applyBorder="1"/>
    <xf numFmtId="43" fontId="12" fillId="0" borderId="45" xfId="1" applyNumberFormat="1" applyFont="1" applyFill="1" applyBorder="1"/>
    <xf numFmtId="44" fontId="13" fillId="0" borderId="44" xfId="0" applyNumberFormat="1" applyFont="1" applyFill="1" applyBorder="1"/>
    <xf numFmtId="44" fontId="13" fillId="0" borderId="45" xfId="0" applyNumberFormat="1" applyFont="1" applyFill="1" applyBorder="1"/>
    <xf numFmtId="44" fontId="12" fillId="0" borderId="45" xfId="0" applyNumberFormat="1" applyFont="1" applyFill="1" applyBorder="1" applyProtection="1">
      <protection locked="0"/>
    </xf>
    <xf numFmtId="44" fontId="12" fillId="0" borderId="44" xfId="0" applyNumberFormat="1" applyFont="1" applyFill="1" applyBorder="1" applyAlignment="1" applyProtection="1">
      <alignment horizontal="center"/>
    </xf>
    <xf numFmtId="44" fontId="12" fillId="0" borderId="45" xfId="0" applyNumberFormat="1" applyFont="1" applyFill="1" applyBorder="1" applyAlignment="1" applyProtection="1">
      <alignment horizontal="center"/>
    </xf>
    <xf numFmtId="167" fontId="13" fillId="0" borderId="23" xfId="0" applyNumberFormat="1" applyFont="1" applyFill="1" applyBorder="1" applyAlignment="1" applyProtection="1">
      <alignment horizontal="center"/>
    </xf>
    <xf numFmtId="39" fontId="12" fillId="0" borderId="20" xfId="0" applyFont="1" applyFill="1" applyBorder="1"/>
    <xf numFmtId="43" fontId="12" fillId="10" borderId="20" xfId="1" applyNumberFormat="1" applyFont="1" applyFill="1" applyBorder="1"/>
    <xf numFmtId="44" fontId="13" fillId="3" borderId="46" xfId="0" applyNumberFormat="1" applyFont="1" applyFill="1" applyBorder="1"/>
    <xf numFmtId="43" fontId="12" fillId="0" borderId="20" xfId="1" applyNumberFormat="1" applyFont="1" applyFill="1" applyBorder="1"/>
    <xf numFmtId="44" fontId="12" fillId="0" borderId="20" xfId="0" applyNumberFormat="1" applyFont="1" applyFill="1" applyBorder="1"/>
    <xf numFmtId="44" fontId="12" fillId="0" borderId="20" xfId="0" applyNumberFormat="1" applyFont="1" applyFill="1" applyBorder="1" applyAlignment="1" applyProtection="1">
      <alignment horizontal="center"/>
    </xf>
    <xf numFmtId="167" fontId="13" fillId="0" borderId="47" xfId="0" applyNumberFormat="1" applyFont="1" applyFill="1" applyBorder="1" applyAlignment="1" applyProtection="1">
      <alignment horizontal="center"/>
    </xf>
    <xf numFmtId="44" fontId="12" fillId="0" borderId="35" xfId="0" applyNumberFormat="1" applyFont="1" applyFill="1" applyBorder="1" applyProtection="1">
      <protection locked="0"/>
    </xf>
    <xf numFmtId="44" fontId="12" fillId="0" borderId="36" xfId="0" applyNumberFormat="1" applyFont="1" applyFill="1" applyBorder="1" applyProtection="1">
      <protection locked="0"/>
    </xf>
    <xf numFmtId="40" fontId="12" fillId="0" borderId="44" xfId="1" applyFont="1" applyFill="1" applyBorder="1" applyProtection="1">
      <protection locked="0"/>
    </xf>
    <xf numFmtId="40" fontId="13" fillId="0" borderId="45" xfId="1" applyFont="1" applyFill="1" applyBorder="1"/>
    <xf numFmtId="40" fontId="13" fillId="0" borderId="8" xfId="1" applyFont="1" applyFill="1" applyBorder="1"/>
    <xf numFmtId="40" fontId="12" fillId="0" borderId="44" xfId="1" applyFont="1" applyFill="1" applyBorder="1"/>
    <xf numFmtId="40" fontId="12" fillId="0" borderId="45" xfId="1" applyFont="1" applyFill="1" applyBorder="1"/>
    <xf numFmtId="40" fontId="12" fillId="0" borderId="8" xfId="1" applyFont="1" applyFill="1" applyBorder="1"/>
    <xf numFmtId="40" fontId="50" fillId="0" borderId="44" xfId="1" applyFont="1" applyBorder="1" applyAlignment="1" applyProtection="1">
      <alignment horizontal="left"/>
      <protection locked="0"/>
    </xf>
    <xf numFmtId="40" fontId="48" fillId="0" borderId="44" xfId="1" applyFont="1" applyFill="1" applyBorder="1"/>
    <xf numFmtId="40" fontId="48" fillId="0" borderId="45" xfId="1" applyFont="1" applyFill="1" applyBorder="1"/>
    <xf numFmtId="40" fontId="48" fillId="0" borderId="8" xfId="1" applyFont="1" applyFill="1" applyBorder="1"/>
    <xf numFmtId="40" fontId="13" fillId="0" borderId="44" xfId="1" applyFont="1" applyFill="1" applyBorder="1"/>
    <xf numFmtId="9" fontId="12" fillId="0" borderId="20" xfId="4" applyFont="1" applyFill="1" applyBorder="1" applyAlignment="1">
      <alignment horizontal="center"/>
    </xf>
    <xf numFmtId="40" fontId="18" fillId="0" borderId="0" xfId="1" applyFont="1" applyFill="1"/>
    <xf numFmtId="39" fontId="12" fillId="0" borderId="0" xfId="0" quotePrefix="1" applyFont="1" applyFill="1" applyAlignment="1">
      <alignment horizontal="left"/>
    </xf>
    <xf numFmtId="170" fontId="12" fillId="0" borderId="0" xfId="1" quotePrefix="1" applyNumberFormat="1" applyFont="1" applyFill="1"/>
    <xf numFmtId="0" fontId="33" fillId="0" borderId="0" xfId="137" applyFont="1"/>
    <xf numFmtId="39" fontId="12" fillId="0" borderId="0" xfId="145" applyFont="1" applyBorder="1" applyProtection="1">
      <protection locked="0"/>
    </xf>
    <xf numFmtId="43" fontId="12" fillId="0" borderId="0" xfId="2" applyNumberFormat="1" applyFont="1" applyBorder="1"/>
    <xf numFmtId="39" fontId="50" fillId="0" borderId="9" xfId="145" applyFont="1" applyBorder="1" applyAlignment="1" applyProtection="1">
      <alignment horizontal="left"/>
      <protection locked="0"/>
    </xf>
    <xf numFmtId="39" fontId="51" fillId="0" borderId="0" xfId="145" applyFont="1" applyAlignment="1" applyProtection="1">
      <alignment horizontal="left"/>
      <protection locked="0"/>
    </xf>
    <xf numFmtId="172" fontId="12" fillId="4" borderId="0" xfId="1" applyNumberFormat="1" applyFont="1" applyFill="1" applyBorder="1"/>
    <xf numFmtId="17" fontId="13" fillId="0" borderId="0" xfId="0" applyNumberFormat="1" applyFont="1" applyFill="1" applyBorder="1"/>
    <xf numFmtId="43" fontId="12" fillId="10" borderId="0" xfId="1" applyNumberFormat="1" applyFont="1" applyFill="1" applyBorder="1"/>
    <xf numFmtId="37" fontId="12" fillId="0" borderId="0" xfId="136" applyNumberFormat="1" applyFont="1" applyFill="1" applyAlignment="1" applyProtection="1">
      <alignment horizontal="center"/>
      <protection locked="0"/>
    </xf>
    <xf numFmtId="43" fontId="26" fillId="0" borderId="20" xfId="138" applyFont="1" applyFill="1" applyBorder="1"/>
    <xf numFmtId="43" fontId="27" fillId="0" borderId="33" xfId="138" applyFont="1" applyFill="1" applyBorder="1"/>
    <xf numFmtId="43" fontId="26" fillId="0" borderId="42" xfId="138" applyFont="1" applyFill="1" applyBorder="1"/>
    <xf numFmtId="172" fontId="52" fillId="5" borderId="18" xfId="43" applyNumberFormat="1" applyFont="1" applyFill="1" applyBorder="1"/>
    <xf numFmtId="172" fontId="52" fillId="5" borderId="21" xfId="43" applyNumberFormat="1" applyFont="1" applyFill="1" applyBorder="1"/>
    <xf numFmtId="172" fontId="52" fillId="5" borderId="38" xfId="43" applyNumberFormat="1" applyFont="1" applyFill="1" applyBorder="1"/>
    <xf numFmtId="172" fontId="52" fillId="5" borderId="22" xfId="43" applyNumberFormat="1" applyFont="1" applyFill="1" applyBorder="1"/>
    <xf numFmtId="37" fontId="53" fillId="11" borderId="0" xfId="136" applyNumberFormat="1" applyFont="1" applyFill="1" applyAlignment="1" applyProtection="1">
      <alignment horizontal="center"/>
      <protection locked="0"/>
    </xf>
    <xf numFmtId="40" fontId="34" fillId="0" borderId="0" xfId="1" applyFont="1"/>
    <xf numFmtId="40" fontId="34" fillId="0" borderId="0" xfId="1" applyFont="1" applyFill="1"/>
    <xf numFmtId="40" fontId="1" fillId="0" borderId="0" xfId="1" applyFont="1"/>
    <xf numFmtId="0" fontId="29" fillId="0" borderId="0" xfId="24" applyFont="1" applyFill="1"/>
    <xf numFmtId="43" fontId="29" fillId="0" borderId="0" xfId="24" applyNumberFormat="1" applyFont="1" applyFill="1"/>
    <xf numFmtId="39" fontId="12" fillId="0" borderId="10" xfId="145" applyFont="1" applyBorder="1" applyAlignment="1" applyProtection="1">
      <alignment horizontal="center"/>
      <protection locked="0"/>
    </xf>
    <xf numFmtId="39" fontId="12" fillId="0" borderId="14" xfId="145" applyFont="1" applyBorder="1" applyAlignment="1" applyProtection="1">
      <alignment horizontal="center"/>
      <protection locked="0"/>
    </xf>
    <xf numFmtId="39" fontId="12" fillId="0" borderId="0" xfId="145" applyFont="1" applyBorder="1" applyAlignment="1" applyProtection="1">
      <alignment horizontal="center"/>
      <protection locked="0"/>
    </xf>
    <xf numFmtId="167" fontId="13" fillId="0" borderId="48" xfId="0" applyNumberFormat="1" applyFont="1" applyFill="1" applyBorder="1" applyAlignment="1" applyProtection="1">
      <alignment horizontal="center"/>
    </xf>
    <xf numFmtId="167" fontId="13" fillId="0" borderId="49" xfId="0" applyNumberFormat="1" applyFont="1" applyFill="1" applyBorder="1" applyAlignment="1" applyProtection="1">
      <alignment horizontal="center"/>
    </xf>
    <xf numFmtId="167" fontId="13" fillId="0" borderId="3" xfId="0" applyNumberFormat="1" applyFont="1" applyFill="1" applyBorder="1" applyAlignment="1" applyProtection="1">
      <alignment horizontal="center"/>
    </xf>
    <xf numFmtId="39" fontId="13" fillId="0" borderId="10" xfId="0" applyFont="1" applyFill="1" applyBorder="1" applyAlignment="1">
      <alignment horizontal="center"/>
    </xf>
    <xf numFmtId="39" fontId="13" fillId="0" borderId="11" xfId="0" applyFont="1" applyFill="1" applyBorder="1" applyAlignment="1">
      <alignment horizontal="center"/>
    </xf>
    <xf numFmtId="39" fontId="13" fillId="0" borderId="14" xfId="0" applyFont="1" applyFill="1" applyBorder="1" applyAlignment="1">
      <alignment horizontal="center"/>
    </xf>
  </cellXfs>
  <cellStyles count="146">
    <cellStyle name="Comma" xfId="1" builtinId="3"/>
    <cellStyle name="Comma 2" xfId="8" xr:uid="{00000000-0005-0000-0000-000001000000}"/>
    <cellStyle name="Comma 2 2" xfId="43" xr:uid="{00000000-0005-0000-0000-000002000000}"/>
    <cellStyle name="Comma 2 3" xfId="55" xr:uid="{00000000-0005-0000-0000-000003000000}"/>
    <cellStyle name="Comma 3" xfId="5" xr:uid="{00000000-0005-0000-0000-000004000000}"/>
    <cellStyle name="Comma 3 2" xfId="64" xr:uid="{00000000-0005-0000-0000-000005000000}"/>
    <cellStyle name="Comma 4" xfId="9" xr:uid="{00000000-0005-0000-0000-000006000000}"/>
    <cellStyle name="Comma 4 2" xfId="44" xr:uid="{00000000-0005-0000-0000-000007000000}"/>
    <cellStyle name="Comma 4 2 2" xfId="83" xr:uid="{00000000-0005-0000-0000-000008000000}"/>
    <cellStyle name="Comma 4 2 2 2" xfId="125" xr:uid="{00000000-0005-0000-0000-000009000000}"/>
    <cellStyle name="Comma 4 2 3" xfId="104" xr:uid="{00000000-0005-0000-0000-00000A000000}"/>
    <cellStyle name="Comma 4 3" xfId="74" xr:uid="{00000000-0005-0000-0000-00000B000000}"/>
    <cellStyle name="Comma 4 3 2" xfId="116" xr:uid="{00000000-0005-0000-0000-00000C000000}"/>
    <cellStyle name="Comma 4 4" xfId="95" xr:uid="{00000000-0005-0000-0000-00000D000000}"/>
    <cellStyle name="Comma 4 5" xfId="138" xr:uid="{00000000-0005-0000-0000-00000E000000}"/>
    <cellStyle name="Comma 5" xfId="10" xr:uid="{00000000-0005-0000-0000-00000F000000}"/>
    <cellStyle name="Comma 5 2" xfId="141" xr:uid="{00000000-0005-0000-0000-000010000000}"/>
    <cellStyle name="Comma 6" xfId="70" xr:uid="{00000000-0005-0000-0000-000011000000}"/>
    <cellStyle name="Comma 6 2" xfId="73" xr:uid="{00000000-0005-0000-0000-000012000000}"/>
    <cellStyle name="Comma 6 2 2" xfId="115" xr:uid="{00000000-0005-0000-0000-000013000000}"/>
    <cellStyle name="Comma 6 3" xfId="94" xr:uid="{00000000-0005-0000-0000-000014000000}"/>
    <cellStyle name="Comma 6 3 2" xfId="135" xr:uid="{00000000-0005-0000-0000-000015000000}"/>
    <cellStyle name="Comma 6 4" xfId="114" xr:uid="{00000000-0005-0000-0000-000016000000}"/>
    <cellStyle name="Comma 7" xfId="144" xr:uid="{00000000-0005-0000-0000-000017000000}"/>
    <cellStyle name="Comma0" xfId="11" xr:uid="{00000000-0005-0000-0000-000018000000}"/>
    <cellStyle name="Currency" xfId="2" builtinId="4"/>
    <cellStyle name="Currency 2" xfId="7" xr:uid="{00000000-0005-0000-0000-00001A000000}"/>
    <cellStyle name="Currency 2 2" xfId="57" xr:uid="{00000000-0005-0000-0000-00001B000000}"/>
    <cellStyle name="Currency 2 3" xfId="56" xr:uid="{00000000-0005-0000-0000-00001C000000}"/>
    <cellStyle name="Currency 3" xfId="12" xr:uid="{00000000-0005-0000-0000-00001D000000}"/>
    <cellStyle name="Currency 3 2" xfId="66" xr:uid="{00000000-0005-0000-0000-00001E000000}"/>
    <cellStyle name="Currency 3 3" xfId="58" xr:uid="{00000000-0005-0000-0000-00001F000000}"/>
    <cellStyle name="Currency 4" xfId="13" xr:uid="{00000000-0005-0000-0000-000020000000}"/>
    <cellStyle name="Currency 4 2" xfId="14" xr:uid="{00000000-0005-0000-0000-000021000000}"/>
    <cellStyle name="Currency 4 2 2" xfId="46" xr:uid="{00000000-0005-0000-0000-000022000000}"/>
    <cellStyle name="Currency 4 2 2 2" xfId="85" xr:uid="{00000000-0005-0000-0000-000023000000}"/>
    <cellStyle name="Currency 4 2 2 2 2" xfId="127" xr:uid="{00000000-0005-0000-0000-000024000000}"/>
    <cellStyle name="Currency 4 2 2 3" xfId="106" xr:uid="{00000000-0005-0000-0000-000025000000}"/>
    <cellStyle name="Currency 4 2 3" xfId="76" xr:uid="{00000000-0005-0000-0000-000026000000}"/>
    <cellStyle name="Currency 4 2 3 2" xfId="118" xr:uid="{00000000-0005-0000-0000-000027000000}"/>
    <cellStyle name="Currency 4 2 4" xfId="97" xr:uid="{00000000-0005-0000-0000-000028000000}"/>
    <cellStyle name="Currency 4 3" xfId="45" xr:uid="{00000000-0005-0000-0000-000029000000}"/>
    <cellStyle name="Currency 4 3 2" xfId="84" xr:uid="{00000000-0005-0000-0000-00002A000000}"/>
    <cellStyle name="Currency 4 3 2 2" xfId="126" xr:uid="{00000000-0005-0000-0000-00002B000000}"/>
    <cellStyle name="Currency 4 3 3" xfId="105" xr:uid="{00000000-0005-0000-0000-00002C000000}"/>
    <cellStyle name="Currency 4 4" xfId="68" xr:uid="{00000000-0005-0000-0000-00002D000000}"/>
    <cellStyle name="Currency 4 5" xfId="75" xr:uid="{00000000-0005-0000-0000-00002E000000}"/>
    <cellStyle name="Currency 4 5 2" xfId="117" xr:uid="{00000000-0005-0000-0000-00002F000000}"/>
    <cellStyle name="Currency 4 6" xfId="96" xr:uid="{00000000-0005-0000-0000-000030000000}"/>
    <cellStyle name="Currency 5" xfId="15" xr:uid="{00000000-0005-0000-0000-000031000000}"/>
    <cellStyle name="Currency 6" xfId="16" xr:uid="{00000000-0005-0000-0000-000032000000}"/>
    <cellStyle name="Currency 6 2" xfId="17" xr:uid="{00000000-0005-0000-0000-000033000000}"/>
    <cellStyle name="Currency 7" xfId="18" xr:uid="{00000000-0005-0000-0000-000034000000}"/>
    <cellStyle name="Currency 7 2" xfId="47" xr:uid="{00000000-0005-0000-0000-000035000000}"/>
    <cellStyle name="Currency 7 2 2" xfId="86" xr:uid="{00000000-0005-0000-0000-000036000000}"/>
    <cellStyle name="Currency 7 2 2 2" xfId="128" xr:uid="{00000000-0005-0000-0000-000037000000}"/>
    <cellStyle name="Currency 7 2 3" xfId="107" xr:uid="{00000000-0005-0000-0000-000038000000}"/>
    <cellStyle name="Currency 7 3" xfId="77" xr:uid="{00000000-0005-0000-0000-000039000000}"/>
    <cellStyle name="Currency 7 3 2" xfId="119" xr:uid="{00000000-0005-0000-0000-00003A000000}"/>
    <cellStyle name="Currency 7 4" xfId="98" xr:uid="{00000000-0005-0000-0000-00003B000000}"/>
    <cellStyle name="Currency 8" xfId="71" xr:uid="{00000000-0005-0000-0000-00003C000000}"/>
    <cellStyle name="Currency0" xfId="19" xr:uid="{00000000-0005-0000-0000-00003D000000}"/>
    <cellStyle name="Date" xfId="20" xr:uid="{00000000-0005-0000-0000-00003E000000}"/>
    <cellStyle name="Fixed" xfId="21" xr:uid="{00000000-0005-0000-0000-00003F000000}"/>
    <cellStyle name="Manual-Input" xfId="3" xr:uid="{00000000-0005-0000-0000-000040000000}"/>
    <cellStyle name="Normal" xfId="0" builtinId="0"/>
    <cellStyle name="Normal 10" xfId="42" xr:uid="{00000000-0005-0000-0000-000042000000}"/>
    <cellStyle name="Normal 11" xfId="54" xr:uid="{00000000-0005-0000-0000-000043000000}"/>
    <cellStyle name="Normal 11 2" xfId="92" xr:uid="{00000000-0005-0000-0000-000044000000}"/>
    <cellStyle name="Normal 12" xfId="69" xr:uid="{00000000-0005-0000-0000-000045000000}"/>
    <cellStyle name="Normal 12 2" xfId="93" xr:uid="{00000000-0005-0000-0000-000046000000}"/>
    <cellStyle name="Normal 12 2 2" xfId="134" xr:uid="{00000000-0005-0000-0000-000047000000}"/>
    <cellStyle name="Normal 12 3" xfId="113" xr:uid="{00000000-0005-0000-0000-000048000000}"/>
    <cellStyle name="Normal 13" xfId="143" xr:uid="{00000000-0005-0000-0000-000049000000}"/>
    <cellStyle name="Normal 2" xfId="6" xr:uid="{00000000-0005-0000-0000-00004A000000}"/>
    <cellStyle name="Normal 2 2" xfId="41" xr:uid="{00000000-0005-0000-0000-00004B000000}"/>
    <cellStyle name="Normal 2 3" xfId="59" xr:uid="{00000000-0005-0000-0000-00004C000000}"/>
    <cellStyle name="Normal 3" xfId="22" xr:uid="{00000000-0005-0000-0000-00004D000000}"/>
    <cellStyle name="Normal 3 2" xfId="65" xr:uid="{00000000-0005-0000-0000-00004E000000}"/>
    <cellStyle name="Normal 4" xfId="23" xr:uid="{00000000-0005-0000-0000-00004F000000}"/>
    <cellStyle name="Normal 4 2" xfId="63" xr:uid="{00000000-0005-0000-0000-000050000000}"/>
    <cellStyle name="Normal 5" xfId="24" xr:uid="{00000000-0005-0000-0000-000051000000}"/>
    <cellStyle name="Normal 5 2" xfId="137" xr:uid="{00000000-0005-0000-0000-000052000000}"/>
    <cellStyle name="Normal 6" xfId="25" xr:uid="{00000000-0005-0000-0000-000053000000}"/>
    <cellStyle name="Normal 6 2" xfId="26" xr:uid="{00000000-0005-0000-0000-000054000000}"/>
    <cellStyle name="Normal 6 3" xfId="140" xr:uid="{00000000-0005-0000-0000-000055000000}"/>
    <cellStyle name="Normal 7" xfId="27" xr:uid="{00000000-0005-0000-0000-000056000000}"/>
    <cellStyle name="Normal 7 2" xfId="48" xr:uid="{00000000-0005-0000-0000-000057000000}"/>
    <cellStyle name="Normal 7 2 2" xfId="87" xr:uid="{00000000-0005-0000-0000-000058000000}"/>
    <cellStyle name="Normal 7 2 2 2" xfId="129" xr:uid="{00000000-0005-0000-0000-000059000000}"/>
    <cellStyle name="Normal 7 2 3" xfId="108" xr:uid="{00000000-0005-0000-0000-00005A000000}"/>
    <cellStyle name="Normal 7 3" xfId="78" xr:uid="{00000000-0005-0000-0000-00005B000000}"/>
    <cellStyle name="Normal 7 3 2" xfId="120" xr:uid="{00000000-0005-0000-0000-00005C000000}"/>
    <cellStyle name="Normal 7 4" xfId="99" xr:uid="{00000000-0005-0000-0000-00005D000000}"/>
    <cellStyle name="Normal 8" xfId="28" xr:uid="{00000000-0005-0000-0000-00005E000000}"/>
    <cellStyle name="Normal 9" xfId="40" xr:uid="{00000000-0005-0000-0000-00005F000000}"/>
    <cellStyle name="Normal 9 2" xfId="53" xr:uid="{00000000-0005-0000-0000-000060000000}"/>
    <cellStyle name="Normal_01-06 WA-Id Deferral &amp; Amort" xfId="145" xr:uid="{00000000-0005-0000-0000-000061000000}"/>
    <cellStyle name="Normal_02-06 WA-Id Deferral &amp; Amort" xfId="136" xr:uid="{00000000-0005-0000-0000-000062000000}"/>
    <cellStyle name="Percent" xfId="4" builtinId="5"/>
    <cellStyle name="Percent 10" xfId="72" xr:uid="{00000000-0005-0000-0000-000064000000}"/>
    <cellStyle name="Percent 2" xfId="29" xr:uid="{00000000-0005-0000-0000-000065000000}"/>
    <cellStyle name="Percent 2 2" xfId="61" xr:uid="{00000000-0005-0000-0000-000066000000}"/>
    <cellStyle name="Percent 2 3" xfId="60" xr:uid="{00000000-0005-0000-0000-000067000000}"/>
    <cellStyle name="Percent 2 4" xfId="139" xr:uid="{00000000-0005-0000-0000-000068000000}"/>
    <cellStyle name="Percent 3" xfId="30" xr:uid="{00000000-0005-0000-0000-000069000000}"/>
    <cellStyle name="Percent 3 2" xfId="67" xr:uid="{00000000-0005-0000-0000-00006A000000}"/>
    <cellStyle name="Percent 3 3" xfId="62" xr:uid="{00000000-0005-0000-0000-00006B000000}"/>
    <cellStyle name="Percent 3 4" xfId="142" xr:uid="{00000000-0005-0000-0000-00006C000000}"/>
    <cellStyle name="Percent 4" xfId="31" xr:uid="{00000000-0005-0000-0000-00006D000000}"/>
    <cellStyle name="Percent 5" xfId="32" xr:uid="{00000000-0005-0000-0000-00006E000000}"/>
    <cellStyle name="Percent 5 2" xfId="33" xr:uid="{00000000-0005-0000-0000-00006F000000}"/>
    <cellStyle name="Percent 5 2 2" xfId="34" xr:uid="{00000000-0005-0000-0000-000070000000}"/>
    <cellStyle name="Percent 5 2 2 2" xfId="51" xr:uid="{00000000-0005-0000-0000-000071000000}"/>
    <cellStyle name="Percent 5 2 2 2 2" xfId="90" xr:uid="{00000000-0005-0000-0000-000072000000}"/>
    <cellStyle name="Percent 5 2 2 2 2 2" xfId="132" xr:uid="{00000000-0005-0000-0000-000073000000}"/>
    <cellStyle name="Percent 5 2 2 2 3" xfId="111" xr:uid="{00000000-0005-0000-0000-000074000000}"/>
    <cellStyle name="Percent 5 2 2 3" xfId="81" xr:uid="{00000000-0005-0000-0000-000075000000}"/>
    <cellStyle name="Percent 5 2 2 3 2" xfId="123" xr:uid="{00000000-0005-0000-0000-000076000000}"/>
    <cellStyle name="Percent 5 2 2 4" xfId="102" xr:uid="{00000000-0005-0000-0000-000077000000}"/>
    <cellStyle name="Percent 5 2 3" xfId="50" xr:uid="{00000000-0005-0000-0000-000078000000}"/>
    <cellStyle name="Percent 5 2 3 2" xfId="89" xr:uid="{00000000-0005-0000-0000-000079000000}"/>
    <cellStyle name="Percent 5 2 3 2 2" xfId="131" xr:uid="{00000000-0005-0000-0000-00007A000000}"/>
    <cellStyle name="Percent 5 2 3 3" xfId="110" xr:uid="{00000000-0005-0000-0000-00007B000000}"/>
    <cellStyle name="Percent 5 2 4" xfId="80" xr:uid="{00000000-0005-0000-0000-00007C000000}"/>
    <cellStyle name="Percent 5 2 4 2" xfId="122" xr:uid="{00000000-0005-0000-0000-00007D000000}"/>
    <cellStyle name="Percent 5 2 5" xfId="101" xr:uid="{00000000-0005-0000-0000-00007E000000}"/>
    <cellStyle name="Percent 5 3" xfId="49" xr:uid="{00000000-0005-0000-0000-00007F000000}"/>
    <cellStyle name="Percent 5 3 2" xfId="88" xr:uid="{00000000-0005-0000-0000-000080000000}"/>
    <cellStyle name="Percent 5 3 2 2" xfId="130" xr:uid="{00000000-0005-0000-0000-000081000000}"/>
    <cellStyle name="Percent 5 3 3" xfId="109" xr:uid="{00000000-0005-0000-0000-000082000000}"/>
    <cellStyle name="Percent 5 4" xfId="79" xr:uid="{00000000-0005-0000-0000-000083000000}"/>
    <cellStyle name="Percent 5 4 2" xfId="121" xr:uid="{00000000-0005-0000-0000-000084000000}"/>
    <cellStyle name="Percent 5 5" xfId="100" xr:uid="{00000000-0005-0000-0000-000085000000}"/>
    <cellStyle name="Percent 6" xfId="35" xr:uid="{00000000-0005-0000-0000-000086000000}"/>
    <cellStyle name="Percent 7" xfId="36" xr:uid="{00000000-0005-0000-0000-000087000000}"/>
    <cellStyle name="Percent 7 2" xfId="37" xr:uid="{00000000-0005-0000-0000-000088000000}"/>
    <cellStyle name="Percent 8" xfId="38" xr:uid="{00000000-0005-0000-0000-000089000000}"/>
    <cellStyle name="Percent 8 2" xfId="52" xr:uid="{00000000-0005-0000-0000-00008A000000}"/>
    <cellStyle name="Percent 8 2 2" xfId="91" xr:uid="{00000000-0005-0000-0000-00008B000000}"/>
    <cellStyle name="Percent 8 2 2 2" xfId="133" xr:uid="{00000000-0005-0000-0000-00008C000000}"/>
    <cellStyle name="Percent 8 2 3" xfId="112" xr:uid="{00000000-0005-0000-0000-00008D000000}"/>
    <cellStyle name="Percent 8 3" xfId="82" xr:uid="{00000000-0005-0000-0000-00008E000000}"/>
    <cellStyle name="Percent 8 3 2" xfId="124" xr:uid="{00000000-0005-0000-0000-00008F000000}"/>
    <cellStyle name="Percent 8 4" xfId="103" xr:uid="{00000000-0005-0000-0000-000090000000}"/>
    <cellStyle name="Percent 9" xfId="39" xr:uid="{00000000-0005-0000-0000-000091000000}"/>
  </cellStyles>
  <dxfs count="216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CC66"/>
      <color rgb="FF66FF33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BDA4-D800-4C72-8934-D78D8F7466A7}">
  <sheetPr>
    <pageSetUpPr fitToPage="1"/>
  </sheetPr>
  <dimension ref="A1:T1396"/>
  <sheetViews>
    <sheetView zoomScale="60" zoomScaleNormal="60" workbookViewId="0">
      <selection activeCell="C38" sqref="C38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9.6640625" style="7" bestFit="1" customWidth="1"/>
    <col min="6" max="6" width="18.33203125" style="31" bestFit="1" customWidth="1"/>
    <col min="7" max="7" width="18.5546875" style="31" bestFit="1" customWidth="1"/>
    <col min="8" max="9" width="18.33203125" style="31" bestFit="1" customWidth="1"/>
    <col min="10" max="10" width="4.88671875" style="30" bestFit="1" customWidth="1"/>
    <col min="11" max="11" width="22.33203125" style="30" bestFit="1" customWidth="1"/>
    <col min="12" max="12" width="18.109375" style="30" customWidth="1"/>
    <col min="13" max="13" width="18.6640625" style="30" bestFit="1" customWidth="1"/>
    <col min="14" max="14" width="19.44140625" style="30" customWidth="1"/>
    <col min="15" max="15" width="19.109375" style="30" bestFit="1" customWidth="1"/>
    <col min="16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89" t="s">
        <v>153</v>
      </c>
      <c r="C1" s="190">
        <v>202301</v>
      </c>
      <c r="D1" s="273"/>
      <c r="E1" s="139"/>
      <c r="F1" s="139"/>
      <c r="G1" s="139"/>
      <c r="H1" s="139"/>
      <c r="I1" s="139"/>
      <c r="K1" s="185" t="s">
        <v>138</v>
      </c>
      <c r="L1" s="191" t="s">
        <v>139</v>
      </c>
      <c r="N1" s="291"/>
      <c r="O1" s="291"/>
      <c r="T1" s="270" t="s">
        <v>158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140</v>
      </c>
      <c r="N2" s="268"/>
      <c r="O2" s="268"/>
      <c r="T2" s="271" t="s">
        <v>159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160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161</v>
      </c>
    </row>
    <row r="5" spans="2:20" ht="15.6" customHeight="1" thickBot="1">
      <c r="B5" s="194"/>
      <c r="C5" s="13"/>
      <c r="D5" s="13"/>
      <c r="E5" s="249" t="s">
        <v>17</v>
      </c>
      <c r="F5" s="292" t="s">
        <v>32</v>
      </c>
      <c r="G5" s="293"/>
      <c r="H5" s="292" t="s">
        <v>33</v>
      </c>
      <c r="I5" s="294"/>
      <c r="J5" s="31"/>
      <c r="K5" s="295" t="s">
        <v>32</v>
      </c>
      <c r="L5" s="296"/>
      <c r="M5" s="296"/>
      <c r="N5" s="297"/>
      <c r="O5" s="295" t="s">
        <v>33</v>
      </c>
      <c r="P5" s="296"/>
      <c r="Q5" s="296"/>
      <c r="R5" s="297"/>
      <c r="T5" s="271" t="s">
        <v>162</v>
      </c>
    </row>
    <row r="6" spans="2:20" ht="15.6" customHeight="1" thickBot="1">
      <c r="B6" s="195" t="s">
        <v>18</v>
      </c>
      <c r="C6" s="3"/>
      <c r="D6" s="3"/>
      <c r="E6" s="242" t="s">
        <v>151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163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164</v>
      </c>
    </row>
    <row r="8" spans="2:20" ht="15.6" customHeight="1">
      <c r="B8" s="14"/>
      <c r="C8" s="3"/>
      <c r="D8" s="3"/>
      <c r="E8" s="263">
        <f>F8+H8</f>
        <v>1</v>
      </c>
      <c r="F8" s="233">
        <v>0.6845</v>
      </c>
      <c r="G8" s="234">
        <f>ROUND($L$29/($L$29+$P$28),4)</f>
        <v>0.68120000000000003</v>
      </c>
      <c r="H8" s="233">
        <v>0.3155</v>
      </c>
      <c r="I8" s="196">
        <f>1-G8</f>
        <v>0.31879999999999997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165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205</v>
      </c>
      <c r="C10" s="27">
        <v>804001</v>
      </c>
      <c r="D10" s="27" t="s">
        <v>137</v>
      </c>
      <c r="E10" s="244">
        <v>2327242.08</v>
      </c>
      <c r="F10" s="235"/>
      <c r="G10" s="236"/>
      <c r="H10" s="235"/>
      <c r="I10" s="226"/>
      <c r="J10" s="31"/>
      <c r="K10" s="25" t="s">
        <v>10</v>
      </c>
      <c r="L10" s="283">
        <v>22533765</v>
      </c>
      <c r="M10" s="207">
        <v>0.10111000000000001</v>
      </c>
      <c r="N10" s="184">
        <f t="shared" ref="N10:N16" si="0">L10*M10</f>
        <v>2278388.97915</v>
      </c>
      <c r="O10" s="25" t="s">
        <v>10</v>
      </c>
      <c r="P10" s="283">
        <v>11449140</v>
      </c>
      <c r="Q10" s="207">
        <v>9.1980000000000006E-2</v>
      </c>
      <c r="R10" s="184">
        <f>P10*Q10</f>
        <v>1053091.8972</v>
      </c>
    </row>
    <row r="11" spans="2:20" ht="15.6" customHeight="1" thickBot="1">
      <c r="B11" s="188" t="s">
        <v>206</v>
      </c>
      <c r="C11" s="27">
        <v>804002</v>
      </c>
      <c r="D11" s="27" t="s">
        <v>137</v>
      </c>
      <c r="E11" s="244">
        <v>46577.54</v>
      </c>
      <c r="F11" s="235"/>
      <c r="G11" s="236"/>
      <c r="H11" s="235"/>
      <c r="I11" s="226"/>
      <c r="J11" s="31"/>
      <c r="K11" s="25" t="s">
        <v>42</v>
      </c>
      <c r="L11" s="283">
        <v>68120</v>
      </c>
      <c r="M11" s="207">
        <v>0.10111000000000001</v>
      </c>
      <c r="N11" s="184">
        <f t="shared" si="0"/>
        <v>6887.6132000000007</v>
      </c>
      <c r="O11" s="25" t="s">
        <v>11</v>
      </c>
      <c r="P11" s="283">
        <v>3806249</v>
      </c>
      <c r="Q11" s="207">
        <f>Q10</f>
        <v>9.1980000000000006E-2</v>
      </c>
      <c r="R11" s="184">
        <f>P11*Q11</f>
        <v>350098.78302000003</v>
      </c>
    </row>
    <row r="12" spans="2:20" ht="15.6" customHeight="1" thickBot="1">
      <c r="B12" s="197" t="s">
        <v>141</v>
      </c>
      <c r="C12" s="6"/>
      <c r="D12" s="6"/>
      <c r="E12" s="245">
        <f>SUM(E10:E11)</f>
        <v>2373819.62</v>
      </c>
      <c r="F12" s="237"/>
      <c r="G12" s="238"/>
      <c r="H12" s="237"/>
      <c r="I12" s="227"/>
      <c r="J12" s="31"/>
      <c r="K12" s="25" t="s">
        <v>11</v>
      </c>
      <c r="L12" s="283">
        <v>9462702</v>
      </c>
      <c r="M12" s="207">
        <v>9.2460000000000001E-2</v>
      </c>
      <c r="N12" s="184">
        <f t="shared" si="0"/>
        <v>874921.42692</v>
      </c>
      <c r="O12" s="25" t="s">
        <v>12</v>
      </c>
      <c r="P12" s="283">
        <v>1513</v>
      </c>
      <c r="Q12" s="207">
        <f t="shared" ref="Q12:Q14" si="1">Q11</f>
        <v>9.1980000000000006E-2</v>
      </c>
      <c r="R12" s="184">
        <f>P12*Q12</f>
        <v>139.16574</v>
      </c>
    </row>
    <row r="13" spans="2:20" ht="15.6" customHeight="1" thickBot="1">
      <c r="B13" s="198" t="s">
        <v>25</v>
      </c>
      <c r="C13" s="1"/>
      <c r="D13" s="1"/>
      <c r="E13" s="246">
        <f>-E11</f>
        <v>-46577.54</v>
      </c>
      <c r="F13" s="235"/>
      <c r="G13" s="236"/>
      <c r="H13" s="235"/>
      <c r="I13" s="226"/>
      <c r="J13" s="31"/>
      <c r="K13" s="25" t="s">
        <v>12</v>
      </c>
      <c r="L13" s="283">
        <v>56109</v>
      </c>
      <c r="M13" s="207">
        <v>9.2460000000000001E-2</v>
      </c>
      <c r="N13" s="184">
        <f t="shared" si="0"/>
        <v>5187.8381399999998</v>
      </c>
      <c r="O13" s="25" t="s">
        <v>13</v>
      </c>
      <c r="P13" s="283">
        <v>0</v>
      </c>
      <c r="Q13" s="207">
        <f t="shared" si="1"/>
        <v>9.1980000000000006E-2</v>
      </c>
      <c r="R13" s="184">
        <f>P13*Q13</f>
        <v>0</v>
      </c>
    </row>
    <row r="14" spans="2:20" ht="15.6" customHeight="1" thickBot="1">
      <c r="B14" s="197" t="s">
        <v>154</v>
      </c>
      <c r="C14" s="199"/>
      <c r="D14" s="199"/>
      <c r="E14" s="245">
        <f>SUM(E12:E13)</f>
        <v>2327242.08</v>
      </c>
      <c r="F14" s="252">
        <f>E14*F8</f>
        <v>1592997.2037599999</v>
      </c>
      <c r="G14" s="253"/>
      <c r="H14" s="252">
        <f>E14*H8</f>
        <v>734244.87624000001</v>
      </c>
      <c r="I14" s="254"/>
      <c r="J14" s="31"/>
      <c r="K14" s="25" t="s">
        <v>13</v>
      </c>
      <c r="L14" s="283">
        <v>0</v>
      </c>
      <c r="M14" s="207">
        <v>5.9560000000000002E-2</v>
      </c>
      <c r="N14" s="184">
        <f t="shared" si="0"/>
        <v>0</v>
      </c>
      <c r="O14" s="25" t="s">
        <v>14</v>
      </c>
      <c r="P14" s="283">
        <v>0</v>
      </c>
      <c r="Q14" s="207">
        <f t="shared" si="1"/>
        <v>9.1980000000000006E-2</v>
      </c>
      <c r="R14" s="184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3">
        <v>472432</v>
      </c>
      <c r="M15" s="207">
        <v>5.9560000000000002E-2</v>
      </c>
      <c r="N15" s="184">
        <f t="shared" si="0"/>
        <v>28138.049920000001</v>
      </c>
      <c r="O15" s="24" t="s">
        <v>29</v>
      </c>
      <c r="P15" s="149">
        <f>SUM(P10:P14)</f>
        <v>15256902</v>
      </c>
      <c r="Q15" s="150"/>
      <c r="R15" s="22">
        <f>SUM(R10:R14)</f>
        <v>1403329.8459600001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3">
        <v>3527093</v>
      </c>
      <c r="M16" s="207">
        <v>5.4000000000000001E-4</v>
      </c>
      <c r="N16" s="184">
        <f t="shared" si="0"/>
        <v>1904.63022</v>
      </c>
      <c r="O16" s="25"/>
      <c r="P16" s="208">
        <v>15256902</v>
      </c>
      <c r="Q16" s="16"/>
      <c r="R16" s="151"/>
    </row>
    <row r="17" spans="2:18" ht="15.6" customHeight="1" thickBot="1">
      <c r="B17" s="188" t="s">
        <v>192</v>
      </c>
      <c r="C17" s="27">
        <v>804000</v>
      </c>
      <c r="D17" s="27" t="s">
        <v>137</v>
      </c>
      <c r="E17" s="244">
        <v>76065703.709999993</v>
      </c>
      <c r="F17" s="258"/>
      <c r="G17" s="256"/>
      <c r="H17" s="255"/>
      <c r="I17" s="257"/>
      <c r="J17" s="31"/>
      <c r="K17" s="24" t="s">
        <v>29</v>
      </c>
      <c r="L17" s="149">
        <f>SUM(L10:L16)</f>
        <v>36120221</v>
      </c>
      <c r="M17" s="4"/>
      <c r="N17" s="22">
        <f>SUM(N10:N16)</f>
        <v>3195428.5375500005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193</v>
      </c>
      <c r="C18" s="27">
        <v>804010</v>
      </c>
      <c r="D18" s="27" t="s">
        <v>137</v>
      </c>
      <c r="E18" s="244">
        <v>15992.06</v>
      </c>
      <c r="F18" s="255"/>
      <c r="G18" s="256"/>
      <c r="H18" s="255"/>
      <c r="I18" s="257"/>
      <c r="J18" s="31"/>
      <c r="K18" s="15"/>
      <c r="L18" s="208">
        <v>36120221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194</v>
      </c>
      <c r="C19" s="27">
        <v>804017</v>
      </c>
      <c r="D19" s="27" t="s">
        <v>137</v>
      </c>
      <c r="E19" s="244">
        <v>48916.52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195</v>
      </c>
      <c r="C20" s="27">
        <v>804018</v>
      </c>
      <c r="D20" s="27" t="s">
        <v>137</v>
      </c>
      <c r="E20" s="244">
        <v>9445.6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196</v>
      </c>
      <c r="C21" s="27">
        <v>804600</v>
      </c>
      <c r="D21" s="27" t="s">
        <v>137</v>
      </c>
      <c r="E21" s="244">
        <v>-26992494.379999999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197</v>
      </c>
      <c r="C22" s="27">
        <v>804730</v>
      </c>
      <c r="D22" s="27" t="s">
        <v>137</v>
      </c>
      <c r="E22" s="244">
        <v>78775.38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198</v>
      </c>
      <c r="C23" s="27">
        <v>808100</v>
      </c>
      <c r="D23" s="27" t="s">
        <v>137</v>
      </c>
      <c r="E23" s="244">
        <v>9303643.8900000006</v>
      </c>
      <c r="F23" s="255"/>
      <c r="G23" s="256"/>
      <c r="H23" s="255"/>
      <c r="I23" s="257"/>
      <c r="J23" s="31"/>
      <c r="K23" s="25" t="s">
        <v>10</v>
      </c>
      <c r="L23" s="275">
        <f>+L10</f>
        <v>22533765</v>
      </c>
      <c r="M23" s="207">
        <v>0.35372999999999999</v>
      </c>
      <c r="N23" s="184">
        <f>L23*M23</f>
        <v>7970868.6934500001</v>
      </c>
      <c r="O23" s="25" t="s">
        <v>10</v>
      </c>
      <c r="P23" s="275">
        <f>+P10</f>
        <v>11449140</v>
      </c>
      <c r="Q23" s="207">
        <v>0.34877000000000002</v>
      </c>
      <c r="R23" s="184">
        <f>P23*Q23</f>
        <v>3993116.5578000001</v>
      </c>
    </row>
    <row r="24" spans="2:18" ht="15.6" customHeight="1">
      <c r="B24" s="188" t="s">
        <v>199</v>
      </c>
      <c r="C24" s="27">
        <v>808200</v>
      </c>
      <c r="D24" s="27" t="s">
        <v>137</v>
      </c>
      <c r="E24" s="244">
        <v>-2881773.56</v>
      </c>
      <c r="F24" s="255"/>
      <c r="G24" s="256"/>
      <c r="H24" s="255"/>
      <c r="I24" s="257"/>
      <c r="J24" s="31"/>
      <c r="K24" s="25" t="s">
        <v>42</v>
      </c>
      <c r="L24" s="275">
        <f t="shared" ref="L24:L28" si="2">+L11</f>
        <v>68120</v>
      </c>
      <c r="M24" s="207">
        <f>M23</f>
        <v>0.35372999999999999</v>
      </c>
      <c r="N24" s="184">
        <f t="shared" ref="N24:N28" si="3">L24*M24</f>
        <v>24096.087599999999</v>
      </c>
      <c r="O24" s="25" t="s">
        <v>11</v>
      </c>
      <c r="P24" s="275">
        <f t="shared" ref="P24:P27" si="4">+P11</f>
        <v>3806249</v>
      </c>
      <c r="Q24" s="207">
        <f>Q23</f>
        <v>0.34877000000000002</v>
      </c>
      <c r="R24" s="184">
        <f t="shared" ref="R24:R27" si="5">P24*Q24</f>
        <v>1327505.4637300002</v>
      </c>
    </row>
    <row r="25" spans="2:18" ht="15.6" customHeight="1">
      <c r="B25" s="188" t="s">
        <v>200</v>
      </c>
      <c r="C25" s="27">
        <v>811000</v>
      </c>
      <c r="D25" s="27" t="s">
        <v>137</v>
      </c>
      <c r="E25" s="244">
        <v>-16984.25</v>
      </c>
      <c r="F25" s="255"/>
      <c r="G25" s="256"/>
      <c r="H25" s="255"/>
      <c r="I25" s="257"/>
      <c r="J25" s="31"/>
      <c r="K25" s="25" t="s">
        <v>11</v>
      </c>
      <c r="L25" s="275">
        <f t="shared" si="2"/>
        <v>9462702</v>
      </c>
      <c r="M25" s="207">
        <f t="shared" ref="M25:M28" si="6">M24</f>
        <v>0.35372999999999999</v>
      </c>
      <c r="N25" s="184">
        <f t="shared" si="3"/>
        <v>3347241.57846</v>
      </c>
      <c r="O25" s="25" t="s">
        <v>12</v>
      </c>
      <c r="P25" s="275">
        <f t="shared" si="4"/>
        <v>1513</v>
      </c>
      <c r="Q25" s="207">
        <f t="shared" ref="Q25:Q27" si="7">Q24</f>
        <v>0.34877000000000002</v>
      </c>
      <c r="R25" s="184">
        <f t="shared" si="5"/>
        <v>527.68901000000005</v>
      </c>
    </row>
    <row r="26" spans="2:18" ht="15.6" customHeight="1">
      <c r="B26" s="188" t="s">
        <v>201</v>
      </c>
      <c r="C26" s="27">
        <v>483000</v>
      </c>
      <c r="D26" s="27" t="s">
        <v>137</v>
      </c>
      <c r="E26" s="244">
        <v>-40231256.439999998</v>
      </c>
      <c r="F26" s="258"/>
      <c r="G26" s="256"/>
      <c r="H26" s="255"/>
      <c r="I26" s="257"/>
      <c r="J26" s="31"/>
      <c r="K26" s="25" t="s">
        <v>12</v>
      </c>
      <c r="L26" s="275">
        <f t="shared" si="2"/>
        <v>56109</v>
      </c>
      <c r="M26" s="207">
        <f t="shared" si="6"/>
        <v>0.35372999999999999</v>
      </c>
      <c r="N26" s="184">
        <f t="shared" si="3"/>
        <v>19847.436569999998</v>
      </c>
      <c r="O26" s="25" t="s">
        <v>13</v>
      </c>
      <c r="P26" s="275">
        <f t="shared" si="4"/>
        <v>0</v>
      </c>
      <c r="Q26" s="207">
        <f t="shared" si="7"/>
        <v>0.34877000000000002</v>
      </c>
      <c r="R26" s="184">
        <f t="shared" si="5"/>
        <v>0</v>
      </c>
    </row>
    <row r="27" spans="2:18" ht="15.6" customHeight="1">
      <c r="B27" s="188" t="s">
        <v>202</v>
      </c>
      <c r="C27" s="27">
        <v>483600</v>
      </c>
      <c r="D27" s="27" t="s">
        <v>137</v>
      </c>
      <c r="E27" s="244">
        <v>55845292.280000001</v>
      </c>
      <c r="F27" s="255"/>
      <c r="G27" s="256"/>
      <c r="H27" s="255"/>
      <c r="I27" s="257"/>
      <c r="J27" s="31"/>
      <c r="K27" s="25" t="s">
        <v>13</v>
      </c>
      <c r="L27" s="275">
        <f t="shared" si="2"/>
        <v>0</v>
      </c>
      <c r="M27" s="207">
        <f t="shared" si="6"/>
        <v>0.35372999999999999</v>
      </c>
      <c r="N27" s="184">
        <f t="shared" si="3"/>
        <v>0</v>
      </c>
      <c r="O27" s="25" t="s">
        <v>14</v>
      </c>
      <c r="P27" s="275">
        <f t="shared" si="4"/>
        <v>0</v>
      </c>
      <c r="Q27" s="207">
        <f t="shared" si="7"/>
        <v>0.34877000000000002</v>
      </c>
      <c r="R27" s="184">
        <f t="shared" si="5"/>
        <v>0</v>
      </c>
    </row>
    <row r="28" spans="2:18" ht="15.6" customHeight="1" thickBot="1">
      <c r="B28" s="188" t="s">
        <v>203</v>
      </c>
      <c r="C28" s="27">
        <v>483730</v>
      </c>
      <c r="D28" s="27" t="s">
        <v>137</v>
      </c>
      <c r="E28" s="244">
        <v>-1540439.11</v>
      </c>
      <c r="F28" s="255"/>
      <c r="G28" s="256"/>
      <c r="H28" s="255"/>
      <c r="I28" s="257"/>
      <c r="J28" s="31"/>
      <c r="K28" s="25" t="s">
        <v>14</v>
      </c>
      <c r="L28" s="275">
        <f t="shared" si="2"/>
        <v>472432</v>
      </c>
      <c r="M28" s="207">
        <f t="shared" si="6"/>
        <v>0.35372999999999999</v>
      </c>
      <c r="N28" s="184">
        <f t="shared" si="3"/>
        <v>167113.37135999999</v>
      </c>
      <c r="O28" s="24" t="s">
        <v>31</v>
      </c>
      <c r="P28" s="149">
        <f>SUM(P23:P27)</f>
        <v>15256902</v>
      </c>
      <c r="Q28" s="150"/>
      <c r="R28" s="22">
        <f>SUM(R23:R27)</f>
        <v>5321149.7105400003</v>
      </c>
    </row>
    <row r="29" spans="2:18" ht="15.6" customHeight="1" thickTop="1" thickBot="1">
      <c r="B29" s="188" t="s">
        <v>204</v>
      </c>
      <c r="C29" s="27">
        <v>495028</v>
      </c>
      <c r="D29" s="27" t="s">
        <v>137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32593128</v>
      </c>
      <c r="M29" s="150"/>
      <c r="N29" s="157">
        <f>SUM(N23:N28)</f>
        <v>11529167.167440001</v>
      </c>
      <c r="O29" s="24"/>
      <c r="P29" s="208">
        <v>15256902</v>
      </c>
      <c r="Q29" s="16"/>
      <c r="R29" s="154"/>
    </row>
    <row r="30" spans="2:18" ht="15.6" customHeight="1" thickTop="1">
      <c r="B30" s="188" t="s">
        <v>136</v>
      </c>
      <c r="C30" s="27">
        <v>495100</v>
      </c>
      <c r="D30" s="27" t="s">
        <v>137</v>
      </c>
      <c r="E30" s="244">
        <v>0</v>
      </c>
      <c r="F30" s="259"/>
      <c r="G30" s="260"/>
      <c r="H30" s="259"/>
      <c r="I30" s="261"/>
      <c r="J30" s="31"/>
      <c r="K30" s="15"/>
      <c r="L30" s="208">
        <v>32593128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46577.54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69282649.24000001</v>
      </c>
      <c r="F32" s="262"/>
      <c r="G32" s="236">
        <f>E32*G8</f>
        <v>47195340.66228801</v>
      </c>
      <c r="H32" s="146"/>
      <c r="I32" s="226">
        <f>E32*I8</f>
        <v>22087308.577711999</v>
      </c>
      <c r="J32" s="31"/>
    </row>
    <row r="33" spans="1:20" ht="15.6" customHeight="1">
      <c r="B33" s="188" t="s">
        <v>135</v>
      </c>
      <c r="C33" s="27">
        <v>495100</v>
      </c>
      <c r="D33" s="3" t="s">
        <v>142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122</v>
      </c>
      <c r="C34" s="27">
        <v>495100</v>
      </c>
      <c r="D34" s="3" t="s">
        <v>143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147</v>
      </c>
      <c r="Q34" s="1"/>
    </row>
    <row r="35" spans="1:20" ht="15.6" customHeight="1">
      <c r="B35" s="15" t="s">
        <v>144</v>
      </c>
      <c r="C35" s="27">
        <v>804000</v>
      </c>
      <c r="D35" s="3" t="s">
        <v>142</v>
      </c>
      <c r="E35" s="244">
        <v>319347.89</v>
      </c>
      <c r="F35" s="255"/>
      <c r="G35" s="236">
        <f>E35</f>
        <v>319347.89</v>
      </c>
      <c r="H35" s="146"/>
      <c r="I35" s="226"/>
      <c r="J35" s="31"/>
      <c r="K35" s="14" t="s">
        <v>149</v>
      </c>
      <c r="L35" s="147">
        <f>$F$39</f>
        <v>1592997.2037599999</v>
      </c>
      <c r="M35" s="147">
        <f>G39</f>
        <v>47514688.552288011</v>
      </c>
      <c r="N35" s="147">
        <f>$H$39</f>
        <v>734244.87624000001</v>
      </c>
      <c r="O35" s="147">
        <f>I39</f>
        <v>22245688.187711999</v>
      </c>
      <c r="P35" s="220">
        <f>SUM(L35:O35)-E39</f>
        <v>0</v>
      </c>
      <c r="Q35" s="1"/>
    </row>
    <row r="36" spans="1:20" ht="15.6" customHeight="1" thickBot="1">
      <c r="B36" s="15" t="s">
        <v>145</v>
      </c>
      <c r="C36" s="27">
        <v>804000</v>
      </c>
      <c r="D36" s="3" t="s">
        <v>143</v>
      </c>
      <c r="E36" s="244">
        <v>158379.60999999999</v>
      </c>
      <c r="F36" s="255"/>
      <c r="G36" s="236"/>
      <c r="H36" s="146"/>
      <c r="I36" s="226">
        <f>E36</f>
        <v>158379.60999999999</v>
      </c>
      <c r="J36" s="31"/>
      <c r="K36" s="14" t="s">
        <v>152</v>
      </c>
      <c r="L36" s="209">
        <f>-$N$17</f>
        <v>-3195428.5375500005</v>
      </c>
      <c r="M36" s="209">
        <f>-N29</f>
        <v>-11529167.167440001</v>
      </c>
      <c r="N36" s="209">
        <f>-$R$15</f>
        <v>-1403329.8459600001</v>
      </c>
      <c r="O36" s="209">
        <f>-R28</f>
        <v>-5321149.7105400003</v>
      </c>
      <c r="P36" s="220">
        <f>SUM(L36:O36)+N17+N29+R15+R28</f>
        <v>0</v>
      </c>
      <c r="Q36" s="1"/>
    </row>
    <row r="37" spans="1:20" ht="15.6" customHeight="1" thickBot="1">
      <c r="B37" s="197" t="s">
        <v>155</v>
      </c>
      <c r="C37" s="27"/>
      <c r="D37" s="3"/>
      <c r="E37" s="245">
        <f>SUM(E32:E36)</f>
        <v>69760376.74000001</v>
      </c>
      <c r="F37" s="237"/>
      <c r="G37" s="239"/>
      <c r="H37" s="237"/>
      <c r="I37" s="200"/>
      <c r="J37" s="31"/>
      <c r="K37" s="197" t="s">
        <v>150</v>
      </c>
      <c r="L37" s="152">
        <f t="shared" ref="L37:O37" si="8">SUM(L35:L36)</f>
        <v>-1602431.3337900005</v>
      </c>
      <c r="M37" s="152">
        <f>SUM(M35:M36)</f>
        <v>35985521.384848014</v>
      </c>
      <c r="N37" s="152">
        <f t="shared" si="8"/>
        <v>-669084.96972000005</v>
      </c>
      <c r="O37" s="152">
        <f t="shared" si="8"/>
        <v>16924538.477171998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146</v>
      </c>
      <c r="C39" s="205"/>
      <c r="D39" s="205"/>
      <c r="E39" s="245">
        <f>E37+E14</f>
        <v>72087618.820000008</v>
      </c>
      <c r="F39" s="250">
        <f>SUM(F14:F37)</f>
        <v>1592997.2037599999</v>
      </c>
      <c r="G39" s="251">
        <f t="shared" ref="G39:I39" si="9">SUM(G14:G37)</f>
        <v>47514688.552288011</v>
      </c>
      <c r="H39" s="250">
        <f t="shared" si="9"/>
        <v>734244.87624000001</v>
      </c>
      <c r="I39" s="206">
        <f t="shared" si="9"/>
        <v>22245688.187711999</v>
      </c>
      <c r="J39" s="31"/>
      <c r="K39" s="215"/>
      <c r="L39" s="218" t="s">
        <v>36</v>
      </c>
      <c r="M39" s="216">
        <f>SUM(L37:M37)</f>
        <v>34383090.051058009</v>
      </c>
      <c r="N39" s="219" t="s">
        <v>37</v>
      </c>
      <c r="O39" s="216">
        <f>SUM(N37:O37)</f>
        <v>16255453.507451998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157</v>
      </c>
      <c r="C41" s="265"/>
      <c r="D41" s="10" t="s">
        <v>156</v>
      </c>
      <c r="E41" s="274">
        <v>72087618.819999993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89" t="s">
        <v>148</v>
      </c>
      <c r="F45" s="290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6" thickBot="1">
      <c r="E47" s="224" t="e">
        <f>SUM('191010 WA DEF'!E84:E93)+SUM('191000 WA Amort'!H84:H93)+SUM(#REF!)+SUM(#REF!)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15" priority="27" operator="equal">
      <formula>"ERROR"</formula>
    </cfRule>
  </conditionalFormatting>
  <conditionalFormatting sqref="D43:D46">
    <cfRule type="cellIs" dxfId="214" priority="26" operator="equal">
      <formula>"ERROR"</formula>
    </cfRule>
  </conditionalFormatting>
  <conditionalFormatting sqref="P31">
    <cfRule type="cellIs" dxfId="213" priority="25" operator="notEqual">
      <formula>0</formula>
    </cfRule>
  </conditionalFormatting>
  <conditionalFormatting sqref="L19">
    <cfRule type="cellIs" dxfId="212" priority="23" stopIfTrue="1" operator="equal">
      <formula>0</formula>
    </cfRule>
    <cfRule type="cellIs" dxfId="211" priority="24" stopIfTrue="1" operator="notEqual">
      <formula>0</formula>
    </cfRule>
  </conditionalFormatting>
  <conditionalFormatting sqref="L19">
    <cfRule type="cellIs" dxfId="210" priority="21" stopIfTrue="1" operator="equal">
      <formula>0</formula>
    </cfRule>
    <cfRule type="cellIs" dxfId="209" priority="22" stopIfTrue="1" operator="notEqual">
      <formula>0</formula>
    </cfRule>
  </conditionalFormatting>
  <conditionalFormatting sqref="L31">
    <cfRule type="cellIs" dxfId="208" priority="19" stopIfTrue="1" operator="equal">
      <formula>0</formula>
    </cfRule>
    <cfRule type="cellIs" dxfId="207" priority="20" stopIfTrue="1" operator="notEqual">
      <formula>0</formula>
    </cfRule>
  </conditionalFormatting>
  <conditionalFormatting sqref="L31">
    <cfRule type="cellIs" dxfId="206" priority="17" stopIfTrue="1" operator="equal">
      <formula>0</formula>
    </cfRule>
    <cfRule type="cellIs" dxfId="205" priority="18" stopIfTrue="1" operator="notEqual">
      <formula>0</formula>
    </cfRule>
  </conditionalFormatting>
  <conditionalFormatting sqref="P17">
    <cfRule type="cellIs" dxfId="204" priority="15" stopIfTrue="1" operator="equal">
      <formula>0</formula>
    </cfRule>
    <cfRule type="cellIs" dxfId="203" priority="16" stopIfTrue="1" operator="notEqual">
      <formula>0</formula>
    </cfRule>
  </conditionalFormatting>
  <conditionalFormatting sqref="P17">
    <cfRule type="cellIs" dxfId="202" priority="13" stopIfTrue="1" operator="equal">
      <formula>0</formula>
    </cfRule>
    <cfRule type="cellIs" dxfId="201" priority="14" stopIfTrue="1" operator="notEqual">
      <formula>0</formula>
    </cfRule>
  </conditionalFormatting>
  <conditionalFormatting sqref="P30">
    <cfRule type="cellIs" dxfId="200" priority="11" stopIfTrue="1" operator="equal">
      <formula>0</formula>
    </cfRule>
    <cfRule type="cellIs" dxfId="199" priority="12" stopIfTrue="1" operator="notEqual">
      <formula>0</formula>
    </cfRule>
  </conditionalFormatting>
  <conditionalFormatting sqref="P30">
    <cfRule type="cellIs" dxfId="198" priority="9" stopIfTrue="1" operator="equal">
      <formula>0</formula>
    </cfRule>
    <cfRule type="cellIs" dxfId="197" priority="10" stopIfTrue="1" operator="notEqual">
      <formula>0</formula>
    </cfRule>
  </conditionalFormatting>
  <conditionalFormatting sqref="P35:P36">
    <cfRule type="cellIs" dxfId="196" priority="7" stopIfTrue="1" operator="equal">
      <formula>0</formula>
    </cfRule>
    <cfRule type="cellIs" dxfId="195" priority="8" stopIfTrue="1" operator="notEqual">
      <formula>0</formula>
    </cfRule>
  </conditionalFormatting>
  <conditionalFormatting sqref="P35:P36">
    <cfRule type="cellIs" dxfId="194" priority="5" stopIfTrue="1" operator="equal">
      <formula>0</formula>
    </cfRule>
    <cfRule type="cellIs" dxfId="193" priority="6" stopIfTrue="1" operator="notEqual">
      <formula>0</formula>
    </cfRule>
  </conditionalFormatting>
  <conditionalFormatting sqref="E42">
    <cfRule type="cellIs" dxfId="192" priority="3" stopIfTrue="1" operator="equal">
      <formula>0</formula>
    </cfRule>
    <cfRule type="cellIs" dxfId="191" priority="4" stopIfTrue="1" operator="notEqual">
      <formula>0</formula>
    </cfRule>
  </conditionalFormatting>
  <conditionalFormatting sqref="E42">
    <cfRule type="cellIs" dxfId="190" priority="1" stopIfTrue="1" operator="equal">
      <formula>0</formula>
    </cfRule>
    <cfRule type="cellIs" dxfId="189" priority="2" stopIfTrue="1" operator="notEqual">
      <formula>0</formula>
    </cfRule>
  </conditionalFormatting>
  <printOptions horizontalCentered="1"/>
  <pageMargins left="0.1" right="0.1" top="0.5" bottom="0.5" header="0.3" footer="0.3"/>
  <pageSetup scale="43" orientation="landscape" r:id="rId1"/>
  <headerFooter>
    <oddFooter>&amp;R&amp;Z&amp;F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Z95"/>
  <sheetViews>
    <sheetView tabSelected="1" zoomScale="90" zoomScaleNormal="90" workbookViewId="0">
      <pane ySplit="6" topLeftCell="A73" activePane="bottomLeft" state="frozen"/>
      <selection activeCell="I19" sqref="I19"/>
      <selection pane="bottomLeft" activeCell="O90" sqref="O90"/>
    </sheetView>
  </sheetViews>
  <sheetFormatPr defaultColWidth="8.88671875" defaultRowHeight="13.8" outlineLevelCol="1"/>
  <cols>
    <col min="1" max="1" width="9.109375" style="55" customWidth="1"/>
    <col min="2" max="2" width="9" style="55" bestFit="1" customWidth="1"/>
    <col min="3" max="3" width="14.109375" style="55" bestFit="1" customWidth="1"/>
    <col min="4" max="4" width="12.88671875" style="55" bestFit="1" customWidth="1"/>
    <col min="5" max="5" width="14.109375" style="55" bestFit="1" customWidth="1"/>
    <col min="6" max="6" width="14.33203125" style="55" bestFit="1" customWidth="1"/>
    <col min="7" max="7" width="12.44140625" style="55" customWidth="1"/>
    <col min="8" max="8" width="13.6640625" style="55" bestFit="1" customWidth="1"/>
    <col min="9" max="9" width="11.5546875" style="55" bestFit="1" customWidth="1"/>
    <col min="10" max="10" width="10.109375" style="55" bestFit="1" customWidth="1"/>
    <col min="11" max="11" width="13.6640625" style="55" bestFit="1" customWidth="1"/>
    <col min="12" max="12" width="11.5546875" style="55" hidden="1" customWidth="1" outlineLevel="1"/>
    <col min="13" max="13" width="11" style="55" hidden="1" customWidth="1" outlineLevel="1"/>
    <col min="14" max="14" width="11.5546875" style="55" hidden="1" customWidth="1" outlineLevel="1"/>
    <col min="15" max="15" width="11.33203125" style="55" bestFit="1" customWidth="1" collapsed="1"/>
    <col min="16" max="16" width="14.109375" style="55" bestFit="1" customWidth="1"/>
    <col min="17" max="17" width="1.6640625" style="118" customWidth="1"/>
    <col min="18" max="18" width="14.109375" style="55" bestFit="1" customWidth="1"/>
    <col min="19" max="19" width="13.33203125" style="56" bestFit="1" customWidth="1"/>
    <col min="20" max="20" width="13.5546875" style="55" customWidth="1"/>
    <col min="21" max="21" width="13.88671875" style="55" bestFit="1" customWidth="1"/>
    <col min="22" max="24" width="8.88671875" style="55"/>
    <col min="25" max="25" width="12.6640625" style="55" customWidth="1"/>
    <col min="26" max="27" width="13.109375" style="55" bestFit="1" customWidth="1"/>
    <col min="28" max="16384" width="8.88671875" style="55"/>
  </cols>
  <sheetData>
    <row r="1" spans="1:21" s="36" customFormat="1" ht="15.6">
      <c r="A1" s="99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s="36" customFormat="1" ht="15.6">
      <c r="A2" s="99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s="36" customFormat="1" ht="15.6">
      <c r="A3" s="99" t="s">
        <v>107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1" s="36" customFormat="1" ht="15.6">
      <c r="A4" s="99" t="s">
        <v>49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21" s="39" customFormat="1" ht="14.4" thickBot="1">
      <c r="A5" s="9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97" customFormat="1" ht="56.4" customHeight="1">
      <c r="A6" s="42" t="s">
        <v>43</v>
      </c>
      <c r="B6" s="42" t="s">
        <v>41</v>
      </c>
      <c r="C6" s="42" t="s">
        <v>84</v>
      </c>
      <c r="D6" s="42" t="s">
        <v>87</v>
      </c>
      <c r="E6" s="113" t="s">
        <v>40</v>
      </c>
      <c r="F6" s="103" t="s">
        <v>102</v>
      </c>
      <c r="G6" s="104" t="s">
        <v>85</v>
      </c>
      <c r="H6" s="105" t="s">
        <v>55</v>
      </c>
      <c r="I6" s="103" t="s">
        <v>103</v>
      </c>
      <c r="J6" s="104" t="s">
        <v>85</v>
      </c>
      <c r="K6" s="105" t="s">
        <v>55</v>
      </c>
      <c r="L6" s="103" t="s">
        <v>104</v>
      </c>
      <c r="M6" s="104" t="s">
        <v>85</v>
      </c>
      <c r="N6" s="105" t="s">
        <v>55</v>
      </c>
      <c r="O6" s="116" t="s">
        <v>3</v>
      </c>
      <c r="P6" s="42" t="s">
        <v>15</v>
      </c>
      <c r="Q6" s="117"/>
      <c r="R6" s="44" t="s">
        <v>44</v>
      </c>
      <c r="S6" s="44" t="s">
        <v>45</v>
      </c>
    </row>
    <row r="7" spans="1:21" s="97" customFormat="1" hidden="1" collapsed="1">
      <c r="A7" s="93" t="s">
        <v>46</v>
      </c>
      <c r="B7" s="100">
        <v>4.2500000000000003E-2</v>
      </c>
      <c r="C7" s="58">
        <v>0</v>
      </c>
      <c r="D7" s="58">
        <v>0</v>
      </c>
      <c r="E7" s="114">
        <v>-8772939.4499999993</v>
      </c>
      <c r="F7" s="110">
        <v>20280155</v>
      </c>
      <c r="G7" s="101">
        <v>9.0670000000000001E-2</v>
      </c>
      <c r="H7" s="115">
        <v>1838801.6538500001</v>
      </c>
      <c r="I7" s="111">
        <v>6608892</v>
      </c>
      <c r="J7" s="101">
        <v>7.4749999999999997E-2</v>
      </c>
      <c r="K7" s="115">
        <v>494014.67699999997</v>
      </c>
      <c r="L7" s="111">
        <v>362835</v>
      </c>
      <c r="M7" s="101">
        <v>4.7449999999999999E-2</v>
      </c>
      <c r="N7" s="115">
        <v>17216.52075</v>
      </c>
      <c r="O7" s="109">
        <v>-26909.31</v>
      </c>
      <c r="P7" s="58">
        <v>-6449815.9083999982</v>
      </c>
      <c r="Q7" s="46"/>
      <c r="R7" s="60">
        <v>-6449815.9100000001</v>
      </c>
      <c r="S7" s="61">
        <v>-1.6000019386410713E-3</v>
      </c>
    </row>
    <row r="8" spans="1:21" s="97" customFormat="1" hidden="1">
      <c r="A8" s="93" t="s">
        <v>47</v>
      </c>
      <c r="B8" s="100">
        <v>4.2500000000000003E-2</v>
      </c>
      <c r="C8" s="58">
        <v>0</v>
      </c>
      <c r="D8" s="58">
        <v>-370.51</v>
      </c>
      <c r="E8" s="114">
        <v>-6449815.9083999982</v>
      </c>
      <c r="F8" s="110">
        <v>18200880</v>
      </c>
      <c r="G8" s="101">
        <v>9.0670000000000001E-2</v>
      </c>
      <c r="H8" s="115">
        <v>1650273.7896</v>
      </c>
      <c r="I8" s="112">
        <v>7202971</v>
      </c>
      <c r="J8" s="101">
        <v>7.4749999999999997E-2</v>
      </c>
      <c r="K8" s="115">
        <v>538422.08224999998</v>
      </c>
      <c r="L8" s="112">
        <v>448875</v>
      </c>
      <c r="M8" s="101">
        <v>4.7449999999999999E-2</v>
      </c>
      <c r="N8" s="115">
        <v>21299.118749999998</v>
      </c>
      <c r="O8" s="109">
        <v>-18930.22</v>
      </c>
      <c r="P8" s="58">
        <v>-4259121.6477999976</v>
      </c>
      <c r="Q8" s="46"/>
      <c r="R8" s="60">
        <v>-4259121.6500000004</v>
      </c>
      <c r="S8" s="61">
        <v>-2.2000027820467949E-3</v>
      </c>
    </row>
    <row r="9" spans="1:21" s="97" customFormat="1" hidden="1">
      <c r="A9" s="93" t="s">
        <v>48</v>
      </c>
      <c r="B9" s="100">
        <v>4.2500000000000003E-2</v>
      </c>
      <c r="C9" s="58">
        <v>0</v>
      </c>
      <c r="D9" s="58">
        <v>0</v>
      </c>
      <c r="E9" s="114">
        <v>-4259121.6477999976</v>
      </c>
      <c r="F9" s="110">
        <v>15790512</v>
      </c>
      <c r="G9" s="101">
        <v>9.0670000000000001E-2</v>
      </c>
      <c r="H9" s="115">
        <v>1431725.7230400001</v>
      </c>
      <c r="I9" s="112">
        <v>5606266</v>
      </c>
      <c r="J9" s="101">
        <v>7.4749999999999997E-2</v>
      </c>
      <c r="K9" s="115">
        <v>419068.3835</v>
      </c>
      <c r="L9" s="112">
        <v>345298</v>
      </c>
      <c r="M9" s="101">
        <v>4.7449999999999999E-2</v>
      </c>
      <c r="N9" s="115">
        <v>16384.390100000001</v>
      </c>
      <c r="O9" s="109">
        <v>-11777.93</v>
      </c>
      <c r="P9" s="58">
        <v>-2403721.0811599977</v>
      </c>
      <c r="Q9" s="46"/>
      <c r="R9" s="60">
        <v>-2403721.08</v>
      </c>
      <c r="S9" s="61">
        <v>1.1599976569414139E-3</v>
      </c>
      <c r="U9" s="98"/>
    </row>
    <row r="10" spans="1:21" s="97" customFormat="1" hidden="1" collapsed="1">
      <c r="A10" s="93" t="s">
        <v>51</v>
      </c>
      <c r="B10" s="100">
        <v>4.4699999999999997E-2</v>
      </c>
      <c r="C10" s="58">
        <v>0</v>
      </c>
      <c r="D10" s="58">
        <v>0</v>
      </c>
      <c r="E10" s="114">
        <v>-2403721.0811599977</v>
      </c>
      <c r="F10" s="110">
        <v>9771651</v>
      </c>
      <c r="G10" s="101">
        <v>9.0670000000000001E-2</v>
      </c>
      <c r="H10" s="115">
        <v>885995.59617000003</v>
      </c>
      <c r="I10" s="112">
        <v>4266905</v>
      </c>
      <c r="J10" s="101">
        <v>7.4749999999999997E-2</v>
      </c>
      <c r="K10" s="115">
        <v>318951.14874999999</v>
      </c>
      <c r="L10" s="112">
        <v>305691</v>
      </c>
      <c r="M10" s="101">
        <v>4.7449999999999999E-2</v>
      </c>
      <c r="N10" s="115">
        <v>14505.03795</v>
      </c>
      <c r="O10" s="109">
        <v>-6682.63</v>
      </c>
      <c r="P10" s="58">
        <v>-1190951.9282899976</v>
      </c>
      <c r="Q10" s="46"/>
      <c r="R10" s="60">
        <v>-1190951.93</v>
      </c>
      <c r="S10" s="61">
        <v>-1.7100023105740547E-3</v>
      </c>
    </row>
    <row r="11" spans="1:21" s="97" customFormat="1" hidden="1">
      <c r="A11" s="93" t="s">
        <v>52</v>
      </c>
      <c r="B11" s="100">
        <v>4.4699999999999997E-2</v>
      </c>
      <c r="C11" s="58">
        <v>0</v>
      </c>
      <c r="D11" s="58">
        <v>0</v>
      </c>
      <c r="E11" s="114">
        <v>-1190951.9282899976</v>
      </c>
      <c r="F11" s="110">
        <v>3291053</v>
      </c>
      <c r="G11" s="101">
        <v>9.0670000000000001E-2</v>
      </c>
      <c r="H11" s="115">
        <v>298399.77551000001</v>
      </c>
      <c r="I11" s="112">
        <v>2210506</v>
      </c>
      <c r="J11" s="101">
        <v>7.4749999999999997E-2</v>
      </c>
      <c r="K11" s="115">
        <v>165235.3235</v>
      </c>
      <c r="L11" s="112">
        <v>234262</v>
      </c>
      <c r="M11" s="101">
        <v>4.7449999999999999E-2</v>
      </c>
      <c r="N11" s="115">
        <v>11115.731900000001</v>
      </c>
      <c r="O11" s="109">
        <v>-3552.07</v>
      </c>
      <c r="P11" s="58">
        <v>-719753.16737999755</v>
      </c>
      <c r="Q11" s="46"/>
      <c r="R11" s="60">
        <v>-719753.17</v>
      </c>
      <c r="S11" s="61">
        <v>-2.6200024876743555E-3</v>
      </c>
    </row>
    <row r="12" spans="1:21" s="97" customFormat="1" hidden="1">
      <c r="A12" s="93" t="s">
        <v>53</v>
      </c>
      <c r="B12" s="100">
        <v>4.4699999999999997E-2</v>
      </c>
      <c r="C12" s="58">
        <v>0</v>
      </c>
      <c r="D12" s="58">
        <v>0</v>
      </c>
      <c r="E12" s="114">
        <v>-719753.16737999755</v>
      </c>
      <c r="F12" s="110">
        <v>2633458</v>
      </c>
      <c r="G12" s="101">
        <v>9.0670000000000001E-2</v>
      </c>
      <c r="H12" s="115">
        <v>238775.63686</v>
      </c>
      <c r="I12" s="112">
        <v>1922676</v>
      </c>
      <c r="J12" s="101">
        <v>7.4749999999999997E-2</v>
      </c>
      <c r="K12" s="115">
        <v>143720.03099999999</v>
      </c>
      <c r="L12" s="112">
        <v>318982</v>
      </c>
      <c r="M12" s="101">
        <v>4.7449999999999999E-2</v>
      </c>
      <c r="N12" s="115">
        <v>15135.695900000001</v>
      </c>
      <c r="O12" s="109">
        <v>-1940.49</v>
      </c>
      <c r="P12" s="58">
        <v>-324062.29361999762</v>
      </c>
      <c r="Q12" s="46"/>
      <c r="R12" s="60">
        <v>-324062.3</v>
      </c>
      <c r="S12" s="61">
        <v>-6.3800023635849357E-3</v>
      </c>
      <c r="U12" s="98"/>
    </row>
    <row r="13" spans="1:21" hidden="1">
      <c r="A13" s="93" t="s">
        <v>74</v>
      </c>
      <c r="B13" s="100">
        <v>4.6899999999999997E-2</v>
      </c>
      <c r="C13" s="58">
        <v>0</v>
      </c>
      <c r="D13" s="58">
        <v>0</v>
      </c>
      <c r="E13" s="114">
        <v>-324062.29361999762</v>
      </c>
      <c r="F13" s="110">
        <v>2296422</v>
      </c>
      <c r="G13" s="101">
        <v>9.0670000000000001E-2</v>
      </c>
      <c r="H13" s="115">
        <v>208216.58274000001</v>
      </c>
      <c r="I13" s="112">
        <v>1476772</v>
      </c>
      <c r="J13" s="101">
        <v>7.4749999999999997E-2</v>
      </c>
      <c r="K13" s="115">
        <v>110388.70699999999</v>
      </c>
      <c r="L13" s="112">
        <v>256335</v>
      </c>
      <c r="M13" s="101">
        <v>4.7449999999999999E-2</v>
      </c>
      <c r="N13" s="115">
        <v>12163.09575</v>
      </c>
      <c r="O13" s="109">
        <v>-620.16999999999996</v>
      </c>
      <c r="P13" s="58">
        <v>6085.921870002383</v>
      </c>
      <c r="Q13" s="46"/>
      <c r="R13" s="60">
        <v>6085.92</v>
      </c>
      <c r="S13" s="61">
        <v>-1.8700023829296697E-3</v>
      </c>
    </row>
    <row r="14" spans="1:21" hidden="1">
      <c r="A14" s="93" t="s">
        <v>75</v>
      </c>
      <c r="B14" s="100">
        <v>4.6899999999999997E-2</v>
      </c>
      <c r="C14" s="58">
        <v>0</v>
      </c>
      <c r="D14" s="58">
        <v>0</v>
      </c>
      <c r="E14" s="114">
        <v>6085.921870002383</v>
      </c>
      <c r="F14" s="110">
        <v>2216074</v>
      </c>
      <c r="G14" s="101">
        <v>9.0670000000000001E-2</v>
      </c>
      <c r="H14" s="115">
        <v>200931.42958</v>
      </c>
      <c r="I14" s="112">
        <v>1588311</v>
      </c>
      <c r="J14" s="101">
        <v>7.4749999999999997E-2</v>
      </c>
      <c r="K14" s="115">
        <v>118726.24725</v>
      </c>
      <c r="L14" s="112">
        <v>306054</v>
      </c>
      <c r="M14" s="101">
        <v>4.7449999999999999E-2</v>
      </c>
      <c r="N14" s="115">
        <v>14522.2623</v>
      </c>
      <c r="O14" s="109">
        <v>676.83</v>
      </c>
      <c r="P14" s="58">
        <v>340942.69100000238</v>
      </c>
      <c r="Q14" s="46"/>
      <c r="R14" s="60">
        <v>340942.69</v>
      </c>
      <c r="S14" s="61">
        <v>-1.0000023758038878E-3</v>
      </c>
    </row>
    <row r="15" spans="1:21" hidden="1">
      <c r="A15" s="93" t="s">
        <v>76</v>
      </c>
      <c r="B15" s="100">
        <v>4.6899999999999997E-2</v>
      </c>
      <c r="C15" s="58">
        <v>0</v>
      </c>
      <c r="D15" s="58">
        <v>0</v>
      </c>
      <c r="E15" s="114">
        <v>340942.69100000238</v>
      </c>
      <c r="F15" s="110">
        <v>3080268</v>
      </c>
      <c r="G15" s="101">
        <v>9.0670000000000001E-2</v>
      </c>
      <c r="H15" s="115">
        <v>279287.89955999999</v>
      </c>
      <c r="I15" s="112">
        <v>1948398</v>
      </c>
      <c r="J15" s="101">
        <v>7.4749999999999997E-2</v>
      </c>
      <c r="K15" s="115">
        <v>145642.75049999999</v>
      </c>
      <c r="L15" s="112">
        <v>302898</v>
      </c>
      <c r="M15" s="101">
        <v>4.7449999999999999E-2</v>
      </c>
      <c r="N15" s="115">
        <v>14372.5101</v>
      </c>
      <c r="O15" s="109">
        <v>2190.9899999999998</v>
      </c>
      <c r="P15" s="58">
        <v>782436.84116000228</v>
      </c>
      <c r="Q15" s="46"/>
      <c r="R15" s="60">
        <v>782436.84</v>
      </c>
      <c r="S15" s="61">
        <v>-1.160002313554287E-3</v>
      </c>
    </row>
    <row r="16" spans="1:21" hidden="1">
      <c r="A16" s="93" t="s">
        <v>77</v>
      </c>
      <c r="B16" s="100">
        <v>4.9599999999999998E-2</v>
      </c>
      <c r="C16" s="58">
        <v>0</v>
      </c>
      <c r="D16" s="58">
        <v>0</v>
      </c>
      <c r="E16" s="114">
        <v>782436.84116000228</v>
      </c>
      <c r="F16" s="110">
        <v>8400703</v>
      </c>
      <c r="G16" s="101">
        <v>9.0670000000000001E-2</v>
      </c>
      <c r="H16" s="115">
        <v>761691.74101</v>
      </c>
      <c r="I16" s="112">
        <v>3674467</v>
      </c>
      <c r="J16" s="101">
        <v>7.4749999999999997E-2</v>
      </c>
      <c r="K16" s="115">
        <v>274666.40824999998</v>
      </c>
      <c r="L16" s="112">
        <v>398880</v>
      </c>
      <c r="M16" s="101">
        <v>4.7449999999999999E-2</v>
      </c>
      <c r="N16" s="115">
        <v>18926.856</v>
      </c>
      <c r="O16" s="109">
        <v>5414.99</v>
      </c>
      <c r="P16" s="58">
        <v>1843136.8364200019</v>
      </c>
      <c r="Q16" s="46"/>
      <c r="R16" s="60">
        <v>1843136.84</v>
      </c>
      <c r="S16" s="61">
        <v>3.5799981560558081E-3</v>
      </c>
    </row>
    <row r="17" spans="1:19" hidden="1">
      <c r="A17" s="93" t="s">
        <v>78</v>
      </c>
      <c r="B17" s="100">
        <v>4.9599999999999998E-2</v>
      </c>
      <c r="C17" s="63">
        <v>-15619860.030000001</v>
      </c>
      <c r="D17" s="63">
        <v>193448.89</v>
      </c>
      <c r="E17" s="114">
        <v>-13776723.19358</v>
      </c>
      <c r="F17" s="110">
        <v>15575844</v>
      </c>
      <c r="G17" s="83" t="s">
        <v>86</v>
      </c>
      <c r="H17" s="106">
        <v>1424139</v>
      </c>
      <c r="I17" s="112">
        <v>5726364</v>
      </c>
      <c r="J17" s="83" t="s">
        <v>86</v>
      </c>
      <c r="K17" s="106">
        <v>435855</v>
      </c>
      <c r="L17" s="112">
        <v>420845</v>
      </c>
      <c r="M17" s="83" t="s">
        <v>86</v>
      </c>
      <c r="N17" s="106">
        <v>20101</v>
      </c>
      <c r="O17" s="109">
        <v>-52658.47</v>
      </c>
      <c r="P17" s="58">
        <v>-11755837.77358</v>
      </c>
      <c r="Q17" s="46"/>
      <c r="R17" s="60">
        <v>-11755837.77</v>
      </c>
      <c r="S17" s="61">
        <v>3.580000251531601E-3</v>
      </c>
    </row>
    <row r="18" spans="1:19" ht="14.4" hidden="1" thickBot="1">
      <c r="A18" s="94" t="s">
        <v>67</v>
      </c>
      <c r="B18" s="119">
        <v>4.9599999999999998E-2</v>
      </c>
      <c r="C18" s="66">
        <v>0</v>
      </c>
      <c r="D18" s="66">
        <v>0</v>
      </c>
      <c r="E18" s="120">
        <v>-11755837.77358</v>
      </c>
      <c r="F18" s="121">
        <v>20591859</v>
      </c>
      <c r="G18" s="88" t="s">
        <v>86</v>
      </c>
      <c r="H18" s="107">
        <v>1883313</v>
      </c>
      <c r="I18" s="122">
        <v>18064862</v>
      </c>
      <c r="J18" s="88" t="s">
        <v>86</v>
      </c>
      <c r="K18" s="107">
        <v>1229205</v>
      </c>
      <c r="L18" s="122">
        <v>-10914823</v>
      </c>
      <c r="M18" s="88" t="s">
        <v>86</v>
      </c>
      <c r="N18" s="107">
        <v>-399712</v>
      </c>
      <c r="O18" s="123">
        <v>-42984.33</v>
      </c>
      <c r="P18" s="66">
        <v>-9086016.1035799999</v>
      </c>
      <c r="Q18" s="124"/>
      <c r="R18" s="67">
        <v>-9086016.0999999996</v>
      </c>
      <c r="S18" s="68">
        <v>3.580000251531601E-3</v>
      </c>
    </row>
    <row r="19" spans="1:19" hidden="1">
      <c r="A19" s="95" t="s">
        <v>88</v>
      </c>
      <c r="B19" s="100">
        <v>5.1799999999999999E-2</v>
      </c>
      <c r="C19" s="84">
        <v>0</v>
      </c>
      <c r="D19" s="84">
        <v>0</v>
      </c>
      <c r="E19" s="102">
        <v>-9086016.1035799999</v>
      </c>
      <c r="F19" s="110">
        <v>21097779</v>
      </c>
      <c r="G19" s="101">
        <v>9.1660000000000005E-2</v>
      </c>
      <c r="H19" s="115">
        <v>1933822.4231400001</v>
      </c>
      <c r="I19" s="112">
        <v>4326716</v>
      </c>
      <c r="J19" s="101">
        <v>7.6249999999999998E-2</v>
      </c>
      <c r="K19" s="115">
        <v>329912.09499999997</v>
      </c>
      <c r="L19" s="112">
        <v>3809625</v>
      </c>
      <c r="M19" s="101">
        <v>4.7800000000000002E-2</v>
      </c>
      <c r="N19" s="115">
        <v>182100.07500000001</v>
      </c>
      <c r="O19" s="108">
        <v>-33942.379999999997</v>
      </c>
      <c r="P19" s="84">
        <v>-6674123.8904399993</v>
      </c>
      <c r="Q19" s="46"/>
      <c r="R19" s="85">
        <v>-6674123.8799999999</v>
      </c>
      <c r="S19" s="86">
        <v>1.0439999401569366E-2</v>
      </c>
    </row>
    <row r="20" spans="1:19" hidden="1">
      <c r="A20" s="93" t="s">
        <v>89</v>
      </c>
      <c r="B20" s="100">
        <v>5.1799999999999999E-2</v>
      </c>
      <c r="C20" s="58">
        <v>0</v>
      </c>
      <c r="D20" s="58">
        <v>0</v>
      </c>
      <c r="E20" s="114">
        <v>-6674123.8904399993</v>
      </c>
      <c r="F20" s="110">
        <v>23418618</v>
      </c>
      <c r="G20" s="101">
        <v>9.1660000000000005E-2</v>
      </c>
      <c r="H20" s="115">
        <v>2146550.5258800001</v>
      </c>
      <c r="I20" s="112">
        <v>8977809</v>
      </c>
      <c r="J20" s="101">
        <v>7.6249999999999998E-2</v>
      </c>
      <c r="K20" s="115">
        <v>684557.93625000003</v>
      </c>
      <c r="L20" s="112">
        <v>177522</v>
      </c>
      <c r="M20" s="101">
        <v>4.7800000000000002E-2</v>
      </c>
      <c r="N20" s="115">
        <v>8485.5516000000007</v>
      </c>
      <c r="O20" s="109">
        <v>-22681.18</v>
      </c>
      <c r="P20" s="58">
        <v>-3857211.0567099988</v>
      </c>
      <c r="Q20" s="46"/>
      <c r="R20" s="60">
        <v>-3857211.04</v>
      </c>
      <c r="S20" s="61">
        <v>1.6709998715668917E-2</v>
      </c>
    </row>
    <row r="21" spans="1:19" hidden="1">
      <c r="A21" s="93" t="s">
        <v>90</v>
      </c>
      <c r="B21" s="100">
        <v>5.1799999999999999E-2</v>
      </c>
      <c r="C21" s="58">
        <v>0</v>
      </c>
      <c r="D21" s="58">
        <v>0</v>
      </c>
      <c r="E21" s="114">
        <v>-3857211.0567099988</v>
      </c>
      <c r="F21" s="110">
        <v>18495485</v>
      </c>
      <c r="G21" s="101">
        <v>9.1660000000000005E-2</v>
      </c>
      <c r="H21" s="115">
        <v>1695296.1551000001</v>
      </c>
      <c r="I21" s="112">
        <v>6826624</v>
      </c>
      <c r="J21" s="101">
        <v>7.6249999999999998E-2</v>
      </c>
      <c r="K21" s="115">
        <v>520530.08</v>
      </c>
      <c r="L21" s="112">
        <v>115935</v>
      </c>
      <c r="M21" s="101">
        <v>4.7800000000000002E-2</v>
      </c>
      <c r="N21" s="115">
        <v>5541.6930000000002</v>
      </c>
      <c r="O21" s="109">
        <v>-11855.84</v>
      </c>
      <c r="P21" s="58">
        <v>-1647698.9686099987</v>
      </c>
      <c r="Q21" s="46"/>
      <c r="R21" s="60">
        <v>-1647698.95</v>
      </c>
      <c r="S21" s="61">
        <v>1.8609998747706413E-2</v>
      </c>
    </row>
    <row r="22" spans="1:19" hidden="1">
      <c r="A22" s="93" t="s">
        <v>91</v>
      </c>
      <c r="B22" s="100">
        <v>5.45E-2</v>
      </c>
      <c r="C22" s="58">
        <v>0</v>
      </c>
      <c r="D22" s="58">
        <v>0</v>
      </c>
      <c r="E22" s="114">
        <v>-1647698.9686099987</v>
      </c>
      <c r="F22" s="110">
        <v>8688151</v>
      </c>
      <c r="G22" s="101">
        <v>9.1660000000000005E-2</v>
      </c>
      <c r="H22" s="115">
        <v>796355.92066000006</v>
      </c>
      <c r="I22" s="112">
        <v>4528915</v>
      </c>
      <c r="J22" s="101">
        <v>7.6249999999999998E-2</v>
      </c>
      <c r="K22" s="115">
        <v>345329.76874999999</v>
      </c>
      <c r="L22" s="112">
        <v>108923</v>
      </c>
      <c r="M22" s="101">
        <v>4.7800000000000002E-2</v>
      </c>
      <c r="N22" s="115">
        <v>5206.5194000000001</v>
      </c>
      <c r="O22" s="109">
        <v>-4878.8999999999996</v>
      </c>
      <c r="P22" s="58">
        <v>-505685.65979999868</v>
      </c>
      <c r="Q22" s="46"/>
      <c r="R22" s="60">
        <v>-505685.64</v>
      </c>
      <c r="S22" s="61">
        <v>1.979999867035076E-2</v>
      </c>
    </row>
    <row r="23" spans="1:19" hidden="1">
      <c r="A23" s="93" t="s">
        <v>54</v>
      </c>
      <c r="B23" s="100">
        <v>5.45E-2</v>
      </c>
      <c r="C23" s="58">
        <v>0</v>
      </c>
      <c r="D23" s="58">
        <v>0</v>
      </c>
      <c r="E23" s="114">
        <v>-505685.65979999868</v>
      </c>
      <c r="F23" s="110">
        <v>4317309</v>
      </c>
      <c r="G23" s="101">
        <v>9.1660000000000005E-2</v>
      </c>
      <c r="H23" s="115">
        <v>395724.54294000001</v>
      </c>
      <c r="I23" s="112">
        <v>2394969</v>
      </c>
      <c r="J23" s="101">
        <v>7.6249999999999998E-2</v>
      </c>
      <c r="K23" s="115">
        <v>182616.38625000001</v>
      </c>
      <c r="L23" s="112">
        <v>97867</v>
      </c>
      <c r="M23" s="101">
        <v>4.7800000000000002E-2</v>
      </c>
      <c r="N23" s="115">
        <v>4678.0425999999998</v>
      </c>
      <c r="O23" s="109">
        <v>-972.72</v>
      </c>
      <c r="P23" s="58">
        <v>76360.59199000134</v>
      </c>
      <c r="Q23" s="46"/>
      <c r="R23" s="60">
        <v>76360.62</v>
      </c>
      <c r="S23" s="61">
        <v>2.8009998655761592E-2</v>
      </c>
    </row>
    <row r="24" spans="1:19" hidden="1">
      <c r="A24" s="93" t="s">
        <v>92</v>
      </c>
      <c r="B24" s="100">
        <v>5.45E-2</v>
      </c>
      <c r="C24" s="58">
        <v>0</v>
      </c>
      <c r="D24" s="58">
        <v>0</v>
      </c>
      <c r="E24" s="114">
        <v>76360.59199000134</v>
      </c>
      <c r="F24" s="110">
        <v>2499965</v>
      </c>
      <c r="G24" s="101">
        <v>9.1660000000000005E-2</v>
      </c>
      <c r="H24" s="115">
        <v>229146.79190000001</v>
      </c>
      <c r="I24" s="112">
        <v>2410231</v>
      </c>
      <c r="J24" s="101">
        <v>7.6249999999999998E-2</v>
      </c>
      <c r="K24" s="115">
        <v>183780.11374999999</v>
      </c>
      <c r="L24" s="112">
        <v>-90738</v>
      </c>
      <c r="M24" s="101">
        <v>4.7800000000000002E-2</v>
      </c>
      <c r="N24" s="115">
        <v>-4337.2764000000006</v>
      </c>
      <c r="O24" s="109">
        <v>1274.6400000000001</v>
      </c>
      <c r="P24" s="58">
        <v>486224.8612400014</v>
      </c>
      <c r="Q24" s="46"/>
      <c r="R24" s="60">
        <v>486224.89</v>
      </c>
      <c r="S24" s="61">
        <v>2.8759998618625104E-2</v>
      </c>
    </row>
    <row r="25" spans="1:19" hidden="1">
      <c r="A25" s="93" t="s">
        <v>93</v>
      </c>
      <c r="B25" s="100">
        <v>5.5E-2</v>
      </c>
      <c r="C25" s="58">
        <v>0</v>
      </c>
      <c r="D25" s="58">
        <v>0</v>
      </c>
      <c r="E25" s="114">
        <v>486224.8612400014</v>
      </c>
      <c r="F25" s="110">
        <v>2395100</v>
      </c>
      <c r="G25" s="101">
        <v>9.1660000000000005E-2</v>
      </c>
      <c r="H25" s="115">
        <v>219534.86600000001</v>
      </c>
      <c r="I25" s="112">
        <v>1815710</v>
      </c>
      <c r="J25" s="101">
        <v>7.6249999999999998E-2</v>
      </c>
      <c r="K25" s="115">
        <v>138447.88749999998</v>
      </c>
      <c r="L25" s="112">
        <v>133593</v>
      </c>
      <c r="M25" s="101">
        <v>4.7800000000000002E-2</v>
      </c>
      <c r="N25" s="115">
        <v>6385.7454000000007</v>
      </c>
      <c r="O25" s="109">
        <v>3063.54</v>
      </c>
      <c r="P25" s="58">
        <v>853656.90014000144</v>
      </c>
      <c r="Q25" s="46"/>
      <c r="R25" s="60">
        <v>853656.93</v>
      </c>
      <c r="S25" s="61">
        <v>2.985999861266464E-2</v>
      </c>
    </row>
    <row r="26" spans="1:19" hidden="1">
      <c r="A26" s="93" t="s">
        <v>94</v>
      </c>
      <c r="B26" s="100">
        <v>5.5E-2</v>
      </c>
      <c r="C26" s="58">
        <v>0</v>
      </c>
      <c r="D26" s="58">
        <v>0</v>
      </c>
      <c r="E26" s="114">
        <v>853656.90014000144</v>
      </c>
      <c r="F26" s="110">
        <v>2219198</v>
      </c>
      <c r="G26" s="101">
        <v>9.1660000000000005E-2</v>
      </c>
      <c r="H26" s="115">
        <v>203411.68868000002</v>
      </c>
      <c r="I26" s="112">
        <v>1827018</v>
      </c>
      <c r="J26" s="101">
        <v>7.6249999999999998E-2</v>
      </c>
      <c r="K26" s="115">
        <v>139310.1225</v>
      </c>
      <c r="L26" s="112">
        <v>137205</v>
      </c>
      <c r="M26" s="101">
        <v>4.7800000000000002E-2</v>
      </c>
      <c r="N26" s="115">
        <v>6558.3990000000003</v>
      </c>
      <c r="O26" s="109">
        <v>4713.03</v>
      </c>
      <c r="P26" s="58">
        <v>1207650.1403200016</v>
      </c>
      <c r="Q26" s="46"/>
      <c r="R26" s="60">
        <v>1207650.17</v>
      </c>
      <c r="S26" s="61">
        <v>2.967999828979373E-2</v>
      </c>
    </row>
    <row r="27" spans="1:19" hidden="1">
      <c r="A27" s="93" t="s">
        <v>95</v>
      </c>
      <c r="B27" s="100">
        <v>5.5E-2</v>
      </c>
      <c r="C27" s="58">
        <v>0</v>
      </c>
      <c r="D27" s="58">
        <v>0</v>
      </c>
      <c r="E27" s="114">
        <v>1207650.1403200016</v>
      </c>
      <c r="F27" s="110">
        <v>3672893</v>
      </c>
      <c r="G27" s="101">
        <v>9.1660000000000005E-2</v>
      </c>
      <c r="H27" s="115">
        <v>336657.37238000002</v>
      </c>
      <c r="I27" s="112">
        <v>2844010</v>
      </c>
      <c r="J27" s="101">
        <v>7.6249999999999998E-2</v>
      </c>
      <c r="K27" s="115">
        <v>216855.76249999998</v>
      </c>
      <c r="L27" s="112">
        <v>110085</v>
      </c>
      <c r="M27" s="101">
        <v>4.7800000000000002E-2</v>
      </c>
      <c r="N27" s="115">
        <v>5262.0630000000001</v>
      </c>
      <c r="O27" s="109">
        <v>6815.59</v>
      </c>
      <c r="P27" s="58">
        <v>1773240.9282000018</v>
      </c>
      <c r="Q27" s="46"/>
      <c r="R27" s="60">
        <v>1773240.96</v>
      </c>
      <c r="S27" s="61">
        <v>3.1799998134374619E-2</v>
      </c>
    </row>
    <row r="28" spans="1:19" hidden="1">
      <c r="A28" s="93" t="s">
        <v>96</v>
      </c>
      <c r="B28" s="100">
        <v>5.4199999999999998E-2</v>
      </c>
      <c r="C28" s="58">
        <v>0</v>
      </c>
      <c r="D28" s="58">
        <v>0</v>
      </c>
      <c r="E28" s="114">
        <v>1773240.9282000018</v>
      </c>
      <c r="F28" s="110">
        <v>12761929</v>
      </c>
      <c r="G28" s="101">
        <v>9.1660000000000005E-2</v>
      </c>
      <c r="H28" s="115">
        <v>1169758.4121400001</v>
      </c>
      <c r="I28" s="112">
        <v>5304408</v>
      </c>
      <c r="J28" s="101">
        <v>7.6249999999999998E-2</v>
      </c>
      <c r="K28" s="115">
        <v>404461.11</v>
      </c>
      <c r="L28" s="112">
        <v>187475</v>
      </c>
      <c r="M28" s="101">
        <v>4.7800000000000002E-2</v>
      </c>
      <c r="N28" s="115">
        <v>8961.3050000000003</v>
      </c>
      <c r="O28" s="109">
        <v>11584.49</v>
      </c>
      <c r="P28" s="58">
        <v>3368006.2453400022</v>
      </c>
      <c r="Q28" s="46"/>
      <c r="R28" s="60">
        <v>3368006.27</v>
      </c>
      <c r="S28" s="61">
        <v>2.4659997783601284E-2</v>
      </c>
    </row>
    <row r="29" spans="1:19" hidden="1">
      <c r="A29" s="93" t="s">
        <v>97</v>
      </c>
      <c r="B29" s="100">
        <v>5.4199999999999998E-2</v>
      </c>
      <c r="C29" s="172">
        <v>-2188663.3331480017</v>
      </c>
      <c r="D29" s="165">
        <v>121937.23</v>
      </c>
      <c r="E29" s="114">
        <v>1301280.1421920005</v>
      </c>
      <c r="F29" s="110">
        <v>17329466</v>
      </c>
      <c r="G29" s="83" t="s">
        <v>86</v>
      </c>
      <c r="H29" s="106">
        <v>-74850</v>
      </c>
      <c r="I29" s="112">
        <v>6504463</v>
      </c>
      <c r="J29" s="83" t="s">
        <v>86</v>
      </c>
      <c r="K29" s="106">
        <v>-104887</v>
      </c>
      <c r="L29" s="112">
        <v>195352</v>
      </c>
      <c r="M29" s="83" t="s">
        <v>86</v>
      </c>
      <c r="N29" s="106">
        <v>-7404</v>
      </c>
      <c r="O29" s="109">
        <v>5454.82</v>
      </c>
      <c r="P29" s="58">
        <v>1119593.9621920006</v>
      </c>
      <c r="Q29" s="46"/>
      <c r="R29" s="60">
        <v>1113949.54</v>
      </c>
      <c r="S29" s="61">
        <v>-5644.4221920005511</v>
      </c>
    </row>
    <row r="30" spans="1:19" ht="14.4" hidden="1" thickBot="1">
      <c r="A30" s="94" t="s">
        <v>98</v>
      </c>
      <c r="B30" s="119">
        <v>5.4199999999999998E-2</v>
      </c>
      <c r="C30" s="66">
        <v>0</v>
      </c>
      <c r="D30" s="66">
        <v>0</v>
      </c>
      <c r="E30" s="135">
        <v>1119593.9621920006</v>
      </c>
      <c r="F30" s="121">
        <v>19625255</v>
      </c>
      <c r="G30" s="88" t="s">
        <v>86</v>
      </c>
      <c r="H30" s="107">
        <v>-73778</v>
      </c>
      <c r="I30" s="122">
        <v>7275662</v>
      </c>
      <c r="J30" s="88" t="s">
        <v>86</v>
      </c>
      <c r="K30" s="107">
        <v>-63487</v>
      </c>
      <c r="L30" s="122">
        <v>161699</v>
      </c>
      <c r="M30" s="88" t="s">
        <v>86</v>
      </c>
      <c r="N30" s="107">
        <v>-1668</v>
      </c>
      <c r="O30" s="136">
        <v>4743.08</v>
      </c>
      <c r="P30" s="66">
        <v>985404.04219200055</v>
      </c>
      <c r="Q30" s="124"/>
      <c r="R30" s="67">
        <v>979734.12</v>
      </c>
      <c r="S30" s="68">
        <v>-5669.9221920005511</v>
      </c>
    </row>
    <row r="31" spans="1:19" hidden="1">
      <c r="A31" s="153" t="s">
        <v>109</v>
      </c>
      <c r="B31" s="100">
        <v>4.9599999999999998E-2</v>
      </c>
      <c r="C31" s="84">
        <v>0</v>
      </c>
      <c r="D31" s="84">
        <v>0</v>
      </c>
      <c r="E31" s="102">
        <v>985404.04219200055</v>
      </c>
      <c r="F31" s="110">
        <v>19902225</v>
      </c>
      <c r="G31" s="101">
        <v>-4.0899999999999999E-3</v>
      </c>
      <c r="H31" s="115">
        <v>-81400.100250000003</v>
      </c>
      <c r="I31" s="112">
        <v>7441465</v>
      </c>
      <c r="J31" s="101">
        <v>-1.035E-2</v>
      </c>
      <c r="K31" s="115">
        <v>-77019.162750000003</v>
      </c>
      <c r="L31" s="112">
        <v>176036</v>
      </c>
      <c r="M31" s="101">
        <v>-1.035E-2</v>
      </c>
      <c r="N31" s="115">
        <v>-1821.9726000000001</v>
      </c>
      <c r="O31" s="108">
        <v>3741.84</v>
      </c>
      <c r="P31" s="84">
        <v>828904.6465920005</v>
      </c>
      <c r="Q31" s="46"/>
      <c r="R31" s="85">
        <v>823211.28</v>
      </c>
      <c r="S31" s="86">
        <v>-5693.3665920004714</v>
      </c>
    </row>
    <row r="32" spans="1:19" hidden="1">
      <c r="A32" s="153" t="s">
        <v>110</v>
      </c>
      <c r="B32" s="100">
        <v>4.9599999999999998E-2</v>
      </c>
      <c r="C32" s="58">
        <v>0</v>
      </c>
      <c r="D32" s="58">
        <v>0</v>
      </c>
      <c r="E32" s="114">
        <v>828904.6465920005</v>
      </c>
      <c r="F32" s="110">
        <v>18156535</v>
      </c>
      <c r="G32" s="101">
        <v>-4.0899999999999999E-3</v>
      </c>
      <c r="H32" s="115">
        <v>-74260.228149999995</v>
      </c>
      <c r="I32" s="112">
        <v>7239397</v>
      </c>
      <c r="J32" s="101">
        <v>-1.035E-2</v>
      </c>
      <c r="K32" s="115">
        <v>-74927.758950000003</v>
      </c>
      <c r="L32" s="112">
        <v>155563</v>
      </c>
      <c r="M32" s="101">
        <v>-1.035E-2</v>
      </c>
      <c r="N32" s="115">
        <v>-1610.0770499999999</v>
      </c>
      <c r="O32" s="109">
        <v>3114.49</v>
      </c>
      <c r="P32" s="58">
        <v>681221.0724420005</v>
      </c>
      <c r="Q32" s="46"/>
      <c r="R32" s="85">
        <v>675504.18</v>
      </c>
      <c r="S32" s="86">
        <v>-5716.8924420004478</v>
      </c>
    </row>
    <row r="33" spans="1:21" hidden="1">
      <c r="A33" s="153" t="s">
        <v>111</v>
      </c>
      <c r="B33" s="100">
        <v>4.9599999999999998E-2</v>
      </c>
      <c r="C33" s="58">
        <v>0</v>
      </c>
      <c r="D33" s="58">
        <v>0</v>
      </c>
      <c r="E33" s="114">
        <v>681221.0724420005</v>
      </c>
      <c r="F33" s="110">
        <v>16737084</v>
      </c>
      <c r="G33" s="101">
        <v>-4.0899999999999999E-3</v>
      </c>
      <c r="H33" s="115">
        <v>-68454.673559999996</v>
      </c>
      <c r="I33" s="112">
        <v>6588074</v>
      </c>
      <c r="J33" s="101">
        <v>-1.035E-2</v>
      </c>
      <c r="K33" s="115">
        <v>-68186.565900000001</v>
      </c>
      <c r="L33" s="112">
        <v>135456</v>
      </c>
      <c r="M33" s="101">
        <v>-1.035E-2</v>
      </c>
      <c r="N33" s="115">
        <v>-1401.9695999999999</v>
      </c>
      <c r="O33" s="109">
        <v>2530.42</v>
      </c>
      <c r="P33" s="58">
        <v>545708.28338200052</v>
      </c>
      <c r="Q33" s="46"/>
      <c r="R33" s="85">
        <v>540247.84</v>
      </c>
      <c r="S33" s="86">
        <v>-5460.4433820005506</v>
      </c>
    </row>
    <row r="34" spans="1:21" hidden="1">
      <c r="A34" s="153" t="s">
        <v>112</v>
      </c>
      <c r="B34" s="100">
        <v>4.7500000000000001E-2</v>
      </c>
      <c r="C34" s="58">
        <v>0</v>
      </c>
      <c r="D34" s="58">
        <v>0</v>
      </c>
      <c r="E34" s="114">
        <v>545708.28338200052</v>
      </c>
      <c r="F34" s="110">
        <v>8680515</v>
      </c>
      <c r="G34" s="101">
        <v>-4.0899999999999999E-3</v>
      </c>
      <c r="H34" s="115">
        <v>-35503.306349999999</v>
      </c>
      <c r="I34" s="112">
        <v>3389688</v>
      </c>
      <c r="J34" s="101">
        <v>-1.035E-2</v>
      </c>
      <c r="K34" s="115">
        <v>-35083.270799999998</v>
      </c>
      <c r="L34" s="112">
        <v>-28206</v>
      </c>
      <c r="M34" s="101">
        <v>-1.035E-2</v>
      </c>
      <c r="N34" s="115">
        <v>291.93209999999999</v>
      </c>
      <c r="O34" s="109">
        <v>2020.97</v>
      </c>
      <c r="P34" s="58">
        <v>477434.6083320005</v>
      </c>
      <c r="Q34" s="46"/>
      <c r="R34" s="85">
        <v>471952.55</v>
      </c>
      <c r="S34" s="86">
        <v>-5482.0583320005098</v>
      </c>
    </row>
    <row r="35" spans="1:21" hidden="1">
      <c r="A35" s="153" t="s">
        <v>113</v>
      </c>
      <c r="B35" s="100">
        <v>4.7500000000000001E-2</v>
      </c>
      <c r="C35" s="58">
        <v>0</v>
      </c>
      <c r="D35" s="58">
        <v>0</v>
      </c>
      <c r="E35" s="114">
        <v>477434.6083320005</v>
      </c>
      <c r="F35" s="110">
        <v>5177262</v>
      </c>
      <c r="G35" s="101">
        <v>-4.0899999999999999E-3</v>
      </c>
      <c r="H35" s="115">
        <v>-21175.00158</v>
      </c>
      <c r="I35" s="112">
        <v>2662302</v>
      </c>
      <c r="J35" s="101">
        <v>-1.035E-2</v>
      </c>
      <c r="K35" s="115">
        <v>-27554.825700000001</v>
      </c>
      <c r="L35" s="112">
        <v>-100434</v>
      </c>
      <c r="M35" s="101">
        <v>-1.035E-2</v>
      </c>
      <c r="N35" s="115">
        <v>1039.4919</v>
      </c>
      <c r="O35" s="109">
        <v>1795.46</v>
      </c>
      <c r="P35" s="58">
        <v>431539.73295200057</v>
      </c>
      <c r="Q35" s="46"/>
      <c r="R35" s="85">
        <v>426035.97</v>
      </c>
      <c r="S35" s="86">
        <v>-5503.7629520006012</v>
      </c>
    </row>
    <row r="36" spans="1:21" hidden="1">
      <c r="A36" s="153" t="s">
        <v>114</v>
      </c>
      <c r="B36" s="100">
        <v>4.7500000000000001E-2</v>
      </c>
      <c r="C36" s="58">
        <v>0</v>
      </c>
      <c r="D36" s="58">
        <v>0</v>
      </c>
      <c r="E36" s="114">
        <v>431539.73295200057</v>
      </c>
      <c r="F36" s="110">
        <v>3321590</v>
      </c>
      <c r="G36" s="101">
        <v>-4.0899999999999999E-3</v>
      </c>
      <c r="H36" s="115">
        <v>-13585.303099999999</v>
      </c>
      <c r="I36" s="112">
        <v>1746909</v>
      </c>
      <c r="J36" s="101">
        <v>-1.035E-2</v>
      </c>
      <c r="K36" s="115">
        <v>-18080.508150000001</v>
      </c>
      <c r="L36" s="112">
        <v>0</v>
      </c>
      <c r="M36" s="101">
        <v>-1.035E-2</v>
      </c>
      <c r="N36" s="115">
        <v>0</v>
      </c>
      <c r="O36" s="109">
        <v>1645.51</v>
      </c>
      <c r="P36" s="58">
        <v>401519.43170200055</v>
      </c>
      <c r="Q36" s="46"/>
      <c r="R36" s="85">
        <v>395993.88</v>
      </c>
      <c r="S36" s="86">
        <v>-5525.55170200055</v>
      </c>
    </row>
    <row r="37" spans="1:21" hidden="1">
      <c r="A37" s="153" t="s">
        <v>115</v>
      </c>
      <c r="B37" s="100">
        <v>3.4299999999999997E-2</v>
      </c>
      <c r="C37" s="58">
        <v>0</v>
      </c>
      <c r="D37" s="58">
        <v>0</v>
      </c>
      <c r="E37" s="114">
        <v>401519.43170200055</v>
      </c>
      <c r="F37" s="110">
        <v>2633258</v>
      </c>
      <c r="G37" s="101">
        <v>-4.0899999999999999E-3</v>
      </c>
      <c r="H37" s="115">
        <v>-10770.02522</v>
      </c>
      <c r="I37" s="112">
        <v>1745062</v>
      </c>
      <c r="J37" s="101">
        <v>-1.035E-2</v>
      </c>
      <c r="K37" s="115">
        <v>-18061.3917</v>
      </c>
      <c r="L37" s="112">
        <v>0</v>
      </c>
      <c r="M37" s="101">
        <v>-1.035E-2</v>
      </c>
      <c r="N37" s="115">
        <v>0</v>
      </c>
      <c r="O37" s="109">
        <v>1106.47</v>
      </c>
      <c r="P37" s="58">
        <v>373794.48478200054</v>
      </c>
      <c r="Q37" s="46"/>
      <c r="R37" s="85">
        <v>368253.14</v>
      </c>
      <c r="S37" s="86">
        <v>-5541.344782000524</v>
      </c>
    </row>
    <row r="38" spans="1:21" hidden="1">
      <c r="A38" s="153" t="s">
        <v>116</v>
      </c>
      <c r="B38" s="100">
        <v>3.4299999999999997E-2</v>
      </c>
      <c r="C38" s="58">
        <v>0</v>
      </c>
      <c r="D38" s="58">
        <v>0</v>
      </c>
      <c r="E38" s="114">
        <v>373794.48478200054</v>
      </c>
      <c r="F38" s="110">
        <v>2239101</v>
      </c>
      <c r="G38" s="101">
        <v>-4.0899999999999999E-3</v>
      </c>
      <c r="H38" s="115">
        <v>-9157.9230900000002</v>
      </c>
      <c r="I38" s="112">
        <v>1621230</v>
      </c>
      <c r="J38" s="101">
        <v>-1.035E-2</v>
      </c>
      <c r="K38" s="115">
        <v>-16779.730500000001</v>
      </c>
      <c r="L38" s="112">
        <v>0</v>
      </c>
      <c r="M38" s="101">
        <v>-1.035E-2</v>
      </c>
      <c r="N38" s="115">
        <v>0</v>
      </c>
      <c r="O38" s="109">
        <v>1031.3599999999999</v>
      </c>
      <c r="P38" s="58">
        <v>348888.19119200052</v>
      </c>
      <c r="Q38" s="46"/>
      <c r="R38" s="85">
        <v>343331.01</v>
      </c>
      <c r="S38" s="86">
        <v>-5557.181192000513</v>
      </c>
      <c r="U38" s="171"/>
    </row>
    <row r="39" spans="1:21" hidden="1">
      <c r="A39" s="153" t="s">
        <v>117</v>
      </c>
      <c r="B39" s="100">
        <v>3.4299999999999997E-2</v>
      </c>
      <c r="C39" s="58">
        <v>0</v>
      </c>
      <c r="D39" s="58">
        <v>0</v>
      </c>
      <c r="E39" s="114">
        <v>348888.19119200052</v>
      </c>
      <c r="F39" s="110">
        <v>2847296</v>
      </c>
      <c r="G39" s="101">
        <v>-4.0899999999999999E-3</v>
      </c>
      <c r="H39" s="115">
        <v>-11645.440639999999</v>
      </c>
      <c r="I39" s="112">
        <v>2009009</v>
      </c>
      <c r="J39" s="101">
        <v>-1.035E-2</v>
      </c>
      <c r="K39" s="115">
        <v>-20793.243149999998</v>
      </c>
      <c r="L39" s="112">
        <v>0</v>
      </c>
      <c r="M39" s="101">
        <v>-1.035E-2</v>
      </c>
      <c r="N39" s="115">
        <v>0</v>
      </c>
      <c r="O39" s="109">
        <v>950.88</v>
      </c>
      <c r="P39" s="58">
        <v>317400.38740200055</v>
      </c>
      <c r="Q39" s="46"/>
      <c r="R39" s="85">
        <v>317400.40999999997</v>
      </c>
      <c r="S39" s="86">
        <v>2.2597999428398907E-2</v>
      </c>
    </row>
    <row r="40" spans="1:21" hidden="1">
      <c r="A40" s="153" t="s">
        <v>118</v>
      </c>
      <c r="B40" s="100">
        <v>3.2500000000000001E-2</v>
      </c>
      <c r="C40" s="58">
        <v>0</v>
      </c>
      <c r="D40" s="58">
        <v>0</v>
      </c>
      <c r="E40" s="114">
        <v>317400.38740200055</v>
      </c>
      <c r="F40" s="110">
        <v>8977248</v>
      </c>
      <c r="G40" s="101">
        <v>-4.0899999999999999E-3</v>
      </c>
      <c r="H40" s="115">
        <v>-36716.944320000002</v>
      </c>
      <c r="I40" s="112">
        <v>4850551</v>
      </c>
      <c r="J40" s="101">
        <v>-1.035E-2</v>
      </c>
      <c r="K40" s="115">
        <v>-50203.202850000001</v>
      </c>
      <c r="L40" s="112">
        <v>0</v>
      </c>
      <c r="M40" s="101">
        <v>-1.035E-2</v>
      </c>
      <c r="N40" s="115">
        <v>0</v>
      </c>
      <c r="O40" s="109">
        <v>741.92</v>
      </c>
      <c r="P40" s="58">
        <v>231222.16023200055</v>
      </c>
      <c r="Q40" s="46"/>
      <c r="R40" s="85">
        <v>231222.18</v>
      </c>
      <c r="S40" s="86">
        <v>1.9767999445321038E-2</v>
      </c>
    </row>
    <row r="41" spans="1:21" hidden="1">
      <c r="A41" s="153" t="s">
        <v>119</v>
      </c>
      <c r="B41" s="100">
        <v>3.2500000000000001E-2</v>
      </c>
      <c r="C41" s="63">
        <v>817247.86188699794</v>
      </c>
      <c r="D41" s="63">
        <v>104173.57</v>
      </c>
      <c r="E41" s="114">
        <v>1152643.5921189985</v>
      </c>
      <c r="F41" s="110">
        <v>17157823</v>
      </c>
      <c r="G41" s="83" t="s">
        <v>86</v>
      </c>
      <c r="H41" s="106">
        <v>113128</v>
      </c>
      <c r="I41" s="112">
        <v>5799551</v>
      </c>
      <c r="J41" s="83" t="s">
        <v>86</v>
      </c>
      <c r="K41" s="106">
        <v>9063</v>
      </c>
      <c r="L41" s="112">
        <v>0</v>
      </c>
      <c r="M41" s="83" t="s">
        <v>86</v>
      </c>
      <c r="N41" s="106">
        <v>0</v>
      </c>
      <c r="O41" s="109">
        <v>3287.21</v>
      </c>
      <c r="P41" s="58">
        <v>1278121.8221189985</v>
      </c>
      <c r="Q41" s="46"/>
      <c r="R41" s="85">
        <v>1278121.82</v>
      </c>
      <c r="S41" s="86">
        <v>-2.1189984399825335E-3</v>
      </c>
    </row>
    <row r="42" spans="1:21" ht="14.4" hidden="1" thickBot="1">
      <c r="A42" s="181" t="s">
        <v>120</v>
      </c>
      <c r="B42" s="119">
        <v>3.2500000000000001E-2</v>
      </c>
      <c r="C42" s="66">
        <v>0</v>
      </c>
      <c r="D42" s="66">
        <v>0</v>
      </c>
      <c r="E42" s="120">
        <v>1278121.8221189985</v>
      </c>
      <c r="F42" s="121">
        <v>21531817</v>
      </c>
      <c r="G42" s="88" t="s">
        <v>86</v>
      </c>
      <c r="H42" s="107">
        <v>148899</v>
      </c>
      <c r="I42" s="122">
        <v>7737352</v>
      </c>
      <c r="J42" s="88" t="s">
        <v>86</v>
      </c>
      <c r="K42" s="107">
        <v>-327</v>
      </c>
      <c r="L42" s="122">
        <v>0</v>
      </c>
      <c r="M42" s="88" t="s">
        <v>86</v>
      </c>
      <c r="N42" s="107">
        <v>0</v>
      </c>
      <c r="O42" s="123">
        <v>3662.77</v>
      </c>
      <c r="P42" s="66">
        <v>1430356.5921189985</v>
      </c>
      <c r="Q42" s="124"/>
      <c r="R42" s="182">
        <v>1430356.59</v>
      </c>
      <c r="S42" s="183">
        <v>-2.1189984399825335E-3</v>
      </c>
    </row>
    <row r="43" spans="1:21" hidden="1">
      <c r="A43" s="153" t="s">
        <v>123</v>
      </c>
      <c r="B43" s="100">
        <v>3.2500000000000001E-2</v>
      </c>
      <c r="C43" s="63">
        <v>0</v>
      </c>
      <c r="D43" s="63">
        <v>0</v>
      </c>
      <c r="E43" s="102">
        <f>P42+C43+D43</f>
        <v>1430356.5921189985</v>
      </c>
      <c r="F43" s="279">
        <f>20652318+32556</f>
        <v>20684874</v>
      </c>
      <c r="G43" s="101">
        <v>6.9899999999999997E-3</v>
      </c>
      <c r="H43" s="115">
        <f>F43*G43</f>
        <v>144587.26926</v>
      </c>
      <c r="I43" s="279">
        <v>7466798</v>
      </c>
      <c r="J43" s="101">
        <v>1.2999999999999999E-4</v>
      </c>
      <c r="K43" s="115">
        <f>I43*J43</f>
        <v>970.68373999999994</v>
      </c>
      <c r="L43" s="112">
        <v>0</v>
      </c>
      <c r="M43" s="101">
        <v>0</v>
      </c>
      <c r="N43" s="115">
        <f>L43*M43</f>
        <v>0</v>
      </c>
      <c r="O43" s="108">
        <f t="shared" ref="O43:O47" si="0">ROUND(((E43*(B43/12))+(H43+K43+N43)/2*(B43/12)),2)</f>
        <v>4070.99</v>
      </c>
      <c r="P43" s="84">
        <f t="shared" ref="P43:P52" si="1">E43+H43+K43+N43+O43</f>
        <v>1579985.5351189985</v>
      </c>
      <c r="Q43" s="46"/>
      <c r="R43" s="85">
        <v>1579985.53</v>
      </c>
      <c r="S43" s="86">
        <f t="shared" ref="S43" si="2">R43-P43</f>
        <v>-5.1189984660595655E-3</v>
      </c>
    </row>
    <row r="44" spans="1:21" hidden="1">
      <c r="A44" s="153" t="s">
        <v>124</v>
      </c>
      <c r="B44" s="100">
        <v>3.2500000000000001E-2</v>
      </c>
      <c r="C44" s="63">
        <v>0</v>
      </c>
      <c r="D44" s="63">
        <v>0</v>
      </c>
      <c r="E44" s="102">
        <f t="shared" ref="E44:E54" si="3">P43+C44+D44</f>
        <v>1579985.5351189985</v>
      </c>
      <c r="F44" s="279">
        <f>21465565+35195</f>
        <v>21500760</v>
      </c>
      <c r="G44" s="101">
        <v>6.9899999999999997E-3</v>
      </c>
      <c r="H44" s="115">
        <f t="shared" ref="H44:H52" si="4">F44*G44</f>
        <v>150290.3124</v>
      </c>
      <c r="I44" s="279">
        <v>7487490</v>
      </c>
      <c r="J44" s="101">
        <v>1.2999999999999999E-4</v>
      </c>
      <c r="K44" s="115">
        <f t="shared" ref="K44:K52" si="5">I44*J44</f>
        <v>973.37369999999987</v>
      </c>
      <c r="L44" s="112"/>
      <c r="M44" s="101"/>
      <c r="N44" s="115">
        <f t="shared" ref="N44:N52" si="6">L44*M44</f>
        <v>0</v>
      </c>
      <c r="O44" s="109">
        <f t="shared" si="0"/>
        <v>4483.96</v>
      </c>
      <c r="P44" s="58">
        <f t="shared" si="1"/>
        <v>1735733.1812189985</v>
      </c>
      <c r="Q44" s="46"/>
      <c r="R44" s="85">
        <v>1735733.18</v>
      </c>
      <c r="S44" s="86">
        <f t="shared" ref="S44" si="7">R44-P44</f>
        <v>-1.21899857185781E-3</v>
      </c>
    </row>
    <row r="45" spans="1:21" hidden="1">
      <c r="A45" s="153" t="s">
        <v>125</v>
      </c>
      <c r="B45" s="100">
        <v>3.2500000000000001E-2</v>
      </c>
      <c r="C45" s="63">
        <v>0</v>
      </c>
      <c r="D45" s="63">
        <v>0</v>
      </c>
      <c r="E45" s="102">
        <f t="shared" si="3"/>
        <v>1735733.1812189985</v>
      </c>
      <c r="F45" s="279">
        <f>14741098+24419</f>
        <v>14765517</v>
      </c>
      <c r="G45" s="101">
        <v>6.9899999999999997E-3</v>
      </c>
      <c r="H45" s="115">
        <f t="shared" si="4"/>
        <v>103210.96382999999</v>
      </c>
      <c r="I45" s="279">
        <v>6893495</v>
      </c>
      <c r="J45" s="101">
        <v>1.2999999999999999E-4</v>
      </c>
      <c r="K45" s="115">
        <f t="shared" si="5"/>
        <v>896.15434999999991</v>
      </c>
      <c r="L45" s="112"/>
      <c r="M45" s="101"/>
      <c r="N45" s="115">
        <f t="shared" si="6"/>
        <v>0</v>
      </c>
      <c r="O45" s="109">
        <f t="shared" si="0"/>
        <v>4841.92</v>
      </c>
      <c r="P45" s="58">
        <f t="shared" si="1"/>
        <v>1844682.2193989984</v>
      </c>
      <c r="Q45" s="46"/>
      <c r="R45" s="85">
        <v>1844682.22</v>
      </c>
      <c r="S45" s="86">
        <f t="shared" ref="S45" si="8">R45-P45</f>
        <v>6.010015495121479E-4</v>
      </c>
    </row>
    <row r="46" spans="1:21" hidden="1">
      <c r="A46" s="153" t="s">
        <v>126</v>
      </c>
      <c r="B46" s="100">
        <v>3.2500000000000001E-2</v>
      </c>
      <c r="C46" s="63">
        <v>0</v>
      </c>
      <c r="D46" s="63">
        <v>0</v>
      </c>
      <c r="E46" s="102">
        <f t="shared" si="3"/>
        <v>1844682.2193989984</v>
      </c>
      <c r="F46" s="279">
        <f>8945038+17127</f>
        <v>8962165</v>
      </c>
      <c r="G46" s="101">
        <v>6.9899999999999997E-3</v>
      </c>
      <c r="H46" s="115">
        <f t="shared" si="4"/>
        <v>62645.533349999998</v>
      </c>
      <c r="I46" s="279">
        <v>3971924</v>
      </c>
      <c r="J46" s="101">
        <v>1.2999999999999999E-4</v>
      </c>
      <c r="K46" s="115">
        <f t="shared" si="5"/>
        <v>516.35011999999995</v>
      </c>
      <c r="L46" s="112"/>
      <c r="M46" s="101"/>
      <c r="N46" s="115">
        <f t="shared" si="6"/>
        <v>0</v>
      </c>
      <c r="O46" s="109">
        <f t="shared" si="0"/>
        <v>5081.55</v>
      </c>
      <c r="P46" s="58">
        <f t="shared" si="1"/>
        <v>1912925.6528689985</v>
      </c>
      <c r="Q46" s="46"/>
      <c r="R46" s="85">
        <v>1912925.65</v>
      </c>
      <c r="S46" s="86">
        <f t="shared" ref="S46" si="9">R46-P46</f>
        <v>-2.8689985629171133E-3</v>
      </c>
    </row>
    <row r="47" spans="1:21" hidden="1">
      <c r="A47" s="153" t="s">
        <v>127</v>
      </c>
      <c r="B47" s="100">
        <v>3.2500000000000001E-2</v>
      </c>
      <c r="C47" s="63">
        <v>0</v>
      </c>
      <c r="D47" s="63">
        <v>0</v>
      </c>
      <c r="E47" s="102">
        <f t="shared" si="3"/>
        <v>1912925.6528689985</v>
      </c>
      <c r="F47" s="279">
        <f>4457469+8599</f>
        <v>4466068</v>
      </c>
      <c r="G47" s="101">
        <v>6.9899999999999997E-3</v>
      </c>
      <c r="H47" s="115">
        <f t="shared" si="4"/>
        <v>31217.815319999998</v>
      </c>
      <c r="I47" s="279">
        <v>2827756</v>
      </c>
      <c r="J47" s="101">
        <v>1.2999999999999999E-4</v>
      </c>
      <c r="K47" s="115">
        <f t="shared" si="5"/>
        <v>367.60827999999998</v>
      </c>
      <c r="L47" s="112"/>
      <c r="M47" s="101"/>
      <c r="N47" s="115">
        <f t="shared" si="6"/>
        <v>0</v>
      </c>
      <c r="O47" s="109">
        <f t="shared" si="0"/>
        <v>5223.6099999999997</v>
      </c>
      <c r="P47" s="58">
        <f t="shared" si="1"/>
        <v>1949734.6864689987</v>
      </c>
      <c r="Q47" s="46"/>
      <c r="R47" s="85">
        <v>1949734.68</v>
      </c>
      <c r="S47" s="86">
        <f t="shared" ref="S47" si="10">R47-P47</f>
        <v>-6.468998733907938E-3</v>
      </c>
    </row>
    <row r="48" spans="1:21" hidden="1">
      <c r="A48" s="153" t="s">
        <v>128</v>
      </c>
      <c r="B48" s="100">
        <v>3.2500000000000001E-2</v>
      </c>
      <c r="C48" s="63">
        <v>0</v>
      </c>
      <c r="D48" s="63">
        <v>0</v>
      </c>
      <c r="E48" s="102">
        <f t="shared" si="3"/>
        <v>1949734.6864689987</v>
      </c>
      <c r="F48" s="279">
        <f>2740706+4893</f>
        <v>2745599</v>
      </c>
      <c r="G48" s="101">
        <v>6.9899999999999997E-3</v>
      </c>
      <c r="H48" s="115">
        <f t="shared" si="4"/>
        <v>19191.737010000001</v>
      </c>
      <c r="I48" s="279">
        <v>1934595</v>
      </c>
      <c r="J48" s="101">
        <v>1.2999999999999999E-4</v>
      </c>
      <c r="K48" s="115">
        <f t="shared" si="5"/>
        <v>251.49734999999998</v>
      </c>
      <c r="L48" s="112"/>
      <c r="M48" s="101"/>
      <c r="N48" s="115">
        <f t="shared" si="6"/>
        <v>0</v>
      </c>
      <c r="O48" s="109">
        <f>ROUND(((E48*(B48/12))+(H48+K48+N48)/2*(B48/12)),2)</f>
        <v>5306.86</v>
      </c>
      <c r="P48" s="58">
        <f t="shared" si="1"/>
        <v>1974484.7808289989</v>
      </c>
      <c r="Q48" s="46"/>
      <c r="R48" s="85">
        <v>1974484.77</v>
      </c>
      <c r="S48" s="86">
        <f t="shared" ref="S48" si="11">R48-P48</f>
        <v>-1.0828998871147633E-2</v>
      </c>
    </row>
    <row r="49" spans="1:21" hidden="1">
      <c r="A49" s="153" t="s">
        <v>129</v>
      </c>
      <c r="B49" s="100">
        <v>3.2500000000000001E-2</v>
      </c>
      <c r="C49" s="63">
        <v>0</v>
      </c>
      <c r="D49" s="63">
        <v>0</v>
      </c>
      <c r="E49" s="102">
        <f t="shared" si="3"/>
        <v>1974484.7808289989</v>
      </c>
      <c r="F49" s="279">
        <f>2045371+3096</f>
        <v>2048467</v>
      </c>
      <c r="G49" s="101">
        <v>6.9899999999999997E-3</v>
      </c>
      <c r="H49" s="115">
        <f t="shared" si="4"/>
        <v>14318.784329999999</v>
      </c>
      <c r="I49" s="279">
        <v>1663592</v>
      </c>
      <c r="J49" s="101">
        <v>1.2999999999999999E-4</v>
      </c>
      <c r="K49" s="115">
        <f t="shared" si="5"/>
        <v>216.26695999999998</v>
      </c>
      <c r="L49" s="112"/>
      <c r="M49" s="101"/>
      <c r="N49" s="115">
        <f t="shared" si="6"/>
        <v>0</v>
      </c>
      <c r="O49" s="109">
        <f t="shared" ref="O49:O59" si="12">ROUND(((E49*(B49/12))+(H49+K49+N49)/2*(B49/12)),2)</f>
        <v>5367.25</v>
      </c>
      <c r="P49" s="58">
        <f t="shared" si="1"/>
        <v>1994387.0821189987</v>
      </c>
      <c r="Q49" s="46"/>
      <c r="R49" s="85">
        <v>1994387.07</v>
      </c>
      <c r="S49" s="86">
        <f t="shared" ref="S49" si="13">R49-P49</f>
        <v>-1.2118998682126403E-2</v>
      </c>
    </row>
    <row r="50" spans="1:21" hidden="1">
      <c r="A50" s="153" t="s">
        <v>130</v>
      </c>
      <c r="B50" s="100">
        <v>3.2500000000000001E-2</v>
      </c>
      <c r="C50" s="63">
        <v>0</v>
      </c>
      <c r="D50" s="63">
        <v>0</v>
      </c>
      <c r="E50" s="102">
        <f t="shared" si="3"/>
        <v>1994387.0821189987</v>
      </c>
      <c r="F50" s="279">
        <f>2327290+3614</f>
        <v>2330904</v>
      </c>
      <c r="G50" s="101">
        <v>6.9899999999999997E-3</v>
      </c>
      <c r="H50" s="115">
        <f t="shared" si="4"/>
        <v>16293.018959999999</v>
      </c>
      <c r="I50" s="279">
        <v>1901151</v>
      </c>
      <c r="J50" s="101">
        <v>1.2999999999999999E-4</v>
      </c>
      <c r="K50" s="115">
        <f t="shared" si="5"/>
        <v>247.14962999999997</v>
      </c>
      <c r="L50" s="112"/>
      <c r="M50" s="101"/>
      <c r="N50" s="115">
        <f t="shared" si="6"/>
        <v>0</v>
      </c>
      <c r="O50" s="109">
        <f t="shared" si="12"/>
        <v>5423.86</v>
      </c>
      <c r="P50" s="58">
        <f t="shared" si="1"/>
        <v>2016351.110708999</v>
      </c>
      <c r="Q50" s="46"/>
      <c r="R50" s="85">
        <v>2016351.1</v>
      </c>
      <c r="S50" s="86">
        <f t="shared" ref="S50" si="14">R50-P50</f>
        <v>-1.0708998888731003E-2</v>
      </c>
      <c r="U50" s="171"/>
    </row>
    <row r="51" spans="1:21" hidden="1">
      <c r="A51" s="153" t="s">
        <v>131</v>
      </c>
      <c r="B51" s="100">
        <v>3.2500000000000001E-2</v>
      </c>
      <c r="C51" s="63">
        <v>0</v>
      </c>
      <c r="D51" s="63">
        <v>0</v>
      </c>
      <c r="E51" s="102">
        <f t="shared" si="3"/>
        <v>2016351.110708999</v>
      </c>
      <c r="F51" s="279">
        <f>3150157+5844</f>
        <v>3156001</v>
      </c>
      <c r="G51" s="101">
        <v>6.9899999999999997E-3</v>
      </c>
      <c r="H51" s="115">
        <f t="shared" si="4"/>
        <v>22060.44699</v>
      </c>
      <c r="I51" s="279">
        <v>2361344</v>
      </c>
      <c r="J51" s="101">
        <v>1.2999999999999999E-4</v>
      </c>
      <c r="K51" s="115">
        <f t="shared" si="5"/>
        <v>306.97471999999999</v>
      </c>
      <c r="L51" s="112"/>
      <c r="M51" s="101"/>
      <c r="N51" s="115">
        <f t="shared" si="6"/>
        <v>0</v>
      </c>
      <c r="O51" s="109">
        <f t="shared" si="12"/>
        <v>5491.24</v>
      </c>
      <c r="P51" s="58">
        <f t="shared" si="1"/>
        <v>2044209.7724189991</v>
      </c>
      <c r="Q51" s="46"/>
      <c r="R51" s="85">
        <v>2044209.76</v>
      </c>
      <c r="S51" s="86">
        <f t="shared" ref="S51" si="15">R51-P51</f>
        <v>-1.2418999103829265E-2</v>
      </c>
    </row>
    <row r="52" spans="1:21" hidden="1">
      <c r="A52" s="153" t="s">
        <v>132</v>
      </c>
      <c r="B52" s="100">
        <v>3.2500000000000001E-2</v>
      </c>
      <c r="C52" s="63">
        <v>0</v>
      </c>
      <c r="D52" s="63">
        <v>0</v>
      </c>
      <c r="E52" s="102">
        <f t="shared" si="3"/>
        <v>2044209.7724189991</v>
      </c>
      <c r="F52" s="279">
        <f>8294470+22138</f>
        <v>8316608</v>
      </c>
      <c r="G52" s="101">
        <v>6.9899999999999997E-3</v>
      </c>
      <c r="H52" s="115">
        <f t="shared" si="4"/>
        <v>58133.089919999999</v>
      </c>
      <c r="I52" s="279">
        <v>4273550</v>
      </c>
      <c r="J52" s="101">
        <v>1.2999999999999999E-4</v>
      </c>
      <c r="K52" s="115">
        <f t="shared" si="5"/>
        <v>555.56149999999991</v>
      </c>
      <c r="L52" s="112"/>
      <c r="M52" s="101"/>
      <c r="N52" s="115">
        <f t="shared" si="6"/>
        <v>0</v>
      </c>
      <c r="O52" s="109">
        <f t="shared" si="12"/>
        <v>5615.88</v>
      </c>
      <c r="P52" s="58">
        <f t="shared" si="1"/>
        <v>2108514.303838999</v>
      </c>
      <c r="Q52" s="46"/>
      <c r="R52" s="85">
        <v>2108514.29</v>
      </c>
      <c r="S52" s="86">
        <f t="shared" ref="S52" si="16">R52-P52</f>
        <v>-1.3838998973369598E-2</v>
      </c>
    </row>
    <row r="53" spans="1:21" hidden="1">
      <c r="A53" s="153" t="s">
        <v>133</v>
      </c>
      <c r="B53" s="100">
        <v>3.2500000000000001E-2</v>
      </c>
      <c r="C53" s="63">
        <f>-'191010 WA DEF'!D53</f>
        <v>7418666.1203680001</v>
      </c>
      <c r="D53" s="63">
        <v>-32444.09</v>
      </c>
      <c r="E53" s="102">
        <f t="shared" si="3"/>
        <v>9494736.3342069983</v>
      </c>
      <c r="F53" s="279">
        <f>14184948+34356</f>
        <v>14219304</v>
      </c>
      <c r="G53" s="83" t="s">
        <v>86</v>
      </c>
      <c r="H53" s="106">
        <f>-266279-654</f>
        <v>-266933</v>
      </c>
      <c r="I53" s="279">
        <v>5565284</v>
      </c>
      <c r="J53" s="83" t="s">
        <v>86</v>
      </c>
      <c r="K53" s="106">
        <v>-170359</v>
      </c>
      <c r="L53" s="112"/>
      <c r="M53" s="83" t="s">
        <v>86</v>
      </c>
      <c r="N53" s="106">
        <v>0</v>
      </c>
      <c r="O53" s="109">
        <f t="shared" si="12"/>
        <v>25122.74</v>
      </c>
      <c r="P53" s="58">
        <f>E53+H53+K53+N53+O53</f>
        <v>9082567.0742069986</v>
      </c>
      <c r="Q53" s="46"/>
      <c r="R53" s="85">
        <v>9082567.0600000005</v>
      </c>
      <c r="S53" s="86">
        <f t="shared" ref="S53" si="17">R53-P53</f>
        <v>-1.420699805021286E-2</v>
      </c>
    </row>
    <row r="54" spans="1:21" ht="14.4" hidden="1" thickBot="1">
      <c r="A54" s="181" t="s">
        <v>134</v>
      </c>
      <c r="B54" s="119">
        <v>3.2500000000000001E-2</v>
      </c>
      <c r="C54" s="65">
        <v>0</v>
      </c>
      <c r="D54" s="65">
        <v>0</v>
      </c>
      <c r="E54" s="278">
        <f t="shared" si="3"/>
        <v>9082567.0742069986</v>
      </c>
      <c r="F54" s="282">
        <f>23742763+54518</f>
        <v>23797281</v>
      </c>
      <c r="G54" s="88" t="s">
        <v>86</v>
      </c>
      <c r="H54" s="107">
        <f>-473797-1091</f>
        <v>-474888</v>
      </c>
      <c r="I54" s="281">
        <v>9090991</v>
      </c>
      <c r="J54" s="88" t="s">
        <v>86</v>
      </c>
      <c r="K54" s="107">
        <v>-259674</v>
      </c>
      <c r="L54" s="122"/>
      <c r="M54" s="88" t="s">
        <v>86</v>
      </c>
      <c r="N54" s="107">
        <v>0</v>
      </c>
      <c r="O54" s="123">
        <f t="shared" si="12"/>
        <v>23603.9</v>
      </c>
      <c r="P54" s="66">
        <f t="shared" ref="P54:P64" si="18">E54+H54+K54+N54+O54</f>
        <v>8371608.9742069989</v>
      </c>
      <c r="Q54" s="124"/>
      <c r="R54" s="182">
        <v>8371608.96</v>
      </c>
      <c r="S54" s="183">
        <f t="shared" ref="S54" si="19">R54-P54</f>
        <v>-1.4206998981535435E-2</v>
      </c>
    </row>
    <row r="55" spans="1:21">
      <c r="A55" s="153" t="s">
        <v>166</v>
      </c>
      <c r="B55" s="100">
        <v>3.2500000000000001E-2</v>
      </c>
      <c r="C55" s="83">
        <v>0</v>
      </c>
      <c r="D55" s="83">
        <v>0</v>
      </c>
      <c r="E55" s="102">
        <f>P54+C55+D55</f>
        <v>8371608.9742069989</v>
      </c>
      <c r="F55" s="280">
        <f>24086808+54910</f>
        <v>24141718</v>
      </c>
      <c r="G55" s="101">
        <v>-2.0060000000000001E-2</v>
      </c>
      <c r="H55" s="115">
        <f>F55*G55</f>
        <v>-484282.86308000004</v>
      </c>
      <c r="I55" s="280">
        <v>8902067</v>
      </c>
      <c r="J55" s="101">
        <v>-2.9020000000000001E-2</v>
      </c>
      <c r="K55" s="115">
        <f>I55*J55</f>
        <v>-258337.98434</v>
      </c>
      <c r="L55" s="112"/>
      <c r="M55" s="101"/>
      <c r="N55" s="115">
        <f>L55*M55</f>
        <v>0</v>
      </c>
      <c r="O55" s="108">
        <f>ROUND(((E55*(B55/12))+(H55+K55+N55)/2*(B55/12)),2)</f>
        <v>21667.48</v>
      </c>
      <c r="P55" s="84">
        <f t="shared" si="18"/>
        <v>7650655.6067869989</v>
      </c>
      <c r="Q55" s="46"/>
      <c r="R55" s="85">
        <v>7650655.5899999999</v>
      </c>
      <c r="S55" s="86">
        <f t="shared" ref="S55:S60" si="20">R55-P55</f>
        <v>-1.6786999069154263E-2</v>
      </c>
    </row>
    <row r="56" spans="1:21">
      <c r="A56" s="153" t="s">
        <v>167</v>
      </c>
      <c r="B56" s="100">
        <v>3.2500000000000001E-2</v>
      </c>
      <c r="C56" s="63">
        <v>0</v>
      </c>
      <c r="D56" s="63">
        <v>0</v>
      </c>
      <c r="E56" s="102">
        <f t="shared" ref="E56:E66" si="21">P55+C56+D56</f>
        <v>7650655.6067869989</v>
      </c>
      <c r="F56" s="279">
        <f>19884076+50305</f>
        <v>19934381</v>
      </c>
      <c r="G56" s="101">
        <v>-2.0060000000000001E-2</v>
      </c>
      <c r="H56" s="115">
        <f t="shared" ref="H56:H64" si="22">F56*G56</f>
        <v>-399883.68286</v>
      </c>
      <c r="I56" s="279">
        <v>7967454</v>
      </c>
      <c r="J56" s="101">
        <v>-2.9020000000000001E-2</v>
      </c>
      <c r="K56" s="115">
        <f t="shared" ref="K56:K64" si="23">I56*J56</f>
        <v>-231215.51508000001</v>
      </c>
      <c r="L56" s="112"/>
      <c r="M56" s="101"/>
      <c r="N56" s="115">
        <f t="shared" ref="N56:N64" si="24">L56*M56</f>
        <v>0</v>
      </c>
      <c r="O56" s="109">
        <f t="shared" si="12"/>
        <v>19865.91</v>
      </c>
      <c r="P56" s="58">
        <f t="shared" si="18"/>
        <v>7039422.3188469987</v>
      </c>
      <c r="Q56" s="46"/>
      <c r="R56" s="85">
        <v>7039422.2999999998</v>
      </c>
      <c r="S56" s="86">
        <f t="shared" si="20"/>
        <v>-1.8846998922526836E-2</v>
      </c>
    </row>
    <row r="57" spans="1:21">
      <c r="A57" s="153" t="s">
        <v>168</v>
      </c>
      <c r="B57" s="100">
        <v>3.2500000000000001E-2</v>
      </c>
      <c r="C57" s="63">
        <v>0</v>
      </c>
      <c r="D57" s="63">
        <v>0</v>
      </c>
      <c r="E57" s="102">
        <f t="shared" si="21"/>
        <v>7039422.3188469987</v>
      </c>
      <c r="F57" s="279">
        <f>14466885+38681</f>
        <v>14505566</v>
      </c>
      <c r="G57" s="101">
        <v>-2.0060000000000001E-2</v>
      </c>
      <c r="H57" s="115">
        <f t="shared" si="22"/>
        <v>-290981.65396000003</v>
      </c>
      <c r="I57" s="279">
        <v>6530840</v>
      </c>
      <c r="J57" s="101">
        <v>-2.9020000000000001E-2</v>
      </c>
      <c r="K57" s="115">
        <f t="shared" si="23"/>
        <v>-189524.9768</v>
      </c>
      <c r="L57" s="112"/>
      <c r="M57" s="101"/>
      <c r="N57" s="115">
        <f t="shared" si="24"/>
        <v>0</v>
      </c>
      <c r="O57" s="109">
        <f t="shared" si="12"/>
        <v>18414.419999999998</v>
      </c>
      <c r="P57" s="58">
        <f t="shared" si="18"/>
        <v>6577330.1080869986</v>
      </c>
      <c r="Q57" s="46"/>
      <c r="R57" s="85">
        <v>6577330.0899999999</v>
      </c>
      <c r="S57" s="86">
        <f t="shared" si="20"/>
        <v>-1.8086998723447323E-2</v>
      </c>
    </row>
    <row r="58" spans="1:21">
      <c r="A58" s="153" t="s">
        <v>169</v>
      </c>
      <c r="B58" s="100">
        <v>3.2500000000000001E-2</v>
      </c>
      <c r="C58" s="63">
        <v>0</v>
      </c>
      <c r="D58" s="63">
        <v>0</v>
      </c>
      <c r="E58" s="102">
        <f t="shared" si="21"/>
        <v>6577330.1080869986</v>
      </c>
      <c r="F58" s="279">
        <f>12130478+33753</f>
        <v>12164231</v>
      </c>
      <c r="G58" s="101">
        <v>-2.0060000000000001E-2</v>
      </c>
      <c r="H58" s="115">
        <f t="shared" si="22"/>
        <v>-244014.47386000003</v>
      </c>
      <c r="I58" s="279">
        <v>5534897</v>
      </c>
      <c r="J58" s="101">
        <v>-2.9020000000000001E-2</v>
      </c>
      <c r="K58" s="115">
        <f t="shared" si="23"/>
        <v>-160622.71093999999</v>
      </c>
      <c r="L58" s="112"/>
      <c r="M58" s="101"/>
      <c r="N58" s="115">
        <f t="shared" si="24"/>
        <v>0</v>
      </c>
      <c r="O58" s="109">
        <f t="shared" si="12"/>
        <v>17265.66</v>
      </c>
      <c r="P58" s="58">
        <f t="shared" si="18"/>
        <v>6189958.5832869988</v>
      </c>
      <c r="Q58" s="46"/>
      <c r="R58" s="85">
        <v>6189958.5700000003</v>
      </c>
      <c r="S58" s="86">
        <f t="shared" si="20"/>
        <v>-1.3286998495459557E-2</v>
      </c>
    </row>
    <row r="59" spans="1:21">
      <c r="A59" s="153" t="s">
        <v>170</v>
      </c>
      <c r="B59" s="100">
        <v>3.2500000000000001E-2</v>
      </c>
      <c r="C59" s="63">
        <v>0</v>
      </c>
      <c r="D59" s="63">
        <v>0</v>
      </c>
      <c r="E59" s="102">
        <f t="shared" si="21"/>
        <v>6189958.5832869988</v>
      </c>
      <c r="F59" s="279">
        <f>7528936+22516</f>
        <v>7551452</v>
      </c>
      <c r="G59" s="101">
        <v>-2.0060000000000001E-2</v>
      </c>
      <c r="H59" s="115">
        <f t="shared" si="22"/>
        <v>-151482.12712000002</v>
      </c>
      <c r="I59" s="279">
        <v>3861543</v>
      </c>
      <c r="J59" s="101">
        <v>-2.9020000000000001E-2</v>
      </c>
      <c r="K59" s="115">
        <f t="shared" si="23"/>
        <v>-112061.97786</v>
      </c>
      <c r="L59" s="112"/>
      <c r="M59" s="101"/>
      <c r="N59" s="115">
        <f t="shared" si="24"/>
        <v>0</v>
      </c>
      <c r="O59" s="109">
        <f t="shared" si="12"/>
        <v>16407.59</v>
      </c>
      <c r="P59" s="58">
        <f t="shared" si="18"/>
        <v>5942822.0683069983</v>
      </c>
      <c r="Q59" s="46"/>
      <c r="R59" s="85">
        <v>5942822.0599999996</v>
      </c>
      <c r="S59" s="86">
        <f t="shared" si="20"/>
        <v>-8.3069987595081329E-3</v>
      </c>
    </row>
    <row r="60" spans="1:21">
      <c r="A60" s="153" t="s">
        <v>171</v>
      </c>
      <c r="B60" s="100">
        <v>3.2500000000000001E-2</v>
      </c>
      <c r="C60" s="63">
        <v>0</v>
      </c>
      <c r="D60" s="63">
        <v>0</v>
      </c>
      <c r="E60" s="102">
        <f t="shared" si="21"/>
        <v>5942822.0683069983</v>
      </c>
      <c r="F60" s="279">
        <f>3513630+10109</f>
        <v>3523739</v>
      </c>
      <c r="G60" s="101">
        <v>-2.0060000000000001E-2</v>
      </c>
      <c r="H60" s="115">
        <f t="shared" si="22"/>
        <v>-70686.204340000011</v>
      </c>
      <c r="I60" s="279">
        <v>2400538</v>
      </c>
      <c r="J60" s="101">
        <v>-2.9020000000000001E-2</v>
      </c>
      <c r="K60" s="115">
        <f t="shared" si="23"/>
        <v>-69663.612760000004</v>
      </c>
      <c r="L60" s="112"/>
      <c r="M60" s="101"/>
      <c r="N60" s="115">
        <f t="shared" si="24"/>
        <v>0</v>
      </c>
      <c r="O60" s="109">
        <f>ROUND(((E60*(B60/12))+(H60+K60+N60)/2*(B60/12)),2)</f>
        <v>15905.09</v>
      </c>
      <c r="P60" s="58">
        <f t="shared" si="18"/>
        <v>5818377.3412069986</v>
      </c>
      <c r="Q60" s="46"/>
      <c r="R60" s="85">
        <v>5818377.3300000001</v>
      </c>
      <c r="S60" s="86">
        <f t="shared" si="20"/>
        <v>-1.1206998489797115E-2</v>
      </c>
    </row>
    <row r="61" spans="1:21">
      <c r="A61" s="153" t="s">
        <v>172</v>
      </c>
      <c r="B61" s="100">
        <v>3.5999999999999997E-2</v>
      </c>
      <c r="C61" s="63">
        <v>0</v>
      </c>
      <c r="D61" s="63">
        <v>0</v>
      </c>
      <c r="E61" s="102">
        <f t="shared" si="21"/>
        <v>5818377.3412069986</v>
      </c>
      <c r="F61" s="279">
        <f>2224703+5190</f>
        <v>2229893</v>
      </c>
      <c r="G61" s="101">
        <v>-2.0060000000000001E-2</v>
      </c>
      <c r="H61" s="115">
        <f t="shared" si="22"/>
        <v>-44731.653580000006</v>
      </c>
      <c r="I61" s="279">
        <v>1968103</v>
      </c>
      <c r="J61" s="101">
        <v>-2.9020000000000001E-2</v>
      </c>
      <c r="K61" s="115">
        <f t="shared" si="23"/>
        <v>-57114.34906</v>
      </c>
      <c r="L61" s="112"/>
      <c r="M61" s="101"/>
      <c r="N61" s="115">
        <f t="shared" si="24"/>
        <v>0</v>
      </c>
      <c r="O61" s="109">
        <f t="shared" ref="O61:O66" si="25">ROUND(((E61*(B61/12))+(H61+K61+N61)/2*(B61/12)),2)</f>
        <v>17302.36</v>
      </c>
      <c r="P61" s="58">
        <f t="shared" si="18"/>
        <v>5733833.6985669993</v>
      </c>
      <c r="Q61" s="46"/>
      <c r="R61" s="85">
        <v>5733833.6900000004</v>
      </c>
      <c r="S61" s="86">
        <f t="shared" ref="S61" si="26">R61-P61</f>
        <v>-8.5669988766312599E-3</v>
      </c>
    </row>
    <row r="62" spans="1:21">
      <c r="A62" s="153" t="s">
        <v>173</v>
      </c>
      <c r="B62" s="100">
        <v>3.5999999999999997E-2</v>
      </c>
      <c r="C62" s="63">
        <v>0</v>
      </c>
      <c r="D62" s="63">
        <v>0</v>
      </c>
      <c r="E62" s="102">
        <f t="shared" si="21"/>
        <v>5733833.6985669993</v>
      </c>
      <c r="F62" s="279">
        <f>1985915+4782</f>
        <v>1990697</v>
      </c>
      <c r="G62" s="101">
        <v>-2.0060000000000001E-2</v>
      </c>
      <c r="H62" s="115">
        <f t="shared" si="22"/>
        <v>-39933.381820000002</v>
      </c>
      <c r="I62" s="279">
        <v>1803204</v>
      </c>
      <c r="J62" s="101">
        <v>-2.9020000000000001E-2</v>
      </c>
      <c r="K62" s="115">
        <f t="shared" si="23"/>
        <v>-52328.980080000001</v>
      </c>
      <c r="L62" s="112"/>
      <c r="M62" s="101"/>
      <c r="N62" s="115">
        <f t="shared" si="24"/>
        <v>0</v>
      </c>
      <c r="O62" s="109">
        <f t="shared" si="25"/>
        <v>17063.11</v>
      </c>
      <c r="P62" s="58">
        <f t="shared" si="18"/>
        <v>5658634.4466669997</v>
      </c>
      <c r="Q62" s="46"/>
      <c r="R62" s="85">
        <v>5658634.4400000004</v>
      </c>
      <c r="S62" s="86">
        <f t="shared" ref="S62" si="27">R62-P62</f>
        <v>-6.6669993102550507E-3</v>
      </c>
      <c r="U62" s="171"/>
    </row>
    <row r="63" spans="1:21">
      <c r="A63" s="153" t="s">
        <v>174</v>
      </c>
      <c r="B63" s="100">
        <v>3.5999999999999997E-2</v>
      </c>
      <c r="C63" s="63">
        <v>0</v>
      </c>
      <c r="D63" s="63">
        <v>0</v>
      </c>
      <c r="E63" s="102">
        <f t="shared" si="21"/>
        <v>5658634.4466669997</v>
      </c>
      <c r="F63" s="279">
        <f>2606125+6911</f>
        <v>2613036</v>
      </c>
      <c r="G63" s="101">
        <v>-2.0060000000000001E-2</v>
      </c>
      <c r="H63" s="115">
        <f t="shared" si="22"/>
        <v>-52417.502160000004</v>
      </c>
      <c r="I63" s="279">
        <v>2229934</v>
      </c>
      <c r="J63" s="101">
        <v>-2.9020000000000001E-2</v>
      </c>
      <c r="K63" s="115">
        <f t="shared" si="23"/>
        <v>-64712.684679999998</v>
      </c>
      <c r="L63" s="112"/>
      <c r="M63" s="101"/>
      <c r="N63" s="115">
        <f t="shared" si="24"/>
        <v>0</v>
      </c>
      <c r="O63" s="109">
        <f t="shared" si="25"/>
        <v>16800.21</v>
      </c>
      <c r="P63" s="58">
        <f t="shared" si="18"/>
        <v>5558304.4698270001</v>
      </c>
      <c r="Q63" s="46"/>
      <c r="R63" s="85">
        <v>5558304.46</v>
      </c>
      <c r="S63" s="86">
        <f t="shared" ref="S63" si="28">R63-P63</f>
        <v>-9.8270000889897346E-3</v>
      </c>
    </row>
    <row r="64" spans="1:21">
      <c r="A64" s="153" t="s">
        <v>175</v>
      </c>
      <c r="B64" s="100">
        <v>4.9099999999999998E-2</v>
      </c>
      <c r="C64" s="63">
        <v>0</v>
      </c>
      <c r="D64" s="63">
        <v>0</v>
      </c>
      <c r="E64" s="102">
        <f t="shared" si="21"/>
        <v>5558304.4698270001</v>
      </c>
      <c r="F64" s="279">
        <f>5688582+17723</f>
        <v>5706305</v>
      </c>
      <c r="G64" s="101">
        <v>-2.0060000000000001E-2</v>
      </c>
      <c r="H64" s="115">
        <f t="shared" si="22"/>
        <v>-114468.4783</v>
      </c>
      <c r="I64" s="279">
        <v>4185171</v>
      </c>
      <c r="J64" s="101">
        <v>-2.9020000000000001E-2</v>
      </c>
      <c r="K64" s="115">
        <f t="shared" si="23"/>
        <v>-121453.66242000001</v>
      </c>
      <c r="L64" s="112"/>
      <c r="M64" s="101"/>
      <c r="N64" s="115">
        <f t="shared" si="24"/>
        <v>0</v>
      </c>
      <c r="O64" s="109">
        <f t="shared" si="25"/>
        <v>22260.07</v>
      </c>
      <c r="P64" s="58">
        <f t="shared" si="18"/>
        <v>5344642.3991070008</v>
      </c>
      <c r="Q64" s="46"/>
      <c r="R64" s="85">
        <v>5344642.4000000004</v>
      </c>
      <c r="S64" s="86">
        <f t="shared" ref="S64" si="29">R64-P64</f>
        <v>8.9299958199262619E-4</v>
      </c>
    </row>
    <row r="65" spans="1:23">
      <c r="A65" s="153" t="s">
        <v>176</v>
      </c>
      <c r="B65" s="100">
        <v>4.9099999999999998E-2</v>
      </c>
      <c r="C65" s="63">
        <f>-'191010 WA DEF'!D65</f>
        <v>16619372.818111997</v>
      </c>
      <c r="D65" s="63">
        <v>-57695.35</v>
      </c>
      <c r="E65" s="102">
        <f t="shared" si="21"/>
        <v>21906319.867218997</v>
      </c>
      <c r="F65" s="279">
        <f>21123575+64852</f>
        <v>21188427</v>
      </c>
      <c r="G65" s="83" t="s">
        <v>86</v>
      </c>
      <c r="H65" s="106">
        <f>-1566507-4817</f>
        <v>-1571324</v>
      </c>
      <c r="I65" s="279">
        <v>8371710</v>
      </c>
      <c r="J65" s="83" t="s">
        <v>86</v>
      </c>
      <c r="K65" s="106">
        <v>-959889</v>
      </c>
      <c r="L65" s="112"/>
      <c r="M65" s="83" t="s">
        <v>86</v>
      </c>
      <c r="N65" s="106">
        <v>0</v>
      </c>
      <c r="O65" s="109">
        <f t="shared" si="25"/>
        <v>84454.92</v>
      </c>
      <c r="P65" s="58">
        <f>E65+H65+K65+N65+O65</f>
        <v>19459561.787218999</v>
      </c>
      <c r="Q65" s="46"/>
      <c r="R65" s="85">
        <v>19459561.789999999</v>
      </c>
      <c r="S65" s="86">
        <f t="shared" ref="S65" si="30">R65-P65</f>
        <v>2.7809999883174896E-3</v>
      </c>
    </row>
    <row r="66" spans="1:23" ht="14.4" thickBot="1">
      <c r="A66" s="181" t="s">
        <v>177</v>
      </c>
      <c r="B66" s="119">
        <v>4.9099999999999998E-2</v>
      </c>
      <c r="C66" s="65">
        <v>0</v>
      </c>
      <c r="D66" s="65">
        <v>0</v>
      </c>
      <c r="E66" s="278">
        <f t="shared" si="21"/>
        <v>19459561.787218999</v>
      </c>
      <c r="F66" s="282">
        <f>26566755+77956</f>
        <v>26644711</v>
      </c>
      <c r="G66" s="88" t="s">
        <v>86</v>
      </c>
      <c r="H66" s="107">
        <f>-2122942-6215</f>
        <v>-2129157</v>
      </c>
      <c r="I66" s="281">
        <v>10057384</v>
      </c>
      <c r="J66" s="88" t="s">
        <v>86</v>
      </c>
      <c r="K66" s="107">
        <v>-1116927</v>
      </c>
      <c r="L66" s="122"/>
      <c r="M66" s="88" t="s">
        <v>86</v>
      </c>
      <c r="N66" s="107">
        <v>0</v>
      </c>
      <c r="O66" s="123">
        <f t="shared" si="25"/>
        <v>72981.09</v>
      </c>
      <c r="P66" s="66">
        <f t="shared" ref="P66:P76" si="31">E66+H66+K66+N66+O66</f>
        <v>16286458.877218999</v>
      </c>
      <c r="Q66" s="124"/>
      <c r="R66" s="67">
        <v>16286458.880000001</v>
      </c>
      <c r="S66" s="68">
        <f t="shared" ref="S66:S67" si="32">R66-P66</f>
        <v>2.7810018509626389E-3</v>
      </c>
    </row>
    <row r="67" spans="1:23">
      <c r="A67" s="153" t="s">
        <v>179</v>
      </c>
      <c r="B67" s="100">
        <v>6.3100000000000003E-2</v>
      </c>
      <c r="C67" s="83">
        <v>0</v>
      </c>
      <c r="D67" s="83">
        <v>0</v>
      </c>
      <c r="E67" s="102">
        <f>P66+C67+D67</f>
        <v>16286458.877218999</v>
      </c>
      <c r="F67" s="280">
        <f>22533765+68120</f>
        <v>22601885</v>
      </c>
      <c r="G67" s="101">
        <v>-7.9930000000000001E-2</v>
      </c>
      <c r="H67" s="115">
        <f>F67*G67</f>
        <v>-1806568.66805</v>
      </c>
      <c r="I67" s="280">
        <v>9462702</v>
      </c>
      <c r="J67" s="101">
        <v>-0.1129</v>
      </c>
      <c r="K67" s="115">
        <f>I67*J67</f>
        <v>-1068339.0558</v>
      </c>
      <c r="L67" s="112"/>
      <c r="M67" s="101"/>
      <c r="N67" s="115">
        <f>L67*M67</f>
        <v>0</v>
      </c>
      <c r="O67" s="108">
        <f>ROUND(((E67*(B67/12))+(H67+K67+N67)/2*(B67/12)),2)</f>
        <v>78081.02</v>
      </c>
      <c r="P67" s="84">
        <f t="shared" si="31"/>
        <v>13489632.173368998</v>
      </c>
      <c r="Q67" s="46"/>
      <c r="R67" s="85">
        <v>13489632.18</v>
      </c>
      <c r="S67" s="86">
        <f t="shared" si="32"/>
        <v>6.6310018301010132E-3</v>
      </c>
    </row>
    <row r="68" spans="1:23">
      <c r="A68" s="153" t="s">
        <v>180</v>
      </c>
      <c r="B68" s="100">
        <v>6.3100000000000003E-2</v>
      </c>
      <c r="C68" s="63">
        <v>0</v>
      </c>
      <c r="D68" s="63">
        <v>0</v>
      </c>
      <c r="E68" s="102">
        <f t="shared" ref="E68:E78" si="33">P67+C68+D68</f>
        <v>13489632.173368998</v>
      </c>
      <c r="F68" s="279">
        <f>19928457+60896</f>
        <v>19989353</v>
      </c>
      <c r="G68" s="101">
        <v>-7.9930000000000001E-2</v>
      </c>
      <c r="H68" s="115">
        <f t="shared" ref="H68:H76" si="34">F68*G68</f>
        <v>-1597748.98529</v>
      </c>
      <c r="I68" s="279">
        <v>7728313</v>
      </c>
      <c r="J68" s="101">
        <v>-0.1129</v>
      </c>
      <c r="K68" s="115">
        <f t="shared" ref="K68:K76" si="35">I68*J68</f>
        <v>-872526.53769999999</v>
      </c>
      <c r="L68" s="112"/>
      <c r="M68" s="101"/>
      <c r="N68" s="115">
        <f t="shared" ref="N68:N76" si="36">L68*M68</f>
        <v>0</v>
      </c>
      <c r="O68" s="109">
        <f t="shared" ref="O68:O71" si="37">ROUND(((E68*(B68/12))+(H68+K68+N68)/2*(B68/12)),2)</f>
        <v>64438.22</v>
      </c>
      <c r="P68" s="58">
        <f t="shared" si="31"/>
        <v>11083794.870378999</v>
      </c>
      <c r="Q68" s="46"/>
      <c r="R68" s="85">
        <v>11083794.880000001</v>
      </c>
      <c r="S68" s="86">
        <f t="shared" ref="S68" si="38">R68-P68</f>
        <v>9.6210017800331116E-3</v>
      </c>
    </row>
    <row r="69" spans="1:23">
      <c r="A69" s="153" t="s">
        <v>181</v>
      </c>
      <c r="B69" s="100">
        <v>6.3100000000000003E-2</v>
      </c>
      <c r="C69" s="63">
        <v>0</v>
      </c>
      <c r="D69" s="63">
        <v>0</v>
      </c>
      <c r="E69" s="102">
        <f t="shared" si="33"/>
        <v>11083794.870378999</v>
      </c>
      <c r="F69" s="279">
        <f>16463840+55607</f>
        <v>16519447</v>
      </c>
      <c r="G69" s="101">
        <v>-7.9930000000000001E-2</v>
      </c>
      <c r="H69" s="115">
        <f t="shared" si="34"/>
        <v>-1320399.3987100001</v>
      </c>
      <c r="I69" s="279">
        <v>7564231</v>
      </c>
      <c r="J69" s="101">
        <v>-0.1129</v>
      </c>
      <c r="K69" s="115">
        <f t="shared" si="35"/>
        <v>-854001.67989999999</v>
      </c>
      <c r="L69" s="112"/>
      <c r="M69" s="101"/>
      <c r="N69" s="115">
        <f t="shared" si="36"/>
        <v>0</v>
      </c>
      <c r="O69" s="109">
        <f t="shared" si="37"/>
        <v>52565.43</v>
      </c>
      <c r="P69" s="58">
        <f t="shared" si="31"/>
        <v>8961959.2217689995</v>
      </c>
      <c r="Q69" s="46"/>
      <c r="R69" s="85">
        <v>8961959.2300000004</v>
      </c>
      <c r="S69" s="86">
        <f t="shared" ref="S69" si="39">R69-P69</f>
        <v>8.2310009747743607E-3</v>
      </c>
    </row>
    <row r="70" spans="1:23">
      <c r="A70" s="153" t="s">
        <v>182</v>
      </c>
      <c r="B70" s="100">
        <v>7.4999999999999997E-2</v>
      </c>
      <c r="C70" s="63">
        <v>0</v>
      </c>
      <c r="D70" s="63">
        <v>0</v>
      </c>
      <c r="E70" s="102">
        <f t="shared" si="33"/>
        <v>8961959.2217689995</v>
      </c>
      <c r="F70" s="279">
        <f>10827426+37509</f>
        <v>10864935</v>
      </c>
      <c r="G70" s="101">
        <v>-7.9930000000000001E-2</v>
      </c>
      <c r="H70" s="115">
        <f t="shared" si="34"/>
        <v>-868434.25454999995</v>
      </c>
      <c r="I70" s="279">
        <v>4866731</v>
      </c>
      <c r="J70" s="101">
        <v>-0.1129</v>
      </c>
      <c r="K70" s="115">
        <f t="shared" si="35"/>
        <v>-549453.92989999999</v>
      </c>
      <c r="L70" s="112"/>
      <c r="M70" s="101"/>
      <c r="N70" s="115">
        <f t="shared" si="36"/>
        <v>0</v>
      </c>
      <c r="O70" s="109">
        <f t="shared" si="37"/>
        <v>51581.34</v>
      </c>
      <c r="P70" s="58">
        <f t="shared" si="31"/>
        <v>7595652.3773189997</v>
      </c>
      <c r="Q70" s="46"/>
      <c r="R70" s="85">
        <v>7595652.3899999997</v>
      </c>
      <c r="S70" s="86">
        <f t="shared" ref="S70" si="40">R70-P70</f>
        <v>1.2680999934673309E-2</v>
      </c>
    </row>
    <row r="71" spans="1:23">
      <c r="A71" s="153" t="s">
        <v>183</v>
      </c>
      <c r="B71" s="100">
        <v>7.4999999999999997E-2</v>
      </c>
      <c r="C71" s="63">
        <v>0</v>
      </c>
      <c r="D71" s="63">
        <v>0</v>
      </c>
      <c r="E71" s="102">
        <f t="shared" si="33"/>
        <v>7595652.3773189997</v>
      </c>
      <c r="F71" s="279">
        <f>3335686+11814</f>
        <v>3347500</v>
      </c>
      <c r="G71" s="83" t="s">
        <v>86</v>
      </c>
      <c r="H71" s="106">
        <v>-1186097</v>
      </c>
      <c r="I71" s="279">
        <v>2518681</v>
      </c>
      <c r="J71" s="101">
        <v>-0.1129</v>
      </c>
      <c r="K71" s="115">
        <f t="shared" si="35"/>
        <v>-284359.08490000002</v>
      </c>
      <c r="L71" s="112"/>
      <c r="M71" s="101"/>
      <c r="N71" s="115">
        <f t="shared" si="36"/>
        <v>0</v>
      </c>
      <c r="O71" s="109">
        <f t="shared" si="37"/>
        <v>42877.65</v>
      </c>
      <c r="P71" s="58">
        <f t="shared" si="31"/>
        <v>6168073.942419</v>
      </c>
      <c r="Q71" s="46"/>
      <c r="R71" s="85">
        <v>6168073.96</v>
      </c>
      <c r="S71" s="86">
        <f t="shared" ref="S71" si="41">R71-P71</f>
        <v>1.7580999992787838E-2</v>
      </c>
    </row>
    <row r="72" spans="1:23">
      <c r="A72" s="153" t="s">
        <v>184</v>
      </c>
      <c r="B72" s="100">
        <v>7.4999999999999997E-2</v>
      </c>
      <c r="C72" s="63">
        <v>0</v>
      </c>
      <c r="D72" s="63">
        <v>0</v>
      </c>
      <c r="E72" s="102">
        <f t="shared" si="33"/>
        <v>6168073.942419</v>
      </c>
      <c r="F72" s="279">
        <f>2359733+6675</f>
        <v>2366408</v>
      </c>
      <c r="G72" s="83" t="s">
        <v>86</v>
      </c>
      <c r="H72" s="106">
        <v>-747901</v>
      </c>
      <c r="I72" s="279">
        <v>2149480</v>
      </c>
      <c r="J72" s="101">
        <v>-0.1129</v>
      </c>
      <c r="K72" s="115">
        <f t="shared" si="35"/>
        <v>-242676.29199999999</v>
      </c>
      <c r="L72" s="112"/>
      <c r="M72" s="101"/>
      <c r="N72" s="115">
        <f t="shared" si="36"/>
        <v>0</v>
      </c>
      <c r="O72" s="109">
        <f>ROUND(((E72*(B72/12))+(H72+K72+N72)/2*(B72/12)),2)</f>
        <v>35454.910000000003</v>
      </c>
      <c r="P72" s="58">
        <f t="shared" si="31"/>
        <v>5212951.5604189998</v>
      </c>
      <c r="Q72" s="46"/>
      <c r="R72" s="85">
        <v>5212951.58</v>
      </c>
      <c r="S72" s="86">
        <f t="shared" ref="S72" si="42">R72-P72</f>
        <v>1.9581000320613384E-2</v>
      </c>
    </row>
    <row r="73" spans="1:23">
      <c r="A73" s="153" t="s">
        <v>185</v>
      </c>
      <c r="B73" s="100">
        <v>8.0199999999999994E-2</v>
      </c>
      <c r="C73" s="63">
        <v>0</v>
      </c>
      <c r="D73" s="63">
        <v>0</v>
      </c>
      <c r="E73" s="102">
        <f t="shared" si="33"/>
        <v>5212951.5604189998</v>
      </c>
      <c r="F73" s="279">
        <f>2176412+6110</f>
        <v>2182522</v>
      </c>
      <c r="G73" s="101">
        <v>-0.31641999999999998</v>
      </c>
      <c r="H73" s="115">
        <f t="shared" si="34"/>
        <v>-690593.61124</v>
      </c>
      <c r="I73" s="279">
        <v>1799245</v>
      </c>
      <c r="J73" s="101">
        <v>-0.1129</v>
      </c>
      <c r="K73" s="115">
        <f t="shared" si="35"/>
        <v>-203134.7605</v>
      </c>
      <c r="L73" s="112"/>
      <c r="M73" s="101"/>
      <c r="N73" s="115">
        <f t="shared" si="36"/>
        <v>0</v>
      </c>
      <c r="O73" s="109">
        <f t="shared" ref="O73:O78" si="43">ROUND(((E73*(B73/12))+(H73+K73+N73)/2*(B73/12)),2)</f>
        <v>31853.35</v>
      </c>
      <c r="P73" s="58">
        <f t="shared" si="31"/>
        <v>4351076.5386789991</v>
      </c>
      <c r="Q73" s="46"/>
      <c r="R73" s="85">
        <v>4351076.5599999996</v>
      </c>
      <c r="S73" s="86">
        <f t="shared" ref="S73" si="44">R73-P73</f>
        <v>2.1321000531315804E-2</v>
      </c>
    </row>
    <row r="74" spans="1:23">
      <c r="A74" s="153" t="s">
        <v>186</v>
      </c>
      <c r="B74" s="100">
        <v>8.0199999999999994E-2</v>
      </c>
      <c r="C74" s="63">
        <v>0</v>
      </c>
      <c r="D74" s="63">
        <v>0</v>
      </c>
      <c r="E74" s="102">
        <f t="shared" si="33"/>
        <v>4351076.5386789991</v>
      </c>
      <c r="F74" s="279">
        <f>2215976+5737</f>
        <v>2221713</v>
      </c>
      <c r="G74" s="101">
        <v>-0.31641999999999998</v>
      </c>
      <c r="H74" s="115">
        <f t="shared" si="34"/>
        <v>-702994.42745999992</v>
      </c>
      <c r="I74" s="279">
        <v>2007701</v>
      </c>
      <c r="J74" s="101">
        <v>-0.1129</v>
      </c>
      <c r="K74" s="115">
        <f t="shared" si="35"/>
        <v>-226669.44289999999</v>
      </c>
      <c r="L74" s="112"/>
      <c r="M74" s="101"/>
      <c r="N74" s="115">
        <f t="shared" si="36"/>
        <v>0</v>
      </c>
      <c r="O74" s="109">
        <f t="shared" si="43"/>
        <v>25973.07</v>
      </c>
      <c r="P74" s="58">
        <f t="shared" si="31"/>
        <v>3447385.7383189988</v>
      </c>
      <c r="Q74" s="46"/>
      <c r="R74" s="85">
        <v>4351076.5599999996</v>
      </c>
      <c r="S74" s="86">
        <f t="shared" ref="S74" si="45">R74-P74</f>
        <v>903690.82168100076</v>
      </c>
      <c r="U74" s="171"/>
    </row>
    <row r="75" spans="1:23">
      <c r="A75" s="153" t="s">
        <v>187</v>
      </c>
      <c r="B75" s="100"/>
      <c r="C75" s="63">
        <v>0</v>
      </c>
      <c r="D75" s="63">
        <v>0</v>
      </c>
      <c r="E75" s="102">
        <f t="shared" si="33"/>
        <v>3447385.7383189988</v>
      </c>
      <c r="F75" s="279"/>
      <c r="G75" s="101"/>
      <c r="H75" s="115">
        <f t="shared" si="34"/>
        <v>0</v>
      </c>
      <c r="I75" s="279"/>
      <c r="J75" s="101"/>
      <c r="K75" s="115">
        <f t="shared" si="35"/>
        <v>0</v>
      </c>
      <c r="L75" s="112"/>
      <c r="M75" s="101"/>
      <c r="N75" s="115">
        <f t="shared" si="36"/>
        <v>0</v>
      </c>
      <c r="O75" s="109">
        <f t="shared" si="43"/>
        <v>0</v>
      </c>
      <c r="P75" s="58">
        <f t="shared" si="31"/>
        <v>3447385.7383189988</v>
      </c>
      <c r="Q75" s="46"/>
      <c r="R75" s="85"/>
      <c r="S75" s="86"/>
    </row>
    <row r="76" spans="1:23">
      <c r="A76" s="153" t="s">
        <v>188</v>
      </c>
      <c r="B76" s="100"/>
      <c r="C76" s="63">
        <v>0</v>
      </c>
      <c r="D76" s="63">
        <v>0</v>
      </c>
      <c r="E76" s="102">
        <f t="shared" si="33"/>
        <v>3447385.7383189988</v>
      </c>
      <c r="F76" s="279"/>
      <c r="G76" s="101"/>
      <c r="H76" s="115">
        <f t="shared" si="34"/>
        <v>0</v>
      </c>
      <c r="I76" s="279"/>
      <c r="J76" s="101"/>
      <c r="K76" s="115">
        <f t="shared" si="35"/>
        <v>0</v>
      </c>
      <c r="L76" s="112"/>
      <c r="M76" s="101"/>
      <c r="N76" s="115">
        <f t="shared" si="36"/>
        <v>0</v>
      </c>
      <c r="O76" s="109">
        <f t="shared" si="43"/>
        <v>0</v>
      </c>
      <c r="P76" s="58">
        <f t="shared" si="31"/>
        <v>3447385.7383189988</v>
      </c>
      <c r="Q76" s="46"/>
      <c r="R76" s="85"/>
      <c r="S76" s="86"/>
    </row>
    <row r="77" spans="1:23">
      <c r="A77" s="153" t="s">
        <v>189</v>
      </c>
      <c r="B77" s="100"/>
      <c r="C77" s="63"/>
      <c r="D77" s="63"/>
      <c r="E77" s="102">
        <f t="shared" si="33"/>
        <v>3447385.7383189988</v>
      </c>
      <c r="F77" s="279"/>
      <c r="G77" s="83" t="s">
        <v>86</v>
      </c>
      <c r="H77" s="106"/>
      <c r="I77" s="279"/>
      <c r="J77" s="83" t="s">
        <v>86</v>
      </c>
      <c r="K77" s="106"/>
      <c r="L77" s="112"/>
      <c r="M77" s="83" t="s">
        <v>86</v>
      </c>
      <c r="N77" s="106">
        <v>0</v>
      </c>
      <c r="O77" s="109">
        <f t="shared" si="43"/>
        <v>0</v>
      </c>
      <c r="P77" s="58">
        <f>E77+H77+K77+N77+O77</f>
        <v>3447385.7383189988</v>
      </c>
      <c r="Q77" s="46"/>
      <c r="R77" s="85"/>
      <c r="S77" s="86"/>
    </row>
    <row r="78" spans="1:23" ht="14.4" thickBot="1">
      <c r="A78" s="181" t="s">
        <v>190</v>
      </c>
      <c r="B78" s="119"/>
      <c r="C78" s="65">
        <v>0</v>
      </c>
      <c r="D78" s="65">
        <v>0</v>
      </c>
      <c r="E78" s="278">
        <f t="shared" si="33"/>
        <v>3447385.7383189988</v>
      </c>
      <c r="F78" s="282"/>
      <c r="G78" s="88" t="s">
        <v>86</v>
      </c>
      <c r="H78" s="107"/>
      <c r="I78" s="281"/>
      <c r="J78" s="88" t="s">
        <v>86</v>
      </c>
      <c r="K78" s="107"/>
      <c r="L78" s="122"/>
      <c r="M78" s="88" t="s">
        <v>86</v>
      </c>
      <c r="N78" s="107">
        <v>0</v>
      </c>
      <c r="O78" s="123">
        <f t="shared" si="43"/>
        <v>0</v>
      </c>
      <c r="P78" s="66">
        <f t="shared" ref="P78" si="46">E78+H78+K78+N78+O78</f>
        <v>3447385.7383189988</v>
      </c>
      <c r="Q78" s="124"/>
      <c r="R78" s="67"/>
      <c r="S78" s="68"/>
    </row>
    <row r="79" spans="1:23" s="128" customFormat="1" ht="15.6">
      <c r="A79" s="73"/>
      <c r="B79" s="73"/>
      <c r="C79" s="125"/>
      <c r="D79" s="69">
        <f>SUMIF($A$19:$A$66,$G82,D$19:D$66)</f>
        <v>0</v>
      </c>
      <c r="E79" s="69"/>
      <c r="F79" s="69"/>
      <c r="G79" s="69"/>
      <c r="H79" s="69">
        <f>SUMIF($A$19:$A$78,$G82,H$19:H$78)</f>
        <v>-702994.42745999992</v>
      </c>
      <c r="I79" s="70"/>
      <c r="J79" s="125"/>
      <c r="K79" s="69">
        <f>SUMIF($A$19:$A$78,$G82,K$19:K$78)</f>
        <v>-226669.44289999999</v>
      </c>
      <c r="L79" s="73"/>
      <c r="M79" s="127"/>
      <c r="N79" s="69">
        <f>SUMIF($A$19:$A$54,$G82,N$19:N$54)</f>
        <v>0</v>
      </c>
      <c r="O79" s="69">
        <f>SUMIF($A$19:$A$78,$G82,O$19:O$78)</f>
        <v>25973.07</v>
      </c>
      <c r="P79" s="70" t="s">
        <v>56</v>
      </c>
      <c r="Q79" s="131"/>
      <c r="R79" s="132"/>
      <c r="S79" s="132"/>
      <c r="T79" s="133"/>
      <c r="U79" s="129"/>
      <c r="V79" s="129"/>
      <c r="W79" s="129"/>
    </row>
    <row r="80" spans="1:23" s="128" customFormat="1" ht="14.4">
      <c r="A80" s="73"/>
      <c r="B80" s="73"/>
      <c r="C80" s="125"/>
      <c r="D80" s="126" t="s">
        <v>70</v>
      </c>
      <c r="E80" s="126"/>
      <c r="F80" s="126"/>
      <c r="G80" s="126"/>
      <c r="H80" s="126" t="s">
        <v>68</v>
      </c>
      <c r="I80" s="73"/>
      <c r="J80" s="125"/>
      <c r="K80" s="126" t="s">
        <v>68</v>
      </c>
      <c r="L80" s="126"/>
      <c r="M80" s="134"/>
      <c r="N80" s="126" t="s">
        <v>68</v>
      </c>
      <c r="O80" s="126" t="s">
        <v>69</v>
      </c>
      <c r="Q80" s="129"/>
      <c r="R80" s="129"/>
      <c r="S80" s="129"/>
      <c r="T80" s="129"/>
      <c r="U80" s="129"/>
      <c r="V80" s="129"/>
      <c r="W80" s="129"/>
    </row>
    <row r="81" spans="4:26" s="32" customFormat="1" ht="14.4">
      <c r="D81" s="55"/>
      <c r="E81" s="55"/>
      <c r="F81" s="56"/>
      <c r="G81" s="55"/>
      <c r="H81" s="55"/>
      <c r="I81" s="55"/>
      <c r="J81" s="55"/>
      <c r="K81" s="55"/>
      <c r="L81" s="55"/>
      <c r="M81" s="56"/>
      <c r="N81" s="55"/>
      <c r="O81" s="55"/>
      <c r="P81" s="74"/>
      <c r="T81" s="33"/>
      <c r="U81" s="33"/>
      <c r="V81" s="33"/>
      <c r="W81" s="33"/>
      <c r="X81" s="33"/>
      <c r="Y81" s="33"/>
      <c r="Z81" s="33"/>
    </row>
    <row r="82" spans="4:26" s="32" customFormat="1" ht="14.4">
      <c r="D82" s="55"/>
      <c r="E82" s="55"/>
      <c r="F82" s="56"/>
      <c r="G82" s="48">
        <v>202308</v>
      </c>
      <c r="H82" s="49" t="s">
        <v>57</v>
      </c>
      <c r="I82" s="50"/>
      <c r="J82" s="55"/>
      <c r="K82" s="55"/>
      <c r="L82" s="55"/>
      <c r="M82" s="56"/>
      <c r="N82" s="55"/>
      <c r="O82" s="55"/>
      <c r="P82" s="74"/>
    </row>
    <row r="83" spans="4:26" s="32" customFormat="1" ht="14.4">
      <c r="D83" s="55"/>
      <c r="E83" s="55"/>
      <c r="F83" s="56"/>
      <c r="G83" s="51" t="s">
        <v>58</v>
      </c>
      <c r="H83" s="51" t="s">
        <v>59</v>
      </c>
      <c r="I83" s="51" t="s">
        <v>60</v>
      </c>
      <c r="J83" s="55"/>
      <c r="K83" s="55"/>
      <c r="L83" s="55"/>
      <c r="M83" s="56"/>
      <c r="N83" s="55"/>
      <c r="O83" s="55"/>
      <c r="P83" s="74"/>
    </row>
    <row r="84" spans="4:26" s="32" customFormat="1" ht="14.4">
      <c r="D84" s="55"/>
      <c r="E84" s="55"/>
      <c r="F84" s="71" t="s">
        <v>21</v>
      </c>
      <c r="G84" s="52" t="s">
        <v>61</v>
      </c>
      <c r="H84" s="53"/>
      <c r="I84" s="54">
        <f>IF($O$79&gt;0,ABS($O$79),"")</f>
        <v>25973.07</v>
      </c>
      <c r="J84" s="73" t="s">
        <v>69</v>
      </c>
      <c r="K84" s="55"/>
      <c r="L84" s="55"/>
      <c r="M84" s="169"/>
      <c r="N84" s="46"/>
      <c r="O84" s="55"/>
      <c r="P84" s="74"/>
    </row>
    <row r="85" spans="4:26" s="32" customFormat="1" ht="14.4">
      <c r="D85" s="55"/>
      <c r="E85" s="55"/>
      <c r="F85" s="71" t="s">
        <v>65</v>
      </c>
      <c r="G85" s="52" t="s">
        <v>62</v>
      </c>
      <c r="H85" s="54" t="str">
        <f>IF($O$79&lt;0,ABS($O$79),"")</f>
        <v/>
      </c>
      <c r="I85" s="53"/>
      <c r="J85" s="73" t="s">
        <v>121</v>
      </c>
      <c r="K85" s="55"/>
      <c r="L85" s="176"/>
      <c r="M85" s="174"/>
      <c r="N85" s="177"/>
      <c r="O85" s="55"/>
      <c r="P85" s="74"/>
    </row>
    <row r="86" spans="4:26" s="32" customFormat="1" ht="14.4">
      <c r="D86" s="55"/>
      <c r="E86" s="55"/>
      <c r="F86" s="71" t="s">
        <v>5</v>
      </c>
      <c r="G86" s="52" t="s">
        <v>83</v>
      </c>
      <c r="H86" s="54" t="str">
        <f>IF(H79+$K$79+$N$79+O79&gt;0,ABS(H79+$K$79+$N$79+O79),"")</f>
        <v/>
      </c>
      <c r="I86" s="54">
        <f>IF(H79+$K$79+$N$79+O79&lt;0,ABS(H79+$K$79+$N$79+O79),"")</f>
        <v>903690.80035999999</v>
      </c>
      <c r="J86" s="73" t="s">
        <v>100</v>
      </c>
      <c r="K86" s="55"/>
      <c r="L86" s="178"/>
      <c r="M86" s="174"/>
      <c r="N86" s="177"/>
      <c r="O86" s="55"/>
      <c r="P86" s="74"/>
    </row>
    <row r="87" spans="4:26" s="32" customFormat="1" ht="14.4">
      <c r="D87" s="55"/>
      <c r="E87" s="55"/>
      <c r="F87" s="71" t="s">
        <v>101</v>
      </c>
      <c r="G87" s="52" t="s">
        <v>99</v>
      </c>
      <c r="H87" s="54">
        <f>IF(H79+$K$79+$N$79&lt;0,ABS(H79+$K$79+$N$79),"")</f>
        <v>929663.87035999994</v>
      </c>
      <c r="I87" s="54" t="str">
        <f>IF(H79+$K$79+$N$79&gt;0,ABS(H79+$K$79+$N$79),"")</f>
        <v/>
      </c>
      <c r="J87" s="73" t="s">
        <v>68</v>
      </c>
      <c r="K87" s="55"/>
      <c r="L87" s="178"/>
      <c r="M87" s="174"/>
      <c r="N87" s="177"/>
      <c r="O87" s="55"/>
      <c r="P87" s="74"/>
    </row>
    <row r="88" spans="4:26" s="32" customFormat="1" ht="14.4">
      <c r="D88" s="55"/>
      <c r="E88" s="55"/>
      <c r="F88" s="56"/>
      <c r="G88" s="55"/>
      <c r="H88" s="55"/>
      <c r="I88" s="55"/>
      <c r="J88" s="73"/>
      <c r="K88" s="55"/>
      <c r="L88" s="178"/>
      <c r="M88" s="174"/>
      <c r="N88" s="176"/>
      <c r="O88" s="55"/>
      <c r="P88" s="74"/>
    </row>
    <row r="89" spans="4:26" s="32" customFormat="1" ht="14.4">
      <c r="D89" s="55"/>
      <c r="E89" s="55"/>
      <c r="F89" s="56"/>
      <c r="G89" s="55"/>
      <c r="H89" s="55"/>
      <c r="I89" s="72">
        <f>SUM(H84:H87)-SUM(I84:I87)</f>
        <v>0</v>
      </c>
      <c r="J89" s="73" t="s">
        <v>73</v>
      </c>
      <c r="K89" s="55"/>
      <c r="L89" s="55"/>
      <c r="M89" s="56"/>
      <c r="N89" s="55"/>
      <c r="O89" s="55"/>
      <c r="P89" s="74"/>
    </row>
    <row r="90" spans="4:26" s="32" customFormat="1" ht="14.4">
      <c r="F90" s="33"/>
      <c r="J90" s="128"/>
      <c r="M90" s="33"/>
      <c r="P90" s="76"/>
    </row>
    <row r="91" spans="4:26" s="32" customFormat="1" ht="15.6">
      <c r="F91" s="33"/>
      <c r="G91" s="51" t="s">
        <v>178</v>
      </c>
      <c r="H91" s="287"/>
      <c r="I91" s="288"/>
      <c r="J91" s="130"/>
      <c r="M91" s="33"/>
      <c r="P91" s="76"/>
    </row>
    <row r="92" spans="4:26" s="32" customFormat="1" ht="14.4">
      <c r="F92" s="33"/>
      <c r="G92" s="90" t="s">
        <v>83</v>
      </c>
      <c r="H92" s="54"/>
      <c r="I92" s="91"/>
      <c r="J92" s="73" t="s">
        <v>70</v>
      </c>
      <c r="M92" s="33"/>
      <c r="P92" s="76"/>
    </row>
    <row r="93" spans="4:26" s="32" customFormat="1" ht="14.4">
      <c r="F93" s="33"/>
      <c r="G93" s="90" t="s">
        <v>99</v>
      </c>
      <c r="H93" s="91"/>
      <c r="I93" s="54"/>
      <c r="J93" s="92"/>
      <c r="M93" s="33"/>
      <c r="P93" s="76"/>
    </row>
    <row r="94" spans="4:26">
      <c r="Q94" s="55"/>
      <c r="S94" s="118"/>
      <c r="U94" s="56"/>
    </row>
    <row r="95" spans="4:26">
      <c r="P95" s="118"/>
      <c r="Q95" s="55"/>
      <c r="R95" s="56"/>
      <c r="S95" s="55"/>
    </row>
  </sheetData>
  <printOptions horizontalCentered="1"/>
  <pageMargins left="0.2" right="0.2" top="0.75" bottom="0.75" header="0.3" footer="0.3"/>
  <pageSetup scale="72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C1581-41A8-48EE-808B-97D4B64E4584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19.6640625" style="7" bestFit="1" customWidth="1"/>
    <col min="6" max="6" width="18.33203125" style="31" bestFit="1" customWidth="1"/>
    <col min="7" max="7" width="18.5546875" style="31" bestFit="1" customWidth="1"/>
    <col min="8" max="9" width="18.33203125" style="31" bestFit="1" customWidth="1"/>
    <col min="10" max="10" width="4.88671875" style="30" bestFit="1" customWidth="1"/>
    <col min="11" max="11" width="22.33203125" style="30" bestFit="1" customWidth="1"/>
    <col min="12" max="12" width="18.109375" style="30" customWidth="1"/>
    <col min="13" max="13" width="18.6640625" style="30" bestFit="1" customWidth="1"/>
    <col min="14" max="14" width="19.44140625" style="30" customWidth="1"/>
    <col min="15" max="15" width="19.109375" style="30" bestFit="1" customWidth="1"/>
    <col min="16" max="18" width="18.109375" style="30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5.6" customHeight="1">
      <c r="B1" s="189" t="s">
        <v>153</v>
      </c>
      <c r="C1" s="190">
        <v>202302</v>
      </c>
      <c r="D1" s="273"/>
      <c r="E1" s="139"/>
      <c r="F1" s="139"/>
      <c r="G1" s="139"/>
      <c r="H1" s="139"/>
      <c r="I1" s="139"/>
      <c r="K1" s="185" t="s">
        <v>138</v>
      </c>
      <c r="L1" s="191" t="s">
        <v>139</v>
      </c>
      <c r="N1" s="291"/>
      <c r="O1" s="291"/>
      <c r="T1" s="270" t="s">
        <v>158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140</v>
      </c>
      <c r="N2" s="268"/>
      <c r="O2" s="268"/>
      <c r="T2" s="271" t="s">
        <v>159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160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161</v>
      </c>
    </row>
    <row r="5" spans="2:20" ht="15.6" customHeight="1" thickBot="1">
      <c r="B5" s="194"/>
      <c r="C5" s="13"/>
      <c r="D5" s="13"/>
      <c r="E5" s="249" t="s">
        <v>17</v>
      </c>
      <c r="F5" s="292" t="s">
        <v>32</v>
      </c>
      <c r="G5" s="293"/>
      <c r="H5" s="292" t="s">
        <v>33</v>
      </c>
      <c r="I5" s="294"/>
      <c r="J5" s="31"/>
      <c r="K5" s="295" t="s">
        <v>32</v>
      </c>
      <c r="L5" s="296"/>
      <c r="M5" s="296"/>
      <c r="N5" s="297"/>
      <c r="O5" s="295" t="s">
        <v>33</v>
      </c>
      <c r="P5" s="296"/>
      <c r="Q5" s="296"/>
      <c r="R5" s="297"/>
      <c r="T5" s="271" t="s">
        <v>162</v>
      </c>
    </row>
    <row r="6" spans="2:20" ht="15.6" customHeight="1" thickBot="1">
      <c r="B6" s="195" t="s">
        <v>18</v>
      </c>
      <c r="C6" s="3"/>
      <c r="D6" s="3"/>
      <c r="E6" s="242" t="s">
        <v>151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163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164</v>
      </c>
    </row>
    <row r="8" spans="2:20" ht="15.6" customHeight="1">
      <c r="B8" s="14"/>
      <c r="C8" s="3"/>
      <c r="D8" s="3"/>
      <c r="E8" s="263">
        <f>F8+H8</f>
        <v>1</v>
      </c>
      <c r="F8" s="233">
        <v>0.6845</v>
      </c>
      <c r="G8" s="234">
        <f>ROUND($L$29/($L$29+$P$28),4)</f>
        <v>0.67430000000000001</v>
      </c>
      <c r="H8" s="233">
        <v>0.3155</v>
      </c>
      <c r="I8" s="196">
        <f>1-G8</f>
        <v>0.32569999999999999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165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205</v>
      </c>
      <c r="C10" s="27">
        <v>804001</v>
      </c>
      <c r="D10" s="27" t="s">
        <v>137</v>
      </c>
      <c r="E10" s="244">
        <v>2194463.23</v>
      </c>
      <c r="F10" s="235"/>
      <c r="G10" s="236"/>
      <c r="H10" s="235"/>
      <c r="I10" s="226"/>
      <c r="J10" s="31"/>
      <c r="K10" s="25" t="s">
        <v>10</v>
      </c>
      <c r="L10" s="283">
        <v>19928457</v>
      </c>
      <c r="M10" s="207">
        <v>0.10111000000000001</v>
      </c>
      <c r="N10" s="184">
        <f t="shared" ref="N10:N16" si="0">L10*M10</f>
        <v>2014966.2872700002</v>
      </c>
      <c r="O10" s="25" t="s">
        <v>10</v>
      </c>
      <c r="P10" s="283">
        <v>10865050</v>
      </c>
      <c r="Q10" s="207">
        <v>9.1980000000000006E-2</v>
      </c>
      <c r="R10" s="184">
        <f>P10*Q10</f>
        <v>999367.29900000012</v>
      </c>
    </row>
    <row r="11" spans="2:20" ht="15.6" customHeight="1" thickBot="1">
      <c r="B11" s="188" t="s">
        <v>206</v>
      </c>
      <c r="C11" s="27">
        <v>804002</v>
      </c>
      <c r="D11" s="27" t="s">
        <v>137</v>
      </c>
      <c r="E11" s="244">
        <v>37997.24</v>
      </c>
      <c r="F11" s="235"/>
      <c r="G11" s="236"/>
      <c r="H11" s="235"/>
      <c r="I11" s="226"/>
      <c r="J11" s="31"/>
      <c r="K11" s="25" t="s">
        <v>42</v>
      </c>
      <c r="L11" s="283">
        <v>60896</v>
      </c>
      <c r="M11" s="207">
        <v>0.10111000000000001</v>
      </c>
      <c r="N11" s="184">
        <f t="shared" si="0"/>
        <v>6157.1945599999999</v>
      </c>
      <c r="O11" s="25" t="s">
        <v>11</v>
      </c>
      <c r="P11" s="283">
        <v>2660161</v>
      </c>
      <c r="Q11" s="207">
        <f>Q10</f>
        <v>9.1980000000000006E-2</v>
      </c>
      <c r="R11" s="184">
        <f>P11*Q11</f>
        <v>244681.60878000001</v>
      </c>
    </row>
    <row r="12" spans="2:20" ht="15.6" customHeight="1" thickBot="1">
      <c r="B12" s="197" t="s">
        <v>141</v>
      </c>
      <c r="C12" s="6"/>
      <c r="D12" s="6"/>
      <c r="E12" s="245">
        <f>SUM(E10:E11)</f>
        <v>2232460.4700000002</v>
      </c>
      <c r="F12" s="237"/>
      <c r="G12" s="238"/>
      <c r="H12" s="237"/>
      <c r="I12" s="227"/>
      <c r="J12" s="31"/>
      <c r="K12" s="25" t="s">
        <v>11</v>
      </c>
      <c r="L12" s="283">
        <v>7728313</v>
      </c>
      <c r="M12" s="207">
        <v>9.2460000000000001E-2</v>
      </c>
      <c r="N12" s="184">
        <f t="shared" si="0"/>
        <v>714559.81998000003</v>
      </c>
      <c r="O12" s="25" t="s">
        <v>12</v>
      </c>
      <c r="P12" s="283">
        <v>1166</v>
      </c>
      <c r="Q12" s="207">
        <f t="shared" ref="Q12:Q14" si="1">Q11</f>
        <v>9.1980000000000006E-2</v>
      </c>
      <c r="R12" s="184">
        <f>P12*Q12</f>
        <v>107.24868000000001</v>
      </c>
    </row>
    <row r="13" spans="2:20" ht="15.6" customHeight="1" thickBot="1">
      <c r="B13" s="198" t="s">
        <v>25</v>
      </c>
      <c r="C13" s="1"/>
      <c r="D13" s="1"/>
      <c r="E13" s="246">
        <f>-E11</f>
        <v>-37997.24</v>
      </c>
      <c r="F13" s="235"/>
      <c r="G13" s="236"/>
      <c r="H13" s="235"/>
      <c r="I13" s="226"/>
      <c r="J13" s="31"/>
      <c r="K13" s="25" t="s">
        <v>12</v>
      </c>
      <c r="L13" s="283">
        <v>55024</v>
      </c>
      <c r="M13" s="207">
        <v>9.2460000000000001E-2</v>
      </c>
      <c r="N13" s="184">
        <f t="shared" si="0"/>
        <v>5087.5190400000001</v>
      </c>
      <c r="O13" s="25" t="s">
        <v>13</v>
      </c>
      <c r="P13" s="283">
        <v>0</v>
      </c>
      <c r="Q13" s="207">
        <f t="shared" si="1"/>
        <v>9.1980000000000006E-2</v>
      </c>
      <c r="R13" s="184">
        <f>P13*Q13</f>
        <v>0</v>
      </c>
    </row>
    <row r="14" spans="2:20" ht="15.6" customHeight="1" thickBot="1">
      <c r="B14" s="197" t="s">
        <v>154</v>
      </c>
      <c r="C14" s="199"/>
      <c r="D14" s="199"/>
      <c r="E14" s="245">
        <f>SUM(E12:E13)</f>
        <v>2194463.23</v>
      </c>
      <c r="F14" s="252">
        <f>E14*F8</f>
        <v>1502110.080935</v>
      </c>
      <c r="G14" s="253"/>
      <c r="H14" s="252">
        <f>E14*H8</f>
        <v>692353.14906500001</v>
      </c>
      <c r="I14" s="254"/>
      <c r="J14" s="31"/>
      <c r="K14" s="25" t="s">
        <v>13</v>
      </c>
      <c r="L14" s="283">
        <v>0</v>
      </c>
      <c r="M14" s="207">
        <v>5.9560000000000002E-2</v>
      </c>
      <c r="N14" s="184">
        <f t="shared" si="0"/>
        <v>0</v>
      </c>
      <c r="O14" s="25" t="s">
        <v>14</v>
      </c>
      <c r="P14" s="283">
        <v>0</v>
      </c>
      <c r="Q14" s="207">
        <f t="shared" si="1"/>
        <v>9.1980000000000006E-2</v>
      </c>
      <c r="R14" s="184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3">
        <v>229126</v>
      </c>
      <c r="M15" s="207">
        <v>5.9560000000000002E-2</v>
      </c>
      <c r="N15" s="184">
        <f t="shared" si="0"/>
        <v>13646.744560000001</v>
      </c>
      <c r="O15" s="24" t="s">
        <v>29</v>
      </c>
      <c r="P15" s="149">
        <f>SUM(P10:P14)</f>
        <v>13526377</v>
      </c>
      <c r="Q15" s="150"/>
      <c r="R15" s="22">
        <f>SUM(R10:R14)</f>
        <v>1244156.15646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3">
        <v>3276459</v>
      </c>
      <c r="M16" s="207">
        <v>5.4000000000000001E-4</v>
      </c>
      <c r="N16" s="184">
        <f t="shared" si="0"/>
        <v>1769.2878599999999</v>
      </c>
      <c r="O16" s="25"/>
      <c r="P16" s="208">
        <v>13526377</v>
      </c>
      <c r="Q16" s="16"/>
      <c r="R16" s="151"/>
    </row>
    <row r="17" spans="2:18" ht="15.6" customHeight="1" thickBot="1">
      <c r="B17" s="188" t="s">
        <v>192</v>
      </c>
      <c r="C17" s="27">
        <v>804000</v>
      </c>
      <c r="D17" s="27" t="s">
        <v>137</v>
      </c>
      <c r="E17" s="244">
        <v>21308662.32</v>
      </c>
      <c r="F17" s="258"/>
      <c r="G17" s="256"/>
      <c r="H17" s="255"/>
      <c r="I17" s="257"/>
      <c r="J17" s="31"/>
      <c r="K17" s="24" t="s">
        <v>29</v>
      </c>
      <c r="L17" s="149">
        <f>SUM(L10:L16)</f>
        <v>31278275</v>
      </c>
      <c r="M17" s="4"/>
      <c r="N17" s="22">
        <f>SUM(N10:N16)</f>
        <v>2756186.8532700003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193</v>
      </c>
      <c r="C18" s="27">
        <v>804010</v>
      </c>
      <c r="D18" s="27" t="s">
        <v>137</v>
      </c>
      <c r="E18" s="244">
        <v>25201.35</v>
      </c>
      <c r="F18" s="255"/>
      <c r="G18" s="256"/>
      <c r="H18" s="255"/>
      <c r="I18" s="257"/>
      <c r="J18" s="31"/>
      <c r="K18" s="15"/>
      <c r="L18" s="208">
        <v>31278275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194</v>
      </c>
      <c r="C19" s="27">
        <v>804017</v>
      </c>
      <c r="D19" s="27" t="s">
        <v>137</v>
      </c>
      <c r="E19" s="244">
        <v>76086.36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195</v>
      </c>
      <c r="C20" s="27">
        <v>804018</v>
      </c>
      <c r="D20" s="27" t="s">
        <v>137</v>
      </c>
      <c r="E20" s="244">
        <v>15795.68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196</v>
      </c>
      <c r="C21" s="27">
        <v>804600</v>
      </c>
      <c r="D21" s="27" t="s">
        <v>137</v>
      </c>
      <c r="E21" s="244">
        <v>-659869.35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197</v>
      </c>
      <c r="C22" s="27">
        <v>804730</v>
      </c>
      <c r="D22" s="27" t="s">
        <v>137</v>
      </c>
      <c r="E22" s="244">
        <v>968817.96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198</v>
      </c>
      <c r="C23" s="27">
        <v>808100</v>
      </c>
      <c r="D23" s="27" t="s">
        <v>137</v>
      </c>
      <c r="E23" s="244">
        <v>7431177.4500000002</v>
      </c>
      <c r="F23" s="255"/>
      <c r="G23" s="256"/>
      <c r="H23" s="255"/>
      <c r="I23" s="257"/>
      <c r="J23" s="31"/>
      <c r="K23" s="25" t="s">
        <v>10</v>
      </c>
      <c r="L23" s="275">
        <f>+L10</f>
        <v>19928457</v>
      </c>
      <c r="M23" s="207">
        <v>0.35372999999999999</v>
      </c>
      <c r="N23" s="184">
        <f>L23*M23</f>
        <v>7049293.09461</v>
      </c>
      <c r="O23" s="25" t="s">
        <v>10</v>
      </c>
      <c r="P23" s="275">
        <f>+P10</f>
        <v>10865050</v>
      </c>
      <c r="Q23" s="207">
        <v>0.34877000000000002</v>
      </c>
      <c r="R23" s="184">
        <f>P23*Q23</f>
        <v>3789403.4885000004</v>
      </c>
    </row>
    <row r="24" spans="2:18" ht="15.6" customHeight="1">
      <c r="B24" s="188" t="s">
        <v>199</v>
      </c>
      <c r="C24" s="27">
        <v>808200</v>
      </c>
      <c r="D24" s="27" t="s">
        <v>137</v>
      </c>
      <c r="E24" s="244">
        <v>-119915.77</v>
      </c>
      <c r="F24" s="255"/>
      <c r="G24" s="256"/>
      <c r="H24" s="255"/>
      <c r="I24" s="257"/>
      <c r="J24" s="31"/>
      <c r="K24" s="25" t="s">
        <v>42</v>
      </c>
      <c r="L24" s="275">
        <f t="shared" ref="L24:L28" si="2">+L11</f>
        <v>60896</v>
      </c>
      <c r="M24" s="207">
        <f>M23</f>
        <v>0.35372999999999999</v>
      </c>
      <c r="N24" s="184">
        <f t="shared" ref="N24:N28" si="3">L24*M24</f>
        <v>21540.74208</v>
      </c>
      <c r="O24" s="25" t="s">
        <v>11</v>
      </c>
      <c r="P24" s="275">
        <f t="shared" ref="P24:P27" si="4">+P11</f>
        <v>2660161</v>
      </c>
      <c r="Q24" s="207">
        <f>Q23</f>
        <v>0.34877000000000002</v>
      </c>
      <c r="R24" s="184">
        <f t="shared" ref="R24:R27" si="5">P24*Q24</f>
        <v>927784.35197000008</v>
      </c>
    </row>
    <row r="25" spans="2:18" ht="15.6" customHeight="1">
      <c r="B25" s="188" t="s">
        <v>200</v>
      </c>
      <c r="C25" s="27">
        <v>811000</v>
      </c>
      <c r="D25" s="27" t="s">
        <v>137</v>
      </c>
      <c r="E25" s="244">
        <v>-49337.39</v>
      </c>
      <c r="F25" s="255"/>
      <c r="G25" s="256"/>
      <c r="H25" s="255"/>
      <c r="I25" s="257"/>
      <c r="J25" s="31"/>
      <c r="K25" s="25" t="s">
        <v>11</v>
      </c>
      <c r="L25" s="275">
        <f t="shared" si="2"/>
        <v>7728313</v>
      </c>
      <c r="M25" s="207">
        <f t="shared" ref="M25:M28" si="6">M24</f>
        <v>0.35372999999999999</v>
      </c>
      <c r="N25" s="184">
        <f t="shared" si="3"/>
        <v>2733736.1574900001</v>
      </c>
      <c r="O25" s="25" t="s">
        <v>12</v>
      </c>
      <c r="P25" s="275">
        <f t="shared" si="4"/>
        <v>1166</v>
      </c>
      <c r="Q25" s="207">
        <f t="shared" ref="Q25:Q27" si="7">Q24</f>
        <v>0.34877000000000002</v>
      </c>
      <c r="R25" s="184">
        <f t="shared" si="5"/>
        <v>406.66582000000005</v>
      </c>
    </row>
    <row r="26" spans="2:18" ht="15.6" customHeight="1">
      <c r="B26" s="188" t="s">
        <v>201</v>
      </c>
      <c r="C26" s="27">
        <v>483000</v>
      </c>
      <c r="D26" s="27" t="s">
        <v>137</v>
      </c>
      <c r="E26" s="244">
        <v>-7616217.8200000003</v>
      </c>
      <c r="F26" s="258"/>
      <c r="G26" s="256"/>
      <c r="H26" s="255"/>
      <c r="I26" s="257"/>
      <c r="J26" s="31"/>
      <c r="K26" s="25" t="s">
        <v>12</v>
      </c>
      <c r="L26" s="275">
        <f t="shared" si="2"/>
        <v>55024</v>
      </c>
      <c r="M26" s="207">
        <f t="shared" si="6"/>
        <v>0.35372999999999999</v>
      </c>
      <c r="N26" s="184">
        <f t="shared" si="3"/>
        <v>19463.639520000001</v>
      </c>
      <c r="O26" s="25" t="s">
        <v>13</v>
      </c>
      <c r="P26" s="275">
        <f t="shared" si="4"/>
        <v>0</v>
      </c>
      <c r="Q26" s="207">
        <f t="shared" si="7"/>
        <v>0.34877000000000002</v>
      </c>
      <c r="R26" s="184">
        <f t="shared" si="5"/>
        <v>0</v>
      </c>
    </row>
    <row r="27" spans="2:18" ht="15.6" customHeight="1">
      <c r="B27" s="188" t="s">
        <v>202</v>
      </c>
      <c r="C27" s="27">
        <v>483600</v>
      </c>
      <c r="D27" s="27" t="s">
        <v>137</v>
      </c>
      <c r="E27" s="244">
        <v>3887278.49</v>
      </c>
      <c r="F27" s="255"/>
      <c r="G27" s="256"/>
      <c r="H27" s="255"/>
      <c r="I27" s="257"/>
      <c r="J27" s="31"/>
      <c r="K27" s="25" t="s">
        <v>13</v>
      </c>
      <c r="L27" s="275">
        <f t="shared" si="2"/>
        <v>0</v>
      </c>
      <c r="M27" s="207">
        <f t="shared" si="6"/>
        <v>0.35372999999999999</v>
      </c>
      <c r="N27" s="184">
        <f t="shared" si="3"/>
        <v>0</v>
      </c>
      <c r="O27" s="25" t="s">
        <v>14</v>
      </c>
      <c r="P27" s="275">
        <f t="shared" si="4"/>
        <v>0</v>
      </c>
      <c r="Q27" s="207">
        <f t="shared" si="7"/>
        <v>0.34877000000000002</v>
      </c>
      <c r="R27" s="184">
        <f t="shared" si="5"/>
        <v>0</v>
      </c>
    </row>
    <row r="28" spans="2:18" ht="15.6" customHeight="1" thickBot="1">
      <c r="B28" s="188" t="s">
        <v>203</v>
      </c>
      <c r="C28" s="27">
        <v>483730</v>
      </c>
      <c r="D28" s="27" t="s">
        <v>137</v>
      </c>
      <c r="E28" s="244">
        <v>-271324.55</v>
      </c>
      <c r="F28" s="255"/>
      <c r="G28" s="256"/>
      <c r="H28" s="255"/>
      <c r="I28" s="257"/>
      <c r="J28" s="31"/>
      <c r="K28" s="25" t="s">
        <v>14</v>
      </c>
      <c r="L28" s="275">
        <f t="shared" si="2"/>
        <v>229126</v>
      </c>
      <c r="M28" s="207">
        <f t="shared" si="6"/>
        <v>0.35372999999999999</v>
      </c>
      <c r="N28" s="184">
        <f t="shared" si="3"/>
        <v>81048.739979999998</v>
      </c>
      <c r="O28" s="24" t="s">
        <v>31</v>
      </c>
      <c r="P28" s="149">
        <f>SUM(P23:P27)</f>
        <v>13526377</v>
      </c>
      <c r="Q28" s="150"/>
      <c r="R28" s="22">
        <f>SUM(R23:R27)</f>
        <v>4717594.5062899999</v>
      </c>
    </row>
    <row r="29" spans="2:18" ht="15.6" customHeight="1" thickTop="1" thickBot="1">
      <c r="B29" s="188" t="s">
        <v>204</v>
      </c>
      <c r="C29" s="27">
        <v>495028</v>
      </c>
      <c r="D29" s="27" t="s">
        <v>137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28001816</v>
      </c>
      <c r="M29" s="150"/>
      <c r="N29" s="157">
        <f>SUM(N23:N28)</f>
        <v>9905082.3736800011</v>
      </c>
      <c r="O29" s="24"/>
      <c r="P29" s="208">
        <v>13526377</v>
      </c>
      <c r="Q29" s="16"/>
      <c r="R29" s="154"/>
    </row>
    <row r="30" spans="2:18" ht="15.6" customHeight="1" thickTop="1">
      <c r="B30" s="188" t="s">
        <v>136</v>
      </c>
      <c r="C30" s="27">
        <v>495100</v>
      </c>
      <c r="D30" s="27" t="s">
        <v>137</v>
      </c>
      <c r="E30" s="244">
        <v>0</v>
      </c>
      <c r="F30" s="259"/>
      <c r="G30" s="260"/>
      <c r="H30" s="259"/>
      <c r="I30" s="261"/>
      <c r="J30" s="31"/>
      <c r="K30" s="15"/>
      <c r="L30" s="208">
        <v>28001816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37997.24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24565601.969999999</v>
      </c>
      <c r="F32" s="262"/>
      <c r="G32" s="236">
        <f>E32*G8</f>
        <v>16564585.408371</v>
      </c>
      <c r="H32" s="146"/>
      <c r="I32" s="226">
        <f>E32*I8</f>
        <v>8001016.5616289992</v>
      </c>
      <c r="J32" s="31"/>
    </row>
    <row r="33" spans="1:20" ht="15.6" customHeight="1">
      <c r="B33" s="188" t="s">
        <v>135</v>
      </c>
      <c r="C33" s="27">
        <v>495100</v>
      </c>
      <c r="D33" s="3" t="s">
        <v>142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122</v>
      </c>
      <c r="C34" s="27">
        <v>495100</v>
      </c>
      <c r="D34" s="3" t="s">
        <v>143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147</v>
      </c>
      <c r="Q34" s="1"/>
    </row>
    <row r="35" spans="1:20" ht="15.6" customHeight="1">
      <c r="B35" s="15" t="s">
        <v>144</v>
      </c>
      <c r="C35" s="27">
        <v>804000</v>
      </c>
      <c r="D35" s="3" t="s">
        <v>142</v>
      </c>
      <c r="E35" s="244">
        <v>143815.22</v>
      </c>
      <c r="F35" s="255"/>
      <c r="G35" s="236">
        <f>E35</f>
        <v>143815.22</v>
      </c>
      <c r="H35" s="146"/>
      <c r="I35" s="226"/>
      <c r="J35" s="31"/>
      <c r="K35" s="14" t="s">
        <v>149</v>
      </c>
      <c r="L35" s="147">
        <f>$F$39</f>
        <v>1502110.080935</v>
      </c>
      <c r="M35" s="147">
        <f>G39</f>
        <v>16708400.628371</v>
      </c>
      <c r="N35" s="147">
        <f>$H$39</f>
        <v>692353.14906500001</v>
      </c>
      <c r="O35" s="147">
        <f>I39</f>
        <v>8065656.401628999</v>
      </c>
      <c r="P35" s="220">
        <f>SUM(L35:O35)-E39</f>
        <v>0</v>
      </c>
      <c r="Q35" s="1"/>
    </row>
    <row r="36" spans="1:20" ht="15.6" customHeight="1" thickBot="1">
      <c r="B36" s="15" t="s">
        <v>145</v>
      </c>
      <c r="C36" s="27">
        <v>804000</v>
      </c>
      <c r="D36" s="3" t="s">
        <v>143</v>
      </c>
      <c r="E36" s="244">
        <v>64639.839999999997</v>
      </c>
      <c r="F36" s="255"/>
      <c r="G36" s="236"/>
      <c r="H36" s="146"/>
      <c r="I36" s="226">
        <f>E36</f>
        <v>64639.839999999997</v>
      </c>
      <c r="J36" s="31"/>
      <c r="K36" s="14" t="s">
        <v>152</v>
      </c>
      <c r="L36" s="209">
        <f>-$N$17</f>
        <v>-2756186.8532700003</v>
      </c>
      <c r="M36" s="209">
        <f>-N29</f>
        <v>-9905082.3736800011</v>
      </c>
      <c r="N36" s="209">
        <f>-$R$15</f>
        <v>-1244156.15646</v>
      </c>
      <c r="O36" s="209">
        <f>-R28</f>
        <v>-4717594.5062899999</v>
      </c>
      <c r="P36" s="220">
        <f>SUM(L36:O36)+N17+N29+R15+R28</f>
        <v>0</v>
      </c>
      <c r="Q36" s="1"/>
    </row>
    <row r="37" spans="1:20" ht="15.6" customHeight="1" thickBot="1">
      <c r="B37" s="197" t="s">
        <v>155</v>
      </c>
      <c r="C37" s="27"/>
      <c r="D37" s="3"/>
      <c r="E37" s="245">
        <f>SUM(E32:E36)</f>
        <v>24774057.029999997</v>
      </c>
      <c r="F37" s="237"/>
      <c r="G37" s="239"/>
      <c r="H37" s="237"/>
      <c r="I37" s="200"/>
      <c r="J37" s="31"/>
      <c r="K37" s="197" t="s">
        <v>150</v>
      </c>
      <c r="L37" s="152">
        <f t="shared" ref="L37:O37" si="8">SUM(L35:L36)</f>
        <v>-1254076.7723350003</v>
      </c>
      <c r="M37" s="152">
        <f>SUM(M35:M36)</f>
        <v>6803318.2546909992</v>
      </c>
      <c r="N37" s="152">
        <f t="shared" si="8"/>
        <v>-551803.00739499996</v>
      </c>
      <c r="O37" s="152">
        <f t="shared" si="8"/>
        <v>3348061.8953389991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146</v>
      </c>
      <c r="C39" s="205"/>
      <c r="D39" s="205"/>
      <c r="E39" s="245">
        <f>E37+E14</f>
        <v>26968520.259999998</v>
      </c>
      <c r="F39" s="250">
        <f>SUM(F14:F37)</f>
        <v>1502110.080935</v>
      </c>
      <c r="G39" s="251">
        <f t="shared" ref="G39:I39" si="9">SUM(G14:G37)</f>
        <v>16708400.628371</v>
      </c>
      <c r="H39" s="250">
        <f t="shared" si="9"/>
        <v>692353.14906500001</v>
      </c>
      <c r="I39" s="206">
        <f t="shared" si="9"/>
        <v>8065656.401628999</v>
      </c>
      <c r="J39" s="31"/>
      <c r="K39" s="215"/>
      <c r="L39" s="218" t="s">
        <v>36</v>
      </c>
      <c r="M39" s="216">
        <f>SUM(L37:M37)</f>
        <v>5549241.4823559988</v>
      </c>
      <c r="N39" s="219" t="s">
        <v>37</v>
      </c>
      <c r="O39" s="216">
        <f>SUM(N37:O37)</f>
        <v>2796258.8879439989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157</v>
      </c>
      <c r="C41" s="265"/>
      <c r="D41" s="10" t="s">
        <v>156</v>
      </c>
      <c r="E41" s="274">
        <v>26968520.260000002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89" t="s">
        <v>148</v>
      </c>
      <c r="F45" s="290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6" thickBot="1">
      <c r="E47" s="224" t="e">
        <f>SUM('191010 WA DEF'!E84:E93)+SUM('191000 WA Amort'!H84:H93)+SUM(#REF!)+SUM(#REF!)-0.01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88" priority="27" operator="equal">
      <formula>"ERROR"</formula>
    </cfRule>
  </conditionalFormatting>
  <conditionalFormatting sqref="D43:D46">
    <cfRule type="cellIs" dxfId="187" priority="26" operator="equal">
      <formula>"ERROR"</formula>
    </cfRule>
  </conditionalFormatting>
  <conditionalFormatting sqref="P31">
    <cfRule type="cellIs" dxfId="186" priority="25" operator="notEqual">
      <formula>0</formula>
    </cfRule>
  </conditionalFormatting>
  <conditionalFormatting sqref="L19">
    <cfRule type="cellIs" dxfId="185" priority="23" stopIfTrue="1" operator="equal">
      <formula>0</formula>
    </cfRule>
    <cfRule type="cellIs" dxfId="184" priority="24" stopIfTrue="1" operator="notEqual">
      <formula>0</formula>
    </cfRule>
  </conditionalFormatting>
  <conditionalFormatting sqref="L19">
    <cfRule type="cellIs" dxfId="183" priority="21" stopIfTrue="1" operator="equal">
      <formula>0</formula>
    </cfRule>
    <cfRule type="cellIs" dxfId="182" priority="22" stopIfTrue="1" operator="notEqual">
      <formula>0</formula>
    </cfRule>
  </conditionalFormatting>
  <conditionalFormatting sqref="L31">
    <cfRule type="cellIs" dxfId="181" priority="19" stopIfTrue="1" operator="equal">
      <formula>0</formula>
    </cfRule>
    <cfRule type="cellIs" dxfId="180" priority="20" stopIfTrue="1" operator="notEqual">
      <formula>0</formula>
    </cfRule>
  </conditionalFormatting>
  <conditionalFormatting sqref="L31">
    <cfRule type="cellIs" dxfId="179" priority="17" stopIfTrue="1" operator="equal">
      <formula>0</formula>
    </cfRule>
    <cfRule type="cellIs" dxfId="178" priority="18" stopIfTrue="1" operator="notEqual">
      <formula>0</formula>
    </cfRule>
  </conditionalFormatting>
  <conditionalFormatting sqref="P17">
    <cfRule type="cellIs" dxfId="177" priority="15" stopIfTrue="1" operator="equal">
      <formula>0</formula>
    </cfRule>
    <cfRule type="cellIs" dxfId="176" priority="16" stopIfTrue="1" operator="notEqual">
      <formula>0</formula>
    </cfRule>
  </conditionalFormatting>
  <conditionalFormatting sqref="P17">
    <cfRule type="cellIs" dxfId="175" priority="13" stopIfTrue="1" operator="equal">
      <formula>0</formula>
    </cfRule>
    <cfRule type="cellIs" dxfId="174" priority="14" stopIfTrue="1" operator="notEqual">
      <formula>0</formula>
    </cfRule>
  </conditionalFormatting>
  <conditionalFormatting sqref="P30">
    <cfRule type="cellIs" dxfId="173" priority="11" stopIfTrue="1" operator="equal">
      <formula>0</formula>
    </cfRule>
    <cfRule type="cellIs" dxfId="172" priority="12" stopIfTrue="1" operator="notEqual">
      <formula>0</formula>
    </cfRule>
  </conditionalFormatting>
  <conditionalFormatting sqref="P30">
    <cfRule type="cellIs" dxfId="171" priority="9" stopIfTrue="1" operator="equal">
      <formula>0</formula>
    </cfRule>
    <cfRule type="cellIs" dxfId="170" priority="10" stopIfTrue="1" operator="notEqual">
      <formula>0</formula>
    </cfRule>
  </conditionalFormatting>
  <conditionalFormatting sqref="P35:P36">
    <cfRule type="cellIs" dxfId="169" priority="7" stopIfTrue="1" operator="equal">
      <formula>0</formula>
    </cfRule>
    <cfRule type="cellIs" dxfId="168" priority="8" stopIfTrue="1" operator="notEqual">
      <formula>0</formula>
    </cfRule>
  </conditionalFormatting>
  <conditionalFormatting sqref="P35:P36">
    <cfRule type="cellIs" dxfId="167" priority="5" stopIfTrue="1" operator="equal">
      <formula>0</formula>
    </cfRule>
    <cfRule type="cellIs" dxfId="166" priority="6" stopIfTrue="1" operator="notEqual">
      <formula>0</formula>
    </cfRule>
  </conditionalFormatting>
  <conditionalFormatting sqref="E42">
    <cfRule type="cellIs" dxfId="165" priority="3" stopIfTrue="1" operator="equal">
      <formula>0</formula>
    </cfRule>
    <cfRule type="cellIs" dxfId="164" priority="4" stopIfTrue="1" operator="notEqual">
      <formula>0</formula>
    </cfRule>
  </conditionalFormatting>
  <conditionalFormatting sqref="E42">
    <cfRule type="cellIs" dxfId="163" priority="1" stopIfTrue="1" operator="equal">
      <formula>0</formula>
    </cfRule>
    <cfRule type="cellIs" dxfId="162" priority="2" stopIfTrue="1" operator="notEqual">
      <formula>0</formula>
    </cfRule>
  </conditionalFormatting>
  <printOptions horizontalCentered="1"/>
  <pageMargins left="0.1" right="0.1" top="0.5" bottom="0.5" header="0.3" footer="0.3"/>
  <pageSetup scale="42" orientation="landscape" r:id="rId1"/>
  <headerFooter>
    <oddFooter>&amp;R&amp;Z&amp;F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F0C4-82AE-43D3-9BDC-F3F60BA78872}">
  <sheetPr>
    <pageSetUpPr fitToPage="1"/>
  </sheetPr>
  <dimension ref="A1:T1396"/>
  <sheetViews>
    <sheetView zoomScale="50" zoomScaleNormal="50" workbookViewId="0">
      <selection activeCell="I51" activeCellId="2" sqref="E48 F52 I51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25.109375" style="7" bestFit="1" customWidth="1"/>
    <col min="6" max="6" width="18.33203125" style="31" bestFit="1" customWidth="1"/>
    <col min="7" max="7" width="19.6640625" style="31" bestFit="1" customWidth="1"/>
    <col min="8" max="9" width="18.33203125" style="31" bestFit="1" customWidth="1"/>
    <col min="10" max="10" width="4.88671875" style="30" bestFit="1" customWidth="1"/>
    <col min="11" max="11" width="29" style="30" bestFit="1" customWidth="1"/>
    <col min="12" max="12" width="22.5546875" style="30" bestFit="1" customWidth="1"/>
    <col min="13" max="13" width="24.44140625" style="30" bestFit="1" customWidth="1"/>
    <col min="14" max="14" width="24" style="30" bestFit="1" customWidth="1"/>
    <col min="15" max="15" width="24.109375" style="30" bestFit="1" customWidth="1"/>
    <col min="16" max="17" width="18.109375" style="30" customWidth="1"/>
    <col min="18" max="18" width="23" style="30" bestFit="1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7.399999999999999">
      <c r="B1" s="189" t="s">
        <v>153</v>
      </c>
      <c r="C1" s="190">
        <v>202303</v>
      </c>
      <c r="D1" s="273"/>
      <c r="E1" s="139"/>
      <c r="F1" s="139"/>
      <c r="G1" s="139"/>
      <c r="H1" s="139"/>
      <c r="I1" s="139"/>
      <c r="K1" s="185" t="s">
        <v>138</v>
      </c>
      <c r="L1" s="191" t="s">
        <v>139</v>
      </c>
      <c r="N1" s="291"/>
      <c r="O1" s="291"/>
      <c r="T1" s="270" t="s">
        <v>158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140</v>
      </c>
      <c r="N2" s="268"/>
      <c r="O2" s="268"/>
      <c r="T2" s="271" t="s">
        <v>159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160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161</v>
      </c>
    </row>
    <row r="5" spans="2:20" ht="15.6" customHeight="1" thickBot="1">
      <c r="B5" s="194"/>
      <c r="C5" s="13"/>
      <c r="D5" s="13"/>
      <c r="E5" s="249" t="s">
        <v>17</v>
      </c>
      <c r="F5" s="292" t="s">
        <v>32</v>
      </c>
      <c r="G5" s="293"/>
      <c r="H5" s="292" t="s">
        <v>33</v>
      </c>
      <c r="I5" s="294"/>
      <c r="J5" s="31"/>
      <c r="K5" s="295" t="s">
        <v>32</v>
      </c>
      <c r="L5" s="296"/>
      <c r="M5" s="296"/>
      <c r="N5" s="297"/>
      <c r="O5" s="295" t="s">
        <v>33</v>
      </c>
      <c r="P5" s="296"/>
      <c r="Q5" s="296"/>
      <c r="R5" s="297"/>
      <c r="T5" s="271" t="s">
        <v>162</v>
      </c>
    </row>
    <row r="6" spans="2:20" ht="15.6" customHeight="1" thickBot="1">
      <c r="B6" s="195" t="s">
        <v>18</v>
      </c>
      <c r="C6" s="3"/>
      <c r="D6" s="3"/>
      <c r="E6" s="242" t="s">
        <v>151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163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164</v>
      </c>
    </row>
    <row r="8" spans="2:20" ht="15.6" customHeight="1">
      <c r="B8" s="14"/>
      <c r="C8" s="3"/>
      <c r="D8" s="3"/>
      <c r="E8" s="263">
        <f>F8+H8</f>
        <v>1</v>
      </c>
      <c r="F8" s="233">
        <v>0.6845</v>
      </c>
      <c r="G8" s="234">
        <f>ROUND($L$29/($L$29+$P$28),4)</f>
        <v>0.66879999999999995</v>
      </c>
      <c r="H8" s="233">
        <v>0.3155</v>
      </c>
      <c r="I8" s="196">
        <f>1-G8</f>
        <v>0.33120000000000005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165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205</v>
      </c>
      <c r="C10" s="27">
        <v>804001</v>
      </c>
      <c r="D10" s="27" t="s">
        <v>137</v>
      </c>
      <c r="E10" s="244">
        <v>2344809.56</v>
      </c>
      <c r="F10" s="235"/>
      <c r="G10" s="236"/>
      <c r="H10" s="235"/>
      <c r="I10" s="226"/>
      <c r="J10" s="31"/>
      <c r="K10" s="25" t="s">
        <v>10</v>
      </c>
      <c r="L10" s="283">
        <v>16463840</v>
      </c>
      <c r="M10" s="207">
        <v>0.10111000000000001</v>
      </c>
      <c r="N10" s="184">
        <f t="shared" ref="N10:N16" si="0">L10*M10</f>
        <v>1664658.8624</v>
      </c>
      <c r="O10" s="25" t="s">
        <v>10</v>
      </c>
      <c r="P10" s="283">
        <v>8627125</v>
      </c>
      <c r="Q10" s="207">
        <v>9.1980000000000006E-2</v>
      </c>
      <c r="R10" s="184">
        <f>P10*Q10</f>
        <v>793522.95750000002</v>
      </c>
    </row>
    <row r="11" spans="2:20" ht="15.6" customHeight="1" thickBot="1">
      <c r="B11" s="188" t="s">
        <v>206</v>
      </c>
      <c r="C11" s="27">
        <v>804002</v>
      </c>
      <c r="D11" s="27" t="s">
        <v>137</v>
      </c>
      <c r="E11" s="244">
        <v>41758.32</v>
      </c>
      <c r="F11" s="235"/>
      <c r="G11" s="236"/>
      <c r="H11" s="235"/>
      <c r="I11" s="226"/>
      <c r="J11" s="31"/>
      <c r="K11" s="25" t="s">
        <v>42</v>
      </c>
      <c r="L11" s="283">
        <v>55607</v>
      </c>
      <c r="M11" s="207">
        <v>0.10111000000000001</v>
      </c>
      <c r="N11" s="184">
        <f t="shared" si="0"/>
        <v>5622.4237700000003</v>
      </c>
      <c r="O11" s="25" t="s">
        <v>11</v>
      </c>
      <c r="P11" s="283">
        <v>3486138</v>
      </c>
      <c r="Q11" s="207">
        <f>Q10</f>
        <v>9.1980000000000006E-2</v>
      </c>
      <c r="R11" s="184">
        <f>P11*Q11</f>
        <v>320654.97324000002</v>
      </c>
    </row>
    <row r="12" spans="2:20" ht="15.6" customHeight="1" thickBot="1">
      <c r="B12" s="197" t="s">
        <v>141</v>
      </c>
      <c r="C12" s="6"/>
      <c r="D12" s="6"/>
      <c r="E12" s="245">
        <f>SUM(E10:E11)</f>
        <v>2386567.88</v>
      </c>
      <c r="F12" s="237"/>
      <c r="G12" s="238"/>
      <c r="H12" s="237"/>
      <c r="I12" s="227"/>
      <c r="J12" s="31"/>
      <c r="K12" s="25" t="s">
        <v>11</v>
      </c>
      <c r="L12" s="283">
        <v>7564231</v>
      </c>
      <c r="M12" s="207">
        <v>9.2460000000000001E-2</v>
      </c>
      <c r="N12" s="184">
        <f t="shared" si="0"/>
        <v>699388.79825999995</v>
      </c>
      <c r="O12" s="25" t="s">
        <v>12</v>
      </c>
      <c r="P12" s="283">
        <v>1342</v>
      </c>
      <c r="Q12" s="207">
        <f t="shared" ref="Q12:Q14" si="1">Q11</f>
        <v>9.1980000000000006E-2</v>
      </c>
      <c r="R12" s="184">
        <f>P12*Q12</f>
        <v>123.43716000000001</v>
      </c>
    </row>
    <row r="13" spans="2:20" ht="15.6" customHeight="1" thickBot="1">
      <c r="B13" s="198" t="s">
        <v>25</v>
      </c>
      <c r="C13" s="1"/>
      <c r="D13" s="1"/>
      <c r="E13" s="246">
        <f>-E11</f>
        <v>-41758.32</v>
      </c>
      <c r="F13" s="235"/>
      <c r="G13" s="236"/>
      <c r="H13" s="235"/>
      <c r="I13" s="226"/>
      <c r="J13" s="31"/>
      <c r="K13" s="25" t="s">
        <v>12</v>
      </c>
      <c r="L13" s="283">
        <v>33867</v>
      </c>
      <c r="M13" s="207">
        <v>9.2460000000000001E-2</v>
      </c>
      <c r="N13" s="184">
        <f t="shared" si="0"/>
        <v>3131.3428199999998</v>
      </c>
      <c r="O13" s="25" t="s">
        <v>13</v>
      </c>
      <c r="P13" s="283">
        <v>0</v>
      </c>
      <c r="Q13" s="207">
        <f t="shared" si="1"/>
        <v>9.1980000000000006E-2</v>
      </c>
      <c r="R13" s="184">
        <f>P13*Q13</f>
        <v>0</v>
      </c>
    </row>
    <row r="14" spans="2:20" ht="15.6" customHeight="1" thickBot="1">
      <c r="B14" s="197" t="s">
        <v>154</v>
      </c>
      <c r="C14" s="199"/>
      <c r="D14" s="199"/>
      <c r="E14" s="245">
        <f>SUM(E12:E13)</f>
        <v>2344809.56</v>
      </c>
      <c r="F14" s="252">
        <f>E14*F8</f>
        <v>1605022.1438200001</v>
      </c>
      <c r="G14" s="253"/>
      <c r="H14" s="252">
        <f>E14*H8</f>
        <v>739787.41618000006</v>
      </c>
      <c r="I14" s="254"/>
      <c r="J14" s="31"/>
      <c r="K14" s="25" t="s">
        <v>13</v>
      </c>
      <c r="L14" s="283">
        <v>0</v>
      </c>
      <c r="M14" s="207">
        <v>5.9560000000000002E-2</v>
      </c>
      <c r="N14" s="184">
        <f t="shared" si="0"/>
        <v>0</v>
      </c>
      <c r="O14" s="25" t="s">
        <v>14</v>
      </c>
      <c r="P14" s="283">
        <v>0</v>
      </c>
      <c r="Q14" s="207">
        <f t="shared" si="1"/>
        <v>9.1980000000000006E-2</v>
      </c>
      <c r="R14" s="184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3">
        <v>349483</v>
      </c>
      <c r="M15" s="207">
        <v>5.9560000000000002E-2</v>
      </c>
      <c r="N15" s="184">
        <f t="shared" si="0"/>
        <v>20815.207480000001</v>
      </c>
      <c r="O15" s="24" t="s">
        <v>29</v>
      </c>
      <c r="P15" s="149">
        <f>SUM(P10:P14)</f>
        <v>12114605</v>
      </c>
      <c r="Q15" s="150"/>
      <c r="R15" s="22">
        <f>SUM(R10:R14)</f>
        <v>1114301.3679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3">
        <v>3218328</v>
      </c>
      <c r="M16" s="207">
        <v>5.4000000000000001E-4</v>
      </c>
      <c r="N16" s="184">
        <f t="shared" si="0"/>
        <v>1737.8971200000001</v>
      </c>
      <c r="O16" s="25"/>
      <c r="P16" s="208">
        <v>12114605</v>
      </c>
      <c r="Q16" s="16"/>
      <c r="R16" s="151"/>
    </row>
    <row r="17" spans="2:18" ht="15.6" customHeight="1" thickBot="1">
      <c r="B17" s="188" t="s">
        <v>192</v>
      </c>
      <c r="C17" s="27">
        <v>804000</v>
      </c>
      <c r="D17" s="27" t="s">
        <v>137</v>
      </c>
      <c r="E17" s="244">
        <v>13781924.27</v>
      </c>
      <c r="F17" s="258"/>
      <c r="G17" s="256"/>
      <c r="H17" s="255"/>
      <c r="I17" s="257"/>
      <c r="J17" s="31"/>
      <c r="K17" s="24" t="s">
        <v>29</v>
      </c>
      <c r="L17" s="149">
        <f>SUM(L10:L16)</f>
        <v>27685356</v>
      </c>
      <c r="M17" s="4"/>
      <c r="N17" s="22">
        <f>SUM(N10:N16)</f>
        <v>2395354.5318499994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193</v>
      </c>
      <c r="C18" s="27">
        <v>804010</v>
      </c>
      <c r="D18" s="27" t="s">
        <v>137</v>
      </c>
      <c r="E18" s="244">
        <v>-29595.08</v>
      </c>
      <c r="F18" s="255"/>
      <c r="G18" s="256"/>
      <c r="H18" s="255"/>
      <c r="I18" s="257"/>
      <c r="J18" s="31"/>
      <c r="K18" s="15"/>
      <c r="L18" s="208">
        <v>27685356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194</v>
      </c>
      <c r="C19" s="27">
        <v>804017</v>
      </c>
      <c r="D19" s="27" t="s">
        <v>137</v>
      </c>
      <c r="E19" s="244">
        <v>42914.06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195</v>
      </c>
      <c r="C20" s="27">
        <v>804018</v>
      </c>
      <c r="D20" s="27" t="s">
        <v>137</v>
      </c>
      <c r="E20" s="244">
        <v>13734.06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196</v>
      </c>
      <c r="C21" s="27">
        <v>804600</v>
      </c>
      <c r="D21" s="27" t="s">
        <v>137</v>
      </c>
      <c r="E21" s="244">
        <v>2340310.48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197</v>
      </c>
      <c r="C22" s="27">
        <v>804730</v>
      </c>
      <c r="D22" s="27" t="s">
        <v>137</v>
      </c>
      <c r="E22" s="244">
        <v>79712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198</v>
      </c>
      <c r="C23" s="27">
        <v>808100</v>
      </c>
      <c r="D23" s="27" t="s">
        <v>137</v>
      </c>
      <c r="E23" s="244">
        <v>10104688.99</v>
      </c>
      <c r="F23" s="255"/>
      <c r="G23" s="256"/>
      <c r="H23" s="255"/>
      <c r="I23" s="257"/>
      <c r="J23" s="31"/>
      <c r="K23" s="25" t="s">
        <v>10</v>
      </c>
      <c r="L23" s="275">
        <f>+L10</f>
        <v>16463840</v>
      </c>
      <c r="M23" s="207">
        <v>0.35372999999999999</v>
      </c>
      <c r="N23" s="184">
        <f>L23*M23</f>
        <v>5823754.1232000003</v>
      </c>
      <c r="O23" s="25" t="s">
        <v>10</v>
      </c>
      <c r="P23" s="275">
        <f>+P10</f>
        <v>8627125</v>
      </c>
      <c r="Q23" s="207">
        <v>0.34877000000000002</v>
      </c>
      <c r="R23" s="184">
        <f>P23*Q23</f>
        <v>3008882.38625</v>
      </c>
    </row>
    <row r="24" spans="2:18" ht="15.6" customHeight="1">
      <c r="B24" s="188" t="s">
        <v>199</v>
      </c>
      <c r="C24" s="27">
        <v>808200</v>
      </c>
      <c r="D24" s="27" t="s">
        <v>137</v>
      </c>
      <c r="E24" s="244">
        <v>-1221346.52</v>
      </c>
      <c r="F24" s="255"/>
      <c r="G24" s="256"/>
      <c r="H24" s="255"/>
      <c r="I24" s="257"/>
      <c r="J24" s="31"/>
      <c r="K24" s="25" t="s">
        <v>42</v>
      </c>
      <c r="L24" s="275">
        <f t="shared" ref="L24:L28" si="2">+L11</f>
        <v>55607</v>
      </c>
      <c r="M24" s="207">
        <f>M23</f>
        <v>0.35372999999999999</v>
      </c>
      <c r="N24" s="184">
        <f t="shared" ref="N24:N28" si="3">L24*M24</f>
        <v>19669.864109999999</v>
      </c>
      <c r="O24" s="25" t="s">
        <v>11</v>
      </c>
      <c r="P24" s="275">
        <f t="shared" ref="P24:P27" si="4">+P11</f>
        <v>3486138</v>
      </c>
      <c r="Q24" s="207">
        <f>Q23</f>
        <v>0.34877000000000002</v>
      </c>
      <c r="R24" s="184">
        <f t="shared" ref="R24:R27" si="5">P24*Q24</f>
        <v>1215860.35026</v>
      </c>
    </row>
    <row r="25" spans="2:18" ht="15.6" customHeight="1">
      <c r="B25" s="188" t="s">
        <v>200</v>
      </c>
      <c r="C25" s="27">
        <v>811000</v>
      </c>
      <c r="D25" s="27" t="s">
        <v>137</v>
      </c>
      <c r="E25" s="244">
        <v>-48303.09</v>
      </c>
      <c r="F25" s="255"/>
      <c r="G25" s="256"/>
      <c r="H25" s="255"/>
      <c r="I25" s="257"/>
      <c r="J25" s="31"/>
      <c r="K25" s="25" t="s">
        <v>11</v>
      </c>
      <c r="L25" s="275">
        <f t="shared" si="2"/>
        <v>7564231</v>
      </c>
      <c r="M25" s="207">
        <f t="shared" ref="M25:M28" si="6">M24</f>
        <v>0.35372999999999999</v>
      </c>
      <c r="N25" s="184">
        <f t="shared" si="3"/>
        <v>2675695.43163</v>
      </c>
      <c r="O25" s="25" t="s">
        <v>12</v>
      </c>
      <c r="P25" s="275">
        <f t="shared" si="4"/>
        <v>1342</v>
      </c>
      <c r="Q25" s="207">
        <f t="shared" ref="Q25:Q27" si="7">Q24</f>
        <v>0.34877000000000002</v>
      </c>
      <c r="R25" s="184">
        <f t="shared" si="5"/>
        <v>468.04934000000003</v>
      </c>
    </row>
    <row r="26" spans="2:18" ht="15.6" customHeight="1">
      <c r="B26" s="188" t="s">
        <v>201</v>
      </c>
      <c r="C26" s="27">
        <v>483000</v>
      </c>
      <c r="D26" s="27" t="s">
        <v>137</v>
      </c>
      <c r="E26" s="244">
        <v>-7594353.4000000004</v>
      </c>
      <c r="F26" s="258"/>
      <c r="G26" s="256"/>
      <c r="H26" s="255"/>
      <c r="I26" s="257"/>
      <c r="J26" s="31"/>
      <c r="K26" s="25" t="s">
        <v>12</v>
      </c>
      <c r="L26" s="275">
        <f t="shared" si="2"/>
        <v>33867</v>
      </c>
      <c r="M26" s="207">
        <f t="shared" si="6"/>
        <v>0.35372999999999999</v>
      </c>
      <c r="N26" s="184">
        <f t="shared" si="3"/>
        <v>11979.77391</v>
      </c>
      <c r="O26" s="25" t="s">
        <v>13</v>
      </c>
      <c r="P26" s="275">
        <f t="shared" si="4"/>
        <v>0</v>
      </c>
      <c r="Q26" s="207">
        <f t="shared" si="7"/>
        <v>0.34877000000000002</v>
      </c>
      <c r="R26" s="184">
        <f t="shared" si="5"/>
        <v>0</v>
      </c>
    </row>
    <row r="27" spans="2:18" ht="15.6" customHeight="1">
      <c r="B27" s="188" t="s">
        <v>202</v>
      </c>
      <c r="C27" s="27">
        <v>483600</v>
      </c>
      <c r="D27" s="27" t="s">
        <v>137</v>
      </c>
      <c r="E27" s="244">
        <v>-2591898.38</v>
      </c>
      <c r="F27" s="255"/>
      <c r="G27" s="256"/>
      <c r="H27" s="255"/>
      <c r="I27" s="257"/>
      <c r="J27" s="31"/>
      <c r="K27" s="25" t="s">
        <v>13</v>
      </c>
      <c r="L27" s="275">
        <f t="shared" si="2"/>
        <v>0</v>
      </c>
      <c r="M27" s="207">
        <f t="shared" si="6"/>
        <v>0.35372999999999999</v>
      </c>
      <c r="N27" s="184">
        <f t="shared" si="3"/>
        <v>0</v>
      </c>
      <c r="O27" s="25" t="s">
        <v>14</v>
      </c>
      <c r="P27" s="275">
        <f t="shared" si="4"/>
        <v>0</v>
      </c>
      <c r="Q27" s="207">
        <f t="shared" si="7"/>
        <v>0.34877000000000002</v>
      </c>
      <c r="R27" s="184">
        <f t="shared" si="5"/>
        <v>0</v>
      </c>
    </row>
    <row r="28" spans="2:18" ht="15.6" customHeight="1" thickBot="1">
      <c r="B28" s="188" t="s">
        <v>203</v>
      </c>
      <c r="C28" s="27">
        <v>483730</v>
      </c>
      <c r="D28" s="27" t="s">
        <v>137</v>
      </c>
      <c r="E28" s="244">
        <v>-1900440.17</v>
      </c>
      <c r="F28" s="255"/>
      <c r="G28" s="256"/>
      <c r="H28" s="255"/>
      <c r="I28" s="257"/>
      <c r="J28" s="31"/>
      <c r="K28" s="25" t="s">
        <v>14</v>
      </c>
      <c r="L28" s="275">
        <f t="shared" si="2"/>
        <v>349483</v>
      </c>
      <c r="M28" s="207">
        <f t="shared" si="6"/>
        <v>0.35372999999999999</v>
      </c>
      <c r="N28" s="184">
        <f t="shared" si="3"/>
        <v>123622.62159</v>
      </c>
      <c r="O28" s="24" t="s">
        <v>31</v>
      </c>
      <c r="P28" s="149">
        <f>SUM(P23:P27)</f>
        <v>12114605</v>
      </c>
      <c r="Q28" s="150"/>
      <c r="R28" s="22">
        <f>SUM(R23:R27)</f>
        <v>4225210.7858500006</v>
      </c>
    </row>
    <row r="29" spans="2:18" ht="15.6" customHeight="1" thickTop="1" thickBot="1">
      <c r="B29" s="188" t="s">
        <v>204</v>
      </c>
      <c r="C29" s="27">
        <v>495028</v>
      </c>
      <c r="D29" s="27" t="s">
        <v>137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24467028</v>
      </c>
      <c r="M29" s="150"/>
      <c r="N29" s="157">
        <f>SUM(N23:N28)</f>
        <v>8654721.8144400008</v>
      </c>
      <c r="O29" s="24"/>
      <c r="P29" s="208">
        <v>12114605</v>
      </c>
      <c r="Q29" s="16"/>
      <c r="R29" s="154"/>
    </row>
    <row r="30" spans="2:18" ht="15.6" customHeight="1" thickTop="1">
      <c r="B30" s="188" t="s">
        <v>136</v>
      </c>
      <c r="C30" s="27">
        <v>495100</v>
      </c>
      <c r="D30" s="27" t="s">
        <v>137</v>
      </c>
      <c r="E30" s="244">
        <v>0</v>
      </c>
      <c r="F30" s="259"/>
      <c r="G30" s="260"/>
      <c r="H30" s="259"/>
      <c r="I30" s="261"/>
      <c r="J30" s="31"/>
      <c r="K30" s="15"/>
      <c r="L30" s="208">
        <v>24467028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41758.32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12550355.540000005</v>
      </c>
      <c r="F32" s="262"/>
      <c r="G32" s="236">
        <f>E32*G8</f>
        <v>8393677.7851520032</v>
      </c>
      <c r="H32" s="146"/>
      <c r="I32" s="226">
        <f>E32*I8</f>
        <v>4156677.754848002</v>
      </c>
      <c r="J32" s="31"/>
    </row>
    <row r="33" spans="1:20" ht="15.6" customHeight="1">
      <c r="B33" s="188" t="s">
        <v>135</v>
      </c>
      <c r="C33" s="27">
        <v>495100</v>
      </c>
      <c r="D33" s="3" t="s">
        <v>142</v>
      </c>
      <c r="E33" s="244">
        <v>-327</v>
      </c>
      <c r="F33" s="259"/>
      <c r="G33" s="236">
        <f>E33</f>
        <v>-327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122</v>
      </c>
      <c r="C34" s="27">
        <v>495100</v>
      </c>
      <c r="D34" s="3" t="s">
        <v>143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147</v>
      </c>
      <c r="Q34" s="1"/>
    </row>
    <row r="35" spans="1:20" ht="15.6" customHeight="1">
      <c r="B35" s="15" t="s">
        <v>144</v>
      </c>
      <c r="C35" s="27">
        <v>804000</v>
      </c>
      <c r="D35" s="3" t="s">
        <v>142</v>
      </c>
      <c r="E35" s="244">
        <v>83016.460000000006</v>
      </c>
      <c r="F35" s="255"/>
      <c r="G35" s="236">
        <f>E35</f>
        <v>83016.460000000006</v>
      </c>
      <c r="H35" s="146"/>
      <c r="I35" s="226"/>
      <c r="J35" s="31"/>
      <c r="K35" s="14" t="s">
        <v>149</v>
      </c>
      <c r="L35" s="147">
        <f>$F$39</f>
        <v>1605022.1438200001</v>
      </c>
      <c r="M35" s="147">
        <f>G39</f>
        <v>8476367.2451520041</v>
      </c>
      <c r="N35" s="147">
        <f>$H$39</f>
        <v>739787.41618000006</v>
      </c>
      <c r="O35" s="147">
        <f>I39</f>
        <v>4194600.9948480017</v>
      </c>
      <c r="P35" s="220">
        <f>SUM(L35:O35)-E39</f>
        <v>0</v>
      </c>
      <c r="Q35" s="1"/>
    </row>
    <row r="36" spans="1:20" ht="15.6" customHeight="1" thickBot="1">
      <c r="B36" s="15" t="s">
        <v>145</v>
      </c>
      <c r="C36" s="27">
        <v>804000</v>
      </c>
      <c r="D36" s="3" t="s">
        <v>143</v>
      </c>
      <c r="E36" s="244">
        <v>37923.24</v>
      </c>
      <c r="F36" s="255"/>
      <c r="G36" s="236"/>
      <c r="H36" s="146"/>
      <c r="I36" s="226">
        <f>E36</f>
        <v>37923.24</v>
      </c>
      <c r="J36" s="31"/>
      <c r="K36" s="14" t="s">
        <v>152</v>
      </c>
      <c r="L36" s="209">
        <f>-$N$17</f>
        <v>-2395354.5318499994</v>
      </c>
      <c r="M36" s="209">
        <f>-N29</f>
        <v>-8654721.8144400008</v>
      </c>
      <c r="N36" s="209">
        <f>-$R$15</f>
        <v>-1114301.3679</v>
      </c>
      <c r="O36" s="209">
        <f>-R28</f>
        <v>-4225210.7858500006</v>
      </c>
      <c r="P36" s="220">
        <f>SUM(L36:O36)+N17+N29+R15+R28</f>
        <v>0</v>
      </c>
      <c r="Q36" s="1"/>
    </row>
    <row r="37" spans="1:20" ht="15.6" customHeight="1" thickBot="1">
      <c r="B37" s="197" t="s">
        <v>155</v>
      </c>
      <c r="C37" s="27"/>
      <c r="D37" s="3"/>
      <c r="E37" s="245">
        <f>SUM(E32:E36)</f>
        <v>12670968.240000006</v>
      </c>
      <c r="F37" s="237"/>
      <c r="G37" s="239"/>
      <c r="H37" s="237"/>
      <c r="I37" s="200"/>
      <c r="J37" s="31"/>
      <c r="K37" s="197" t="s">
        <v>150</v>
      </c>
      <c r="L37" s="152">
        <f t="shared" ref="L37:O37" si="8">SUM(L35:L36)</f>
        <v>-790332.38802999933</v>
      </c>
      <c r="M37" s="152">
        <f>SUM(M35:M36)</f>
        <v>-178354.56928799674</v>
      </c>
      <c r="N37" s="152">
        <f t="shared" si="8"/>
        <v>-374513.9517199999</v>
      </c>
      <c r="O37" s="152">
        <f t="shared" si="8"/>
        <v>-30609.791001998819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146</v>
      </c>
      <c r="C39" s="205"/>
      <c r="D39" s="205"/>
      <c r="E39" s="245">
        <f>E37+E14</f>
        <v>15015777.800000006</v>
      </c>
      <c r="F39" s="250">
        <f>SUM(F14:F37)</f>
        <v>1605022.1438200001</v>
      </c>
      <c r="G39" s="251">
        <f t="shared" ref="G39:I39" si="9">SUM(G14:G37)</f>
        <v>8476367.2451520041</v>
      </c>
      <c r="H39" s="250">
        <f t="shared" si="9"/>
        <v>739787.41618000006</v>
      </c>
      <c r="I39" s="206">
        <f t="shared" si="9"/>
        <v>4194600.9948480017</v>
      </c>
      <c r="J39" s="31"/>
      <c r="K39" s="215"/>
      <c r="L39" s="218" t="s">
        <v>36</v>
      </c>
      <c r="M39" s="216">
        <f>SUM(L37:M37)</f>
        <v>-968686.95731799607</v>
      </c>
      <c r="N39" s="219" t="s">
        <v>37</v>
      </c>
      <c r="O39" s="216">
        <f>SUM(N37:O37)</f>
        <v>-405123.74272199871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157</v>
      </c>
      <c r="C41" s="265"/>
      <c r="D41" s="10" t="s">
        <v>156</v>
      </c>
      <c r="E41" s="274">
        <v>15015777.800000001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89" t="s">
        <v>148</v>
      </c>
      <c r="F45" s="290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6" thickBot="1">
      <c r="E47" s="224" t="e">
        <f>SUM('191010 WA DEF'!E84:E93)+SUM('191000 WA Amort'!H84:H93)+SUM(#REF!)+SUM(#REF!)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61" priority="27" operator="equal">
      <formula>"ERROR"</formula>
    </cfRule>
  </conditionalFormatting>
  <conditionalFormatting sqref="D43:D46">
    <cfRule type="cellIs" dxfId="160" priority="26" operator="equal">
      <formula>"ERROR"</formula>
    </cfRule>
  </conditionalFormatting>
  <conditionalFormatting sqref="P31">
    <cfRule type="cellIs" dxfId="159" priority="25" operator="notEqual">
      <formula>0</formula>
    </cfRule>
  </conditionalFormatting>
  <conditionalFormatting sqref="L19">
    <cfRule type="cellIs" dxfId="158" priority="23" stopIfTrue="1" operator="equal">
      <formula>0</formula>
    </cfRule>
    <cfRule type="cellIs" dxfId="157" priority="24" stopIfTrue="1" operator="notEqual">
      <formula>0</formula>
    </cfRule>
  </conditionalFormatting>
  <conditionalFormatting sqref="L19">
    <cfRule type="cellIs" dxfId="156" priority="21" stopIfTrue="1" operator="equal">
      <formula>0</formula>
    </cfRule>
    <cfRule type="cellIs" dxfId="155" priority="22" stopIfTrue="1" operator="notEqual">
      <formula>0</formula>
    </cfRule>
  </conditionalFormatting>
  <conditionalFormatting sqref="L31">
    <cfRule type="cellIs" dxfId="154" priority="19" stopIfTrue="1" operator="equal">
      <formula>0</formula>
    </cfRule>
    <cfRule type="cellIs" dxfId="153" priority="20" stopIfTrue="1" operator="notEqual">
      <formula>0</formula>
    </cfRule>
  </conditionalFormatting>
  <conditionalFormatting sqref="L31">
    <cfRule type="cellIs" dxfId="152" priority="17" stopIfTrue="1" operator="equal">
      <formula>0</formula>
    </cfRule>
    <cfRule type="cellIs" dxfId="151" priority="18" stopIfTrue="1" operator="notEqual">
      <formula>0</formula>
    </cfRule>
  </conditionalFormatting>
  <conditionalFormatting sqref="P17">
    <cfRule type="cellIs" dxfId="150" priority="15" stopIfTrue="1" operator="equal">
      <formula>0</formula>
    </cfRule>
    <cfRule type="cellIs" dxfId="149" priority="16" stopIfTrue="1" operator="notEqual">
      <formula>0</formula>
    </cfRule>
  </conditionalFormatting>
  <conditionalFormatting sqref="P17">
    <cfRule type="cellIs" dxfId="148" priority="13" stopIfTrue="1" operator="equal">
      <formula>0</formula>
    </cfRule>
    <cfRule type="cellIs" dxfId="147" priority="14" stopIfTrue="1" operator="notEqual">
      <formula>0</formula>
    </cfRule>
  </conditionalFormatting>
  <conditionalFormatting sqref="P30">
    <cfRule type="cellIs" dxfId="146" priority="11" stopIfTrue="1" operator="equal">
      <formula>0</formula>
    </cfRule>
    <cfRule type="cellIs" dxfId="145" priority="12" stopIfTrue="1" operator="notEqual">
      <formula>0</formula>
    </cfRule>
  </conditionalFormatting>
  <conditionalFormatting sqref="P30">
    <cfRule type="cellIs" dxfId="144" priority="9" stopIfTrue="1" operator="equal">
      <formula>0</formula>
    </cfRule>
    <cfRule type="cellIs" dxfId="143" priority="10" stopIfTrue="1" operator="notEqual">
      <formula>0</formula>
    </cfRule>
  </conditionalFormatting>
  <conditionalFormatting sqref="P35:P36">
    <cfRule type="cellIs" dxfId="142" priority="7" stopIfTrue="1" operator="equal">
      <formula>0</formula>
    </cfRule>
    <cfRule type="cellIs" dxfId="141" priority="8" stopIfTrue="1" operator="notEqual">
      <formula>0</formula>
    </cfRule>
  </conditionalFormatting>
  <conditionalFormatting sqref="P35:P36">
    <cfRule type="cellIs" dxfId="140" priority="5" stopIfTrue="1" operator="equal">
      <formula>0</formula>
    </cfRule>
    <cfRule type="cellIs" dxfId="139" priority="6" stopIfTrue="1" operator="notEqual">
      <formula>0</formula>
    </cfRule>
  </conditionalFormatting>
  <conditionalFormatting sqref="E42">
    <cfRule type="cellIs" dxfId="138" priority="3" stopIfTrue="1" operator="equal">
      <formula>0</formula>
    </cfRule>
    <cfRule type="cellIs" dxfId="137" priority="4" stopIfTrue="1" operator="notEqual">
      <formula>0</formula>
    </cfRule>
  </conditionalFormatting>
  <conditionalFormatting sqref="E42">
    <cfRule type="cellIs" dxfId="136" priority="1" stopIfTrue="1" operator="equal">
      <formula>0</formula>
    </cfRule>
    <cfRule type="cellIs" dxfId="135" priority="2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CA67-C2B2-405B-A129-962DFE93E507}">
  <sheetPr>
    <pageSetUpPr fitToPage="1"/>
  </sheetPr>
  <dimension ref="A1:T1396"/>
  <sheetViews>
    <sheetView zoomScale="60" zoomScaleNormal="60" workbookViewId="0">
      <selection activeCell="I44" sqref="I44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25.109375" style="7" bestFit="1" customWidth="1"/>
    <col min="6" max="6" width="18.33203125" style="31" bestFit="1" customWidth="1"/>
    <col min="7" max="7" width="19.6640625" style="31" bestFit="1" customWidth="1"/>
    <col min="8" max="9" width="18.33203125" style="31" bestFit="1" customWidth="1"/>
    <col min="10" max="10" width="4.88671875" style="30" bestFit="1" customWidth="1"/>
    <col min="11" max="11" width="29" style="30" bestFit="1" customWidth="1"/>
    <col min="12" max="12" width="22.5546875" style="30" bestFit="1" customWidth="1"/>
    <col min="13" max="13" width="24.44140625" style="30" bestFit="1" customWidth="1"/>
    <col min="14" max="14" width="24" style="30" bestFit="1" customWidth="1"/>
    <col min="15" max="15" width="24.109375" style="30" bestFit="1" customWidth="1"/>
    <col min="16" max="17" width="18.109375" style="30" customWidth="1"/>
    <col min="18" max="18" width="23" style="30" bestFit="1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7.399999999999999">
      <c r="B1" s="189" t="s">
        <v>153</v>
      </c>
      <c r="C1" s="190">
        <v>202304</v>
      </c>
      <c r="D1" s="273"/>
      <c r="E1" s="139"/>
      <c r="F1" s="139"/>
      <c r="G1" s="139"/>
      <c r="H1" s="139"/>
      <c r="I1" s="139"/>
      <c r="K1" s="185" t="s">
        <v>138</v>
      </c>
      <c r="L1" s="191" t="s">
        <v>139</v>
      </c>
      <c r="N1" s="291"/>
      <c r="O1" s="291"/>
      <c r="T1" s="270" t="s">
        <v>158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140</v>
      </c>
      <c r="N2" s="268"/>
      <c r="O2" s="268"/>
      <c r="T2" s="271" t="s">
        <v>159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160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161</v>
      </c>
    </row>
    <row r="5" spans="2:20" ht="15.6" customHeight="1" thickBot="1">
      <c r="B5" s="194"/>
      <c r="C5" s="13"/>
      <c r="D5" s="13"/>
      <c r="E5" s="249" t="s">
        <v>17</v>
      </c>
      <c r="F5" s="292" t="s">
        <v>32</v>
      </c>
      <c r="G5" s="293"/>
      <c r="H5" s="292" t="s">
        <v>33</v>
      </c>
      <c r="I5" s="294"/>
      <c r="J5" s="31"/>
      <c r="K5" s="295" t="s">
        <v>32</v>
      </c>
      <c r="L5" s="296"/>
      <c r="M5" s="296"/>
      <c r="N5" s="297"/>
      <c r="O5" s="295" t="s">
        <v>33</v>
      </c>
      <c r="P5" s="296"/>
      <c r="Q5" s="296"/>
      <c r="R5" s="297"/>
      <c r="T5" s="271" t="s">
        <v>162</v>
      </c>
    </row>
    <row r="6" spans="2:20" ht="15.6" customHeight="1" thickBot="1">
      <c r="B6" s="195" t="s">
        <v>18</v>
      </c>
      <c r="C6" s="3"/>
      <c r="D6" s="3"/>
      <c r="E6" s="242" t="s">
        <v>151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163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164</v>
      </c>
    </row>
    <row r="8" spans="2:20" ht="15.6" customHeight="1">
      <c r="B8" s="14"/>
      <c r="C8" s="3"/>
      <c r="D8" s="3"/>
      <c r="E8" s="263">
        <f>F8+H8</f>
        <v>1</v>
      </c>
      <c r="F8" s="233">
        <v>0.6845</v>
      </c>
      <c r="G8" s="234">
        <f>ROUND($L$29/($L$29+$P$28),4)</f>
        <v>0.6754</v>
      </c>
      <c r="H8" s="233">
        <v>0.3155</v>
      </c>
      <c r="I8" s="196">
        <f>1-G8</f>
        <v>0.3246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165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205</v>
      </c>
      <c r="C10" s="27">
        <v>804001</v>
      </c>
      <c r="D10" s="27" t="s">
        <v>137</v>
      </c>
      <c r="E10" s="244">
        <v>2252064.09</v>
      </c>
      <c r="F10" s="235"/>
      <c r="G10" s="236"/>
      <c r="H10" s="235"/>
      <c r="I10" s="226"/>
      <c r="J10" s="31"/>
      <c r="K10" s="25" t="s">
        <v>10</v>
      </c>
      <c r="L10" s="283">
        <v>10827426</v>
      </c>
      <c r="M10" s="207">
        <v>0.10111000000000001</v>
      </c>
      <c r="N10" s="184">
        <f t="shared" ref="N10:N16" si="0">L10*M10</f>
        <v>1094761.0428600002</v>
      </c>
      <c r="O10" s="25" t="s">
        <v>10</v>
      </c>
      <c r="P10" s="283">
        <v>5612732</v>
      </c>
      <c r="Q10" s="207">
        <v>9.1980000000000006E-2</v>
      </c>
      <c r="R10" s="184">
        <f>P10*Q10</f>
        <v>516259.08936000004</v>
      </c>
    </row>
    <row r="11" spans="2:20" ht="15.6" customHeight="1" thickBot="1">
      <c r="B11" s="188" t="s">
        <v>206</v>
      </c>
      <c r="C11" s="27">
        <v>804002</v>
      </c>
      <c r="D11" s="27" t="s">
        <v>137</v>
      </c>
      <c r="E11" s="244">
        <v>32901.42</v>
      </c>
      <c r="F11" s="235"/>
      <c r="G11" s="236"/>
      <c r="H11" s="235"/>
      <c r="I11" s="226"/>
      <c r="J11" s="31"/>
      <c r="K11" s="25" t="s">
        <v>42</v>
      </c>
      <c r="L11" s="283">
        <v>37509</v>
      </c>
      <c r="M11" s="207">
        <v>0.10111000000000001</v>
      </c>
      <c r="N11" s="184">
        <f t="shared" si="0"/>
        <v>3792.5349900000001</v>
      </c>
      <c r="O11" s="25" t="s">
        <v>11</v>
      </c>
      <c r="P11" s="283">
        <v>2081161</v>
      </c>
      <c r="Q11" s="207">
        <f>Q10</f>
        <v>9.1980000000000006E-2</v>
      </c>
      <c r="R11" s="184">
        <f>P11*Q11</f>
        <v>191425.18878000003</v>
      </c>
    </row>
    <row r="12" spans="2:20" ht="15.6" customHeight="1" thickBot="1">
      <c r="B12" s="197" t="s">
        <v>141</v>
      </c>
      <c r="C12" s="6"/>
      <c r="D12" s="6"/>
      <c r="E12" s="245">
        <f>SUM(E10:E11)</f>
        <v>2284965.5099999998</v>
      </c>
      <c r="F12" s="237"/>
      <c r="G12" s="238"/>
      <c r="H12" s="237"/>
      <c r="I12" s="227"/>
      <c r="J12" s="31"/>
      <c r="K12" s="25" t="s">
        <v>11</v>
      </c>
      <c r="L12" s="283">
        <v>4866731</v>
      </c>
      <c r="M12" s="207">
        <v>9.2460000000000001E-2</v>
      </c>
      <c r="N12" s="184">
        <f t="shared" si="0"/>
        <v>449977.94825999998</v>
      </c>
      <c r="O12" s="25" t="s">
        <v>12</v>
      </c>
      <c r="P12" s="283">
        <v>1928</v>
      </c>
      <c r="Q12" s="207">
        <f t="shared" ref="Q12:Q14" si="1">Q11</f>
        <v>9.1980000000000006E-2</v>
      </c>
      <c r="R12" s="184">
        <f>P12*Q12</f>
        <v>177.33744000000002</v>
      </c>
    </row>
    <row r="13" spans="2:20" ht="15.6" customHeight="1" thickBot="1">
      <c r="B13" s="198" t="s">
        <v>25</v>
      </c>
      <c r="C13" s="1"/>
      <c r="D13" s="1"/>
      <c r="E13" s="246">
        <f>-E11</f>
        <v>-32901.42</v>
      </c>
      <c r="F13" s="235"/>
      <c r="G13" s="236"/>
      <c r="H13" s="235"/>
      <c r="I13" s="226"/>
      <c r="J13" s="31"/>
      <c r="K13" s="25" t="s">
        <v>12</v>
      </c>
      <c r="L13" s="283">
        <v>35655</v>
      </c>
      <c r="M13" s="207">
        <v>9.2460000000000001E-2</v>
      </c>
      <c r="N13" s="184">
        <f t="shared" si="0"/>
        <v>3296.6613000000002</v>
      </c>
      <c r="O13" s="25" t="s">
        <v>13</v>
      </c>
      <c r="P13" s="283">
        <v>0</v>
      </c>
      <c r="Q13" s="207">
        <f t="shared" si="1"/>
        <v>9.1980000000000006E-2</v>
      </c>
      <c r="R13" s="184">
        <f>P13*Q13</f>
        <v>0</v>
      </c>
    </row>
    <row r="14" spans="2:20" ht="15.6" customHeight="1" thickBot="1">
      <c r="B14" s="197" t="s">
        <v>154</v>
      </c>
      <c r="C14" s="199"/>
      <c r="D14" s="199"/>
      <c r="E14" s="245">
        <f>SUM(E12:E13)</f>
        <v>2252064.09</v>
      </c>
      <c r="F14" s="252">
        <f>E14*F8</f>
        <v>1541537.8696049999</v>
      </c>
      <c r="G14" s="253"/>
      <c r="H14" s="252">
        <f>E14*H8</f>
        <v>710526.22039499995</v>
      </c>
      <c r="I14" s="254"/>
      <c r="J14" s="31"/>
      <c r="K14" s="25" t="s">
        <v>13</v>
      </c>
      <c r="L14" s="283">
        <v>0</v>
      </c>
      <c r="M14" s="207">
        <v>5.9560000000000002E-2</v>
      </c>
      <c r="N14" s="184">
        <f t="shared" si="0"/>
        <v>0</v>
      </c>
      <c r="O14" s="25" t="s">
        <v>14</v>
      </c>
      <c r="P14" s="283">
        <v>0</v>
      </c>
      <c r="Q14" s="207">
        <f t="shared" si="1"/>
        <v>9.1980000000000006E-2</v>
      </c>
      <c r="R14" s="184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3">
        <v>243961</v>
      </c>
      <c r="M15" s="207">
        <v>5.9560000000000002E-2</v>
      </c>
      <c r="N15" s="184">
        <f t="shared" si="0"/>
        <v>14530.317160000001</v>
      </c>
      <c r="O15" s="24" t="s">
        <v>29</v>
      </c>
      <c r="P15" s="149">
        <f>SUM(P10:P14)</f>
        <v>7695821</v>
      </c>
      <c r="Q15" s="150"/>
      <c r="R15" s="22">
        <f>SUM(R10:R14)</f>
        <v>707861.6155800001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3">
        <v>2720728</v>
      </c>
      <c r="M16" s="207">
        <v>5.4000000000000001E-4</v>
      </c>
      <c r="N16" s="184">
        <f t="shared" si="0"/>
        <v>1469.1931199999999</v>
      </c>
      <c r="O16" s="25"/>
      <c r="P16" s="208">
        <v>7695821</v>
      </c>
      <c r="Q16" s="16"/>
      <c r="R16" s="151"/>
    </row>
    <row r="17" spans="2:18" ht="15.6" customHeight="1" thickBot="1">
      <c r="B17" s="188" t="s">
        <v>192</v>
      </c>
      <c r="C17" s="27">
        <v>804000</v>
      </c>
      <c r="D17" s="27" t="s">
        <v>137</v>
      </c>
      <c r="E17" s="244">
        <v>11110710.789999999</v>
      </c>
      <c r="F17" s="258"/>
      <c r="G17" s="256"/>
      <c r="H17" s="255"/>
      <c r="I17" s="257"/>
      <c r="J17" s="31"/>
      <c r="K17" s="24" t="s">
        <v>29</v>
      </c>
      <c r="L17" s="149">
        <f>SUM(L10:L16)</f>
        <v>18732010</v>
      </c>
      <c r="M17" s="4"/>
      <c r="N17" s="22">
        <f>SUM(N10:N16)</f>
        <v>1567827.6976900003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193</v>
      </c>
      <c r="C18" s="27">
        <v>804010</v>
      </c>
      <c r="D18" s="27" t="s">
        <v>137</v>
      </c>
      <c r="E18" s="244">
        <v>54185.35</v>
      </c>
      <c r="F18" s="255"/>
      <c r="G18" s="256"/>
      <c r="H18" s="255"/>
      <c r="I18" s="257"/>
      <c r="J18" s="31"/>
      <c r="K18" s="15"/>
      <c r="L18" s="208">
        <v>18732010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194</v>
      </c>
      <c r="C19" s="27">
        <v>804017</v>
      </c>
      <c r="D19" s="27" t="s">
        <v>137</v>
      </c>
      <c r="E19" s="244">
        <v>35550.080000000002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195</v>
      </c>
      <c r="C20" s="27">
        <v>804018</v>
      </c>
      <c r="D20" s="27" t="s">
        <v>137</v>
      </c>
      <c r="E20" s="244">
        <v>12919.53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196</v>
      </c>
      <c r="C21" s="27">
        <v>804600</v>
      </c>
      <c r="D21" s="27" t="s">
        <v>137</v>
      </c>
      <c r="E21" s="244">
        <v>-474458.16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197</v>
      </c>
      <c r="C22" s="27">
        <v>804730</v>
      </c>
      <c r="D22" s="27" t="s">
        <v>137</v>
      </c>
      <c r="E22" s="244">
        <v>353909.85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198</v>
      </c>
      <c r="C23" s="27">
        <v>808100</v>
      </c>
      <c r="D23" s="27" t="s">
        <v>137</v>
      </c>
      <c r="E23" s="244">
        <v>1098973.08</v>
      </c>
      <c r="F23" s="255"/>
      <c r="G23" s="256"/>
      <c r="H23" s="255"/>
      <c r="I23" s="257"/>
      <c r="J23" s="31"/>
      <c r="K23" s="25" t="s">
        <v>10</v>
      </c>
      <c r="L23" s="275">
        <f>+L10</f>
        <v>10827426</v>
      </c>
      <c r="M23" s="207">
        <v>0.35372999999999999</v>
      </c>
      <c r="N23" s="184">
        <f>L23*M23</f>
        <v>3829985.3989800001</v>
      </c>
      <c r="O23" s="25" t="s">
        <v>10</v>
      </c>
      <c r="P23" s="275">
        <f>+P10</f>
        <v>5612732</v>
      </c>
      <c r="Q23" s="207">
        <v>0.34877000000000002</v>
      </c>
      <c r="R23" s="184">
        <f>P23*Q23</f>
        <v>1957552.5396400001</v>
      </c>
    </row>
    <row r="24" spans="2:18" ht="15.6" customHeight="1">
      <c r="B24" s="188" t="s">
        <v>199</v>
      </c>
      <c r="C24" s="27">
        <v>808200</v>
      </c>
      <c r="D24" s="27" t="s">
        <v>137</v>
      </c>
      <c r="E24" s="244">
        <v>-3800615.22</v>
      </c>
      <c r="F24" s="255"/>
      <c r="G24" s="256"/>
      <c r="H24" s="255"/>
      <c r="I24" s="257"/>
      <c r="J24" s="31"/>
      <c r="K24" s="25" t="s">
        <v>42</v>
      </c>
      <c r="L24" s="275">
        <f t="shared" ref="L24:L28" si="2">+L11</f>
        <v>37509</v>
      </c>
      <c r="M24" s="207">
        <f>M23</f>
        <v>0.35372999999999999</v>
      </c>
      <c r="N24" s="184">
        <f t="shared" ref="N24:N28" si="3">L24*M24</f>
        <v>13268.058569999999</v>
      </c>
      <c r="O24" s="25" t="s">
        <v>11</v>
      </c>
      <c r="P24" s="275">
        <f t="shared" ref="P24:P27" si="4">+P11</f>
        <v>2081161</v>
      </c>
      <c r="Q24" s="207">
        <f>Q23</f>
        <v>0.34877000000000002</v>
      </c>
      <c r="R24" s="184">
        <f t="shared" ref="R24:R27" si="5">P24*Q24</f>
        <v>725846.52197</v>
      </c>
    </row>
    <row r="25" spans="2:18" ht="15.6" customHeight="1">
      <c r="B25" s="188" t="s">
        <v>200</v>
      </c>
      <c r="C25" s="27">
        <v>811000</v>
      </c>
      <c r="D25" s="27" t="s">
        <v>137</v>
      </c>
      <c r="E25" s="244">
        <v>-53664.99</v>
      </c>
      <c r="F25" s="255"/>
      <c r="G25" s="256"/>
      <c r="H25" s="255"/>
      <c r="I25" s="257"/>
      <c r="J25" s="31"/>
      <c r="K25" s="25" t="s">
        <v>11</v>
      </c>
      <c r="L25" s="275">
        <f t="shared" si="2"/>
        <v>4866731</v>
      </c>
      <c r="M25" s="207">
        <f t="shared" ref="M25:M28" si="6">M24</f>
        <v>0.35372999999999999</v>
      </c>
      <c r="N25" s="184">
        <f t="shared" si="3"/>
        <v>1721508.75663</v>
      </c>
      <c r="O25" s="25" t="s">
        <v>12</v>
      </c>
      <c r="P25" s="275">
        <f t="shared" si="4"/>
        <v>1928</v>
      </c>
      <c r="Q25" s="207">
        <f t="shared" ref="Q25:Q27" si="7">Q24</f>
        <v>0.34877000000000002</v>
      </c>
      <c r="R25" s="184">
        <f t="shared" si="5"/>
        <v>672.42856000000006</v>
      </c>
    </row>
    <row r="26" spans="2:18" ht="15.6" customHeight="1">
      <c r="B26" s="188" t="s">
        <v>201</v>
      </c>
      <c r="C26" s="27">
        <v>483000</v>
      </c>
      <c r="D26" s="27" t="s">
        <v>137</v>
      </c>
      <c r="E26" s="244">
        <v>-1963174.22</v>
      </c>
      <c r="F26" s="258"/>
      <c r="G26" s="256"/>
      <c r="H26" s="255"/>
      <c r="I26" s="257"/>
      <c r="J26" s="31"/>
      <c r="K26" s="25" t="s">
        <v>12</v>
      </c>
      <c r="L26" s="275">
        <f t="shared" si="2"/>
        <v>35655</v>
      </c>
      <c r="M26" s="207">
        <f t="shared" si="6"/>
        <v>0.35372999999999999</v>
      </c>
      <c r="N26" s="184">
        <f t="shared" si="3"/>
        <v>12612.24315</v>
      </c>
      <c r="O26" s="25" t="s">
        <v>13</v>
      </c>
      <c r="P26" s="275">
        <f t="shared" si="4"/>
        <v>0</v>
      </c>
      <c r="Q26" s="207">
        <f t="shared" si="7"/>
        <v>0.34877000000000002</v>
      </c>
      <c r="R26" s="184">
        <f t="shared" si="5"/>
        <v>0</v>
      </c>
    </row>
    <row r="27" spans="2:18" ht="15.6" customHeight="1">
      <c r="B27" s="188" t="s">
        <v>202</v>
      </c>
      <c r="C27" s="27">
        <v>483600</v>
      </c>
      <c r="D27" s="27" t="s">
        <v>137</v>
      </c>
      <c r="E27" s="244">
        <v>605070</v>
      </c>
      <c r="F27" s="255"/>
      <c r="G27" s="256"/>
      <c r="H27" s="255"/>
      <c r="I27" s="257"/>
      <c r="J27" s="31"/>
      <c r="K27" s="25" t="s">
        <v>13</v>
      </c>
      <c r="L27" s="275">
        <f t="shared" si="2"/>
        <v>0</v>
      </c>
      <c r="M27" s="207">
        <f t="shared" si="6"/>
        <v>0.35372999999999999</v>
      </c>
      <c r="N27" s="184">
        <f t="shared" si="3"/>
        <v>0</v>
      </c>
      <c r="O27" s="25" t="s">
        <v>14</v>
      </c>
      <c r="P27" s="275">
        <f t="shared" si="4"/>
        <v>0</v>
      </c>
      <c r="Q27" s="207">
        <f t="shared" si="7"/>
        <v>0.34877000000000002</v>
      </c>
      <c r="R27" s="184">
        <f t="shared" si="5"/>
        <v>0</v>
      </c>
    </row>
    <row r="28" spans="2:18" ht="15.6" customHeight="1" thickBot="1">
      <c r="B28" s="188" t="s">
        <v>203</v>
      </c>
      <c r="C28" s="27">
        <v>483730</v>
      </c>
      <c r="D28" s="27" t="s">
        <v>137</v>
      </c>
      <c r="E28" s="244">
        <v>-1264319.93</v>
      </c>
      <c r="F28" s="255"/>
      <c r="G28" s="256"/>
      <c r="H28" s="255"/>
      <c r="I28" s="257"/>
      <c r="J28" s="31"/>
      <c r="K28" s="25" t="s">
        <v>14</v>
      </c>
      <c r="L28" s="275">
        <f t="shared" si="2"/>
        <v>243961</v>
      </c>
      <c r="M28" s="207">
        <f t="shared" si="6"/>
        <v>0.35372999999999999</v>
      </c>
      <c r="N28" s="184">
        <f t="shared" si="3"/>
        <v>86296.324529999998</v>
      </c>
      <c r="O28" s="24" t="s">
        <v>31</v>
      </c>
      <c r="P28" s="149">
        <f>SUM(P23:P27)</f>
        <v>7695821</v>
      </c>
      <c r="Q28" s="150"/>
      <c r="R28" s="22">
        <f>SUM(R23:R27)</f>
        <v>2684071.4901700001</v>
      </c>
    </row>
    <row r="29" spans="2:18" ht="15.6" customHeight="1" thickTop="1" thickBot="1">
      <c r="B29" s="188" t="s">
        <v>204</v>
      </c>
      <c r="C29" s="27">
        <v>495028</v>
      </c>
      <c r="D29" s="27" t="s">
        <v>137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16011282</v>
      </c>
      <c r="M29" s="150"/>
      <c r="N29" s="157">
        <f>SUM(N23:N28)</f>
        <v>5663670.7818600005</v>
      </c>
      <c r="O29" s="24"/>
      <c r="P29" s="208">
        <v>7695821</v>
      </c>
      <c r="Q29" s="16"/>
      <c r="R29" s="154"/>
    </row>
    <row r="30" spans="2:18" ht="15.6" customHeight="1" thickTop="1">
      <c r="B30" s="188" t="s">
        <v>136</v>
      </c>
      <c r="C30" s="27">
        <v>495100</v>
      </c>
      <c r="D30" s="27" t="s">
        <v>137</v>
      </c>
      <c r="E30" s="244">
        <v>0</v>
      </c>
      <c r="F30" s="259"/>
      <c r="G30" s="260"/>
      <c r="H30" s="259"/>
      <c r="I30" s="261"/>
      <c r="J30" s="31"/>
      <c r="K30" s="15"/>
      <c r="L30" s="208">
        <v>16011282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32901.42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5279237.5799999973</v>
      </c>
      <c r="F32" s="262"/>
      <c r="G32" s="236">
        <f>E32*G8</f>
        <v>3565597.0615319982</v>
      </c>
      <c r="H32" s="146"/>
      <c r="I32" s="226">
        <f>E32*I8</f>
        <v>1713640.5184679991</v>
      </c>
      <c r="J32" s="31"/>
    </row>
    <row r="33" spans="1:20" ht="15.6" customHeight="1">
      <c r="B33" s="188" t="s">
        <v>135</v>
      </c>
      <c r="C33" s="27">
        <v>495100</v>
      </c>
      <c r="D33" s="3" t="s">
        <v>142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122</v>
      </c>
      <c r="C34" s="27">
        <v>495100</v>
      </c>
      <c r="D34" s="3" t="s">
        <v>143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147</v>
      </c>
      <c r="Q34" s="1"/>
    </row>
    <row r="35" spans="1:20" ht="15.6" customHeight="1">
      <c r="B35" s="15" t="s">
        <v>144</v>
      </c>
      <c r="C35" s="27">
        <v>804000</v>
      </c>
      <c r="D35" s="3" t="s">
        <v>142</v>
      </c>
      <c r="E35" s="244">
        <v>-188508.58</v>
      </c>
      <c r="F35" s="255"/>
      <c r="G35" s="236">
        <f>E35</f>
        <v>-188508.58</v>
      </c>
      <c r="H35" s="146"/>
      <c r="I35" s="226"/>
      <c r="J35" s="31"/>
      <c r="K35" s="14" t="s">
        <v>149</v>
      </c>
      <c r="L35" s="147">
        <f>$F$39</f>
        <v>1541537.8696049999</v>
      </c>
      <c r="M35" s="147">
        <f>G39</f>
        <v>3377088.4815319981</v>
      </c>
      <c r="N35" s="147">
        <f>$H$39</f>
        <v>710526.22039499995</v>
      </c>
      <c r="O35" s="147">
        <f>I39</f>
        <v>1623443.718467999</v>
      </c>
      <c r="P35" s="220">
        <f>SUM(L35:O35)-E39</f>
        <v>0</v>
      </c>
      <c r="Q35" s="1"/>
    </row>
    <row r="36" spans="1:20" ht="15.6" customHeight="1" thickBot="1">
      <c r="B36" s="15" t="s">
        <v>145</v>
      </c>
      <c r="C36" s="27">
        <v>804000</v>
      </c>
      <c r="D36" s="3" t="s">
        <v>143</v>
      </c>
      <c r="E36" s="244">
        <v>-90196.800000000003</v>
      </c>
      <c r="F36" s="255"/>
      <c r="G36" s="236"/>
      <c r="H36" s="146"/>
      <c r="I36" s="226">
        <f>E36</f>
        <v>-90196.800000000003</v>
      </c>
      <c r="J36" s="31"/>
      <c r="K36" s="14" t="s">
        <v>152</v>
      </c>
      <c r="L36" s="209">
        <f>-$N$17</f>
        <v>-1567827.6976900003</v>
      </c>
      <c r="M36" s="209">
        <f>-N29</f>
        <v>-5663670.7818600005</v>
      </c>
      <c r="N36" s="209">
        <f>-$R$15</f>
        <v>-707861.6155800001</v>
      </c>
      <c r="O36" s="209">
        <f>-R28</f>
        <v>-2684071.4901700001</v>
      </c>
      <c r="P36" s="220">
        <f>SUM(L36:O36)+N17+N29+R15+R28</f>
        <v>0</v>
      </c>
      <c r="Q36" s="1"/>
    </row>
    <row r="37" spans="1:20" ht="15.6" customHeight="1" thickBot="1">
      <c r="B37" s="197" t="s">
        <v>155</v>
      </c>
      <c r="C37" s="27"/>
      <c r="D37" s="3"/>
      <c r="E37" s="245">
        <f>SUM(E32:E36)</f>
        <v>5000532.1999999974</v>
      </c>
      <c r="F37" s="237"/>
      <c r="G37" s="239"/>
      <c r="H37" s="237"/>
      <c r="I37" s="200"/>
      <c r="J37" s="31"/>
      <c r="K37" s="197" t="s">
        <v>150</v>
      </c>
      <c r="L37" s="152">
        <f t="shared" ref="L37:O37" si="8">SUM(L35:L36)</f>
        <v>-26289.828085000394</v>
      </c>
      <c r="M37" s="152">
        <f>SUM(M35:M36)</f>
        <v>-2286582.3003280023</v>
      </c>
      <c r="N37" s="152">
        <f t="shared" si="8"/>
        <v>2664.6048149998533</v>
      </c>
      <c r="O37" s="152">
        <f t="shared" si="8"/>
        <v>-1060627.7717020011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146</v>
      </c>
      <c r="C39" s="205"/>
      <c r="D39" s="205"/>
      <c r="E39" s="245">
        <f>E37+E14</f>
        <v>7252596.2899999972</v>
      </c>
      <c r="F39" s="250">
        <f>SUM(F14:F37)</f>
        <v>1541537.8696049999</v>
      </c>
      <c r="G39" s="251">
        <f t="shared" ref="G39:I39" si="9">SUM(G14:G37)</f>
        <v>3377088.4815319981</v>
      </c>
      <c r="H39" s="250">
        <f t="shared" si="9"/>
        <v>710526.22039499995</v>
      </c>
      <c r="I39" s="206">
        <f t="shared" si="9"/>
        <v>1623443.718467999</v>
      </c>
      <c r="J39" s="31"/>
      <c r="K39" s="215"/>
      <c r="L39" s="218" t="s">
        <v>36</v>
      </c>
      <c r="M39" s="216">
        <f>SUM(L37:M37)</f>
        <v>-2312872.1284130029</v>
      </c>
      <c r="N39" s="219" t="s">
        <v>37</v>
      </c>
      <c r="O39" s="216">
        <f>SUM(N37:O37)</f>
        <v>-1057963.1668870011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157</v>
      </c>
      <c r="C41" s="265"/>
      <c r="D41" s="10" t="s">
        <v>156</v>
      </c>
      <c r="E41" s="274">
        <v>7252596.29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89" t="s">
        <v>148</v>
      </c>
      <c r="F45" s="290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6" thickBot="1">
      <c r="E47" s="224" t="e">
        <f>SUM('191010 WA DEF'!E84:E93)+SUM('191000 WA Amort'!H84:H93)+SUM(#REF!)+SUM(#REF!)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34" priority="27" operator="equal">
      <formula>"ERROR"</formula>
    </cfRule>
  </conditionalFormatting>
  <conditionalFormatting sqref="D43:D46">
    <cfRule type="cellIs" dxfId="133" priority="26" operator="equal">
      <formula>"ERROR"</formula>
    </cfRule>
  </conditionalFormatting>
  <conditionalFormatting sqref="P31">
    <cfRule type="cellIs" dxfId="132" priority="25" operator="notEqual">
      <formula>0</formula>
    </cfRule>
  </conditionalFormatting>
  <conditionalFormatting sqref="L19">
    <cfRule type="cellIs" dxfId="131" priority="23" stopIfTrue="1" operator="equal">
      <formula>0</formula>
    </cfRule>
    <cfRule type="cellIs" dxfId="130" priority="24" stopIfTrue="1" operator="notEqual">
      <formula>0</formula>
    </cfRule>
  </conditionalFormatting>
  <conditionalFormatting sqref="L19">
    <cfRule type="cellIs" dxfId="129" priority="21" stopIfTrue="1" operator="equal">
      <formula>0</formula>
    </cfRule>
    <cfRule type="cellIs" dxfId="128" priority="22" stopIfTrue="1" operator="notEqual">
      <formula>0</formula>
    </cfRule>
  </conditionalFormatting>
  <conditionalFormatting sqref="L31">
    <cfRule type="cellIs" dxfId="127" priority="19" stopIfTrue="1" operator="equal">
      <formula>0</formula>
    </cfRule>
    <cfRule type="cellIs" dxfId="126" priority="20" stopIfTrue="1" operator="notEqual">
      <formula>0</formula>
    </cfRule>
  </conditionalFormatting>
  <conditionalFormatting sqref="L31">
    <cfRule type="cellIs" dxfId="125" priority="17" stopIfTrue="1" operator="equal">
      <formula>0</formula>
    </cfRule>
    <cfRule type="cellIs" dxfId="124" priority="18" stopIfTrue="1" operator="notEqual">
      <formula>0</formula>
    </cfRule>
  </conditionalFormatting>
  <conditionalFormatting sqref="P17">
    <cfRule type="cellIs" dxfId="123" priority="15" stopIfTrue="1" operator="equal">
      <formula>0</formula>
    </cfRule>
    <cfRule type="cellIs" dxfId="122" priority="16" stopIfTrue="1" operator="notEqual">
      <formula>0</formula>
    </cfRule>
  </conditionalFormatting>
  <conditionalFormatting sqref="P17">
    <cfRule type="cellIs" dxfId="121" priority="13" stopIfTrue="1" operator="equal">
      <formula>0</formula>
    </cfRule>
    <cfRule type="cellIs" dxfId="120" priority="14" stopIfTrue="1" operator="notEqual">
      <formula>0</formula>
    </cfRule>
  </conditionalFormatting>
  <conditionalFormatting sqref="P30">
    <cfRule type="cellIs" dxfId="119" priority="11" stopIfTrue="1" operator="equal">
      <formula>0</formula>
    </cfRule>
    <cfRule type="cellIs" dxfId="118" priority="12" stopIfTrue="1" operator="notEqual">
      <formula>0</formula>
    </cfRule>
  </conditionalFormatting>
  <conditionalFormatting sqref="P30">
    <cfRule type="cellIs" dxfId="117" priority="9" stopIfTrue="1" operator="equal">
      <formula>0</formula>
    </cfRule>
    <cfRule type="cellIs" dxfId="116" priority="10" stopIfTrue="1" operator="notEqual">
      <formula>0</formula>
    </cfRule>
  </conditionalFormatting>
  <conditionalFormatting sqref="P35:P36">
    <cfRule type="cellIs" dxfId="115" priority="7" stopIfTrue="1" operator="equal">
      <formula>0</formula>
    </cfRule>
    <cfRule type="cellIs" dxfId="114" priority="8" stopIfTrue="1" operator="notEqual">
      <formula>0</formula>
    </cfRule>
  </conditionalFormatting>
  <conditionalFormatting sqref="P35:P36">
    <cfRule type="cellIs" dxfId="113" priority="5" stopIfTrue="1" operator="equal">
      <formula>0</formula>
    </cfRule>
    <cfRule type="cellIs" dxfId="112" priority="6" stopIfTrue="1" operator="notEqual">
      <formula>0</formula>
    </cfRule>
  </conditionalFormatting>
  <conditionalFormatting sqref="E42">
    <cfRule type="cellIs" dxfId="111" priority="3" stopIfTrue="1" operator="equal">
      <formula>0</formula>
    </cfRule>
    <cfRule type="cellIs" dxfId="110" priority="4" stopIfTrue="1" operator="notEqual">
      <formula>0</formula>
    </cfRule>
  </conditionalFormatting>
  <conditionalFormatting sqref="E42">
    <cfRule type="cellIs" dxfId="109" priority="1" stopIfTrue="1" operator="equal">
      <formula>0</formula>
    </cfRule>
    <cfRule type="cellIs" dxfId="108" priority="2" stopIfTrue="1" operator="notEqual">
      <formula>0</formula>
    </cfRule>
  </conditionalFormatting>
  <printOptions horizontalCentered="1"/>
  <pageMargins left="0.1" right="0.1" top="0.5" bottom="0.5" header="0.3" footer="0.3"/>
  <pageSetup scale="39" orientation="landscape" r:id="rId1"/>
  <headerFooter>
    <oddFooter>&amp;R&amp;Z&amp;F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A375-3971-425F-AAF1-334599228387}">
  <sheetPr>
    <pageSetUpPr fitToPage="1"/>
  </sheetPr>
  <dimension ref="A1:T1396"/>
  <sheetViews>
    <sheetView zoomScale="60" zoomScaleNormal="60" workbookViewId="0">
      <selection activeCell="G51" sqref="G51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25.109375" style="7" bestFit="1" customWidth="1"/>
    <col min="6" max="6" width="18.33203125" style="31" bestFit="1" customWidth="1"/>
    <col min="7" max="7" width="19.6640625" style="31" bestFit="1" customWidth="1"/>
    <col min="8" max="9" width="18.33203125" style="31" bestFit="1" customWidth="1"/>
    <col min="10" max="10" width="4.88671875" style="30" bestFit="1" customWidth="1"/>
    <col min="11" max="11" width="29" style="30" bestFit="1" customWidth="1"/>
    <col min="12" max="13" width="24.44140625" style="30" bestFit="1" customWidth="1"/>
    <col min="14" max="14" width="24" style="30" bestFit="1" customWidth="1"/>
    <col min="15" max="15" width="24.109375" style="30" bestFit="1" customWidth="1"/>
    <col min="16" max="17" width="18.109375" style="30" customWidth="1"/>
    <col min="18" max="18" width="23" style="30" bestFit="1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7.399999999999999">
      <c r="B1" s="189" t="s">
        <v>153</v>
      </c>
      <c r="C1" s="190">
        <v>202305</v>
      </c>
      <c r="D1" s="273"/>
      <c r="E1" s="139"/>
      <c r="F1" s="139"/>
      <c r="G1" s="139"/>
      <c r="H1" s="139"/>
      <c r="I1" s="139"/>
      <c r="K1" s="185" t="s">
        <v>138</v>
      </c>
      <c r="L1" s="191" t="s">
        <v>139</v>
      </c>
      <c r="N1" s="291"/>
      <c r="O1" s="291"/>
      <c r="T1" s="270" t="s">
        <v>158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140</v>
      </c>
      <c r="N2" s="268"/>
      <c r="O2" s="268"/>
      <c r="T2" s="271" t="s">
        <v>159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160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161</v>
      </c>
    </row>
    <row r="5" spans="2:20" ht="15.6" customHeight="1" thickBot="1">
      <c r="B5" s="194"/>
      <c r="C5" s="13"/>
      <c r="D5" s="13"/>
      <c r="E5" s="249" t="s">
        <v>17</v>
      </c>
      <c r="F5" s="292" t="s">
        <v>32</v>
      </c>
      <c r="G5" s="293"/>
      <c r="H5" s="292" t="s">
        <v>33</v>
      </c>
      <c r="I5" s="294"/>
      <c r="J5" s="31"/>
      <c r="K5" s="295" t="s">
        <v>32</v>
      </c>
      <c r="L5" s="296"/>
      <c r="M5" s="296"/>
      <c r="N5" s="297"/>
      <c r="O5" s="295" t="s">
        <v>33</v>
      </c>
      <c r="P5" s="296"/>
      <c r="Q5" s="296"/>
      <c r="R5" s="297"/>
      <c r="T5" s="271" t="s">
        <v>162</v>
      </c>
    </row>
    <row r="6" spans="2:20" ht="15.6" customHeight="1" thickBot="1">
      <c r="B6" s="195" t="s">
        <v>18</v>
      </c>
      <c r="C6" s="3"/>
      <c r="D6" s="3"/>
      <c r="E6" s="242" t="s">
        <v>151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163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164</v>
      </c>
    </row>
    <row r="8" spans="2:20" ht="15.6" customHeight="1">
      <c r="B8" s="14"/>
      <c r="C8" s="3"/>
      <c r="D8" s="3"/>
      <c r="E8" s="263">
        <f>F8+H8</f>
        <v>1</v>
      </c>
      <c r="F8" s="233">
        <v>0.6845</v>
      </c>
      <c r="G8" s="234">
        <f>ROUND($L$29/($L$29+$P$28),4)</f>
        <v>0.66800000000000004</v>
      </c>
      <c r="H8" s="233">
        <v>0.3155</v>
      </c>
      <c r="I8" s="196">
        <f>1-G8</f>
        <v>0.33199999999999996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165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205</v>
      </c>
      <c r="C10" s="27">
        <v>804001</v>
      </c>
      <c r="D10" s="27" t="s">
        <v>137</v>
      </c>
      <c r="E10" s="244">
        <v>2304747.27</v>
      </c>
      <c r="F10" s="235"/>
      <c r="G10" s="236"/>
      <c r="H10" s="235"/>
      <c r="I10" s="226"/>
      <c r="J10" s="31"/>
      <c r="K10" s="25" t="s">
        <v>10</v>
      </c>
      <c r="L10" s="283">
        <v>3335686</v>
      </c>
      <c r="M10" s="207">
        <v>0.10111000000000001</v>
      </c>
      <c r="N10" s="184">
        <f t="shared" ref="N10:N16" si="0">L10*M10</f>
        <v>337271.21146000002</v>
      </c>
      <c r="O10" s="25" t="s">
        <v>10</v>
      </c>
      <c r="P10" s="283">
        <v>1769819</v>
      </c>
      <c r="Q10" s="207">
        <v>9.1980000000000006E-2</v>
      </c>
      <c r="R10" s="184">
        <f>P10*Q10</f>
        <v>162787.95162000001</v>
      </c>
    </row>
    <row r="11" spans="2:20" ht="15.6" customHeight="1" thickBot="1">
      <c r="B11" s="188" t="s">
        <v>206</v>
      </c>
      <c r="C11" s="27">
        <v>804002</v>
      </c>
      <c r="D11" s="27" t="s">
        <v>137</v>
      </c>
      <c r="E11" s="244">
        <v>32132.23</v>
      </c>
      <c r="F11" s="235"/>
      <c r="G11" s="236"/>
      <c r="H11" s="235"/>
      <c r="I11" s="226"/>
      <c r="J11" s="31"/>
      <c r="K11" s="25" t="s">
        <v>42</v>
      </c>
      <c r="L11" s="283">
        <v>11814</v>
      </c>
      <c r="M11" s="207">
        <v>0.10111000000000001</v>
      </c>
      <c r="N11" s="184">
        <f t="shared" si="0"/>
        <v>1194.5135400000001</v>
      </c>
      <c r="O11" s="25" t="s">
        <v>11</v>
      </c>
      <c r="P11" s="283">
        <v>1259501</v>
      </c>
      <c r="Q11" s="207">
        <f>Q10</f>
        <v>9.1980000000000006E-2</v>
      </c>
      <c r="R11" s="184">
        <f>P11*Q11</f>
        <v>115848.90198000001</v>
      </c>
    </row>
    <row r="12" spans="2:20" ht="15.6" customHeight="1" thickBot="1">
      <c r="B12" s="197" t="s">
        <v>141</v>
      </c>
      <c r="C12" s="6"/>
      <c r="D12" s="6"/>
      <c r="E12" s="245">
        <f>SUM(E10:E11)</f>
        <v>2336879.5</v>
      </c>
      <c r="F12" s="237"/>
      <c r="G12" s="238"/>
      <c r="H12" s="237"/>
      <c r="I12" s="227"/>
      <c r="J12" s="31"/>
      <c r="K12" s="25" t="s">
        <v>11</v>
      </c>
      <c r="L12" s="283">
        <v>2518681</v>
      </c>
      <c r="M12" s="207">
        <v>9.2460000000000001E-2</v>
      </c>
      <c r="N12" s="184">
        <f t="shared" si="0"/>
        <v>232877.24526</v>
      </c>
      <c r="O12" s="25" t="s">
        <v>12</v>
      </c>
      <c r="P12" s="283">
        <v>348</v>
      </c>
      <c r="Q12" s="207">
        <f t="shared" ref="Q12:Q14" si="1">Q11</f>
        <v>9.1980000000000006E-2</v>
      </c>
      <c r="R12" s="184">
        <f>P12*Q12</f>
        <v>32.009039999999999</v>
      </c>
    </row>
    <row r="13" spans="2:20" ht="15.6" customHeight="1" thickBot="1">
      <c r="B13" s="198" t="s">
        <v>25</v>
      </c>
      <c r="C13" s="1"/>
      <c r="D13" s="1"/>
      <c r="E13" s="246">
        <f>-E11</f>
        <v>-32132.23</v>
      </c>
      <c r="F13" s="235"/>
      <c r="G13" s="236"/>
      <c r="H13" s="235"/>
      <c r="I13" s="226"/>
      <c r="J13" s="31"/>
      <c r="K13" s="25" t="s">
        <v>12</v>
      </c>
      <c r="L13" s="283">
        <v>35872</v>
      </c>
      <c r="M13" s="207">
        <v>9.2460000000000001E-2</v>
      </c>
      <c r="N13" s="184">
        <f t="shared" si="0"/>
        <v>3316.7251200000001</v>
      </c>
      <c r="O13" s="25" t="s">
        <v>13</v>
      </c>
      <c r="P13" s="283">
        <v>0</v>
      </c>
      <c r="Q13" s="207">
        <f t="shared" si="1"/>
        <v>9.1980000000000006E-2</v>
      </c>
      <c r="R13" s="184">
        <f>P13*Q13</f>
        <v>0</v>
      </c>
    </row>
    <row r="14" spans="2:20" ht="15.6" customHeight="1" thickBot="1">
      <c r="B14" s="197" t="s">
        <v>154</v>
      </c>
      <c r="C14" s="199"/>
      <c r="D14" s="199"/>
      <c r="E14" s="245">
        <f>SUM(E12:E13)</f>
        <v>2304747.27</v>
      </c>
      <c r="F14" s="252">
        <f>E14*F8</f>
        <v>1577599.5063150001</v>
      </c>
      <c r="G14" s="253"/>
      <c r="H14" s="252">
        <f>E14*H8</f>
        <v>727147.76368500001</v>
      </c>
      <c r="I14" s="254"/>
      <c r="J14" s="31"/>
      <c r="K14" s="25" t="s">
        <v>13</v>
      </c>
      <c r="L14" s="283">
        <v>0</v>
      </c>
      <c r="M14" s="207">
        <v>5.9560000000000002E-2</v>
      </c>
      <c r="N14" s="184">
        <f t="shared" si="0"/>
        <v>0</v>
      </c>
      <c r="O14" s="25" t="s">
        <v>14</v>
      </c>
      <c r="P14" s="283">
        <v>0</v>
      </c>
      <c r="Q14" s="207">
        <f t="shared" si="1"/>
        <v>9.1980000000000006E-2</v>
      </c>
      <c r="R14" s="184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3">
        <v>192768</v>
      </c>
      <c r="M15" s="207">
        <v>5.9560000000000002E-2</v>
      </c>
      <c r="N15" s="184">
        <f t="shared" si="0"/>
        <v>11481.26208</v>
      </c>
      <c r="O15" s="24" t="s">
        <v>29</v>
      </c>
      <c r="P15" s="149">
        <f>SUM(P10:P14)</f>
        <v>3029668</v>
      </c>
      <c r="Q15" s="150"/>
      <c r="R15" s="22">
        <f>SUM(R10:R14)</f>
        <v>278668.86264000001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3">
        <v>2247224</v>
      </c>
      <c r="M16" s="207">
        <v>5.4000000000000001E-4</v>
      </c>
      <c r="N16" s="184">
        <f t="shared" si="0"/>
        <v>1213.5009600000001</v>
      </c>
      <c r="O16" s="25"/>
      <c r="P16" s="208">
        <v>3029668</v>
      </c>
      <c r="Q16" s="16"/>
      <c r="R16" s="151"/>
    </row>
    <row r="17" spans="2:18" ht="15.6" customHeight="1" thickBot="1">
      <c r="B17" s="188" t="s">
        <v>192</v>
      </c>
      <c r="C17" s="27">
        <v>804000</v>
      </c>
      <c r="D17" s="27" t="s">
        <v>137</v>
      </c>
      <c r="E17" s="244">
        <v>6938721.7400000002</v>
      </c>
      <c r="F17" s="258"/>
      <c r="G17" s="256"/>
      <c r="H17" s="255"/>
      <c r="I17" s="257"/>
      <c r="J17" s="31"/>
      <c r="K17" s="24" t="s">
        <v>29</v>
      </c>
      <c r="L17" s="149">
        <f>SUM(L10:L16)</f>
        <v>8342045</v>
      </c>
      <c r="M17" s="4"/>
      <c r="N17" s="22">
        <f>SUM(N10:N16)</f>
        <v>587354.45842000004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193</v>
      </c>
      <c r="C18" s="27">
        <v>804010</v>
      </c>
      <c r="D18" s="27" t="s">
        <v>137</v>
      </c>
      <c r="E18" s="244">
        <v>-18544.38</v>
      </c>
      <c r="F18" s="255"/>
      <c r="G18" s="256"/>
      <c r="H18" s="255"/>
      <c r="I18" s="257"/>
      <c r="J18" s="31"/>
      <c r="K18" s="15"/>
      <c r="L18" s="208">
        <v>8342045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194</v>
      </c>
      <c r="C19" s="27">
        <v>804017</v>
      </c>
      <c r="D19" s="27" t="s">
        <v>137</v>
      </c>
      <c r="E19" s="244">
        <v>31865.14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195</v>
      </c>
      <c r="C20" s="27">
        <v>804018</v>
      </c>
      <c r="D20" s="27" t="s">
        <v>137</v>
      </c>
      <c r="E20" s="244">
        <v>16005.06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196</v>
      </c>
      <c r="C21" s="27">
        <v>804600</v>
      </c>
      <c r="D21" s="27" t="s">
        <v>137</v>
      </c>
      <c r="E21" s="244">
        <v>568479.93999999994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197</v>
      </c>
      <c r="C22" s="27">
        <v>804730</v>
      </c>
      <c r="D22" s="27" t="s">
        <v>137</v>
      </c>
      <c r="E22" s="244">
        <v>961356.08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198</v>
      </c>
      <c r="C23" s="27">
        <v>808100</v>
      </c>
      <c r="D23" s="27" t="s">
        <v>137</v>
      </c>
      <c r="E23" s="244">
        <v>8753.27</v>
      </c>
      <c r="F23" s="255"/>
      <c r="G23" s="256"/>
      <c r="H23" s="255"/>
      <c r="I23" s="257"/>
      <c r="J23" s="31"/>
      <c r="K23" s="25" t="s">
        <v>10</v>
      </c>
      <c r="L23" s="275">
        <f>+L10</f>
        <v>3335686</v>
      </c>
      <c r="M23" s="207">
        <v>0.35372999999999999</v>
      </c>
      <c r="N23" s="184">
        <f>L23*M23</f>
        <v>1179932.20878</v>
      </c>
      <c r="O23" s="25" t="s">
        <v>10</v>
      </c>
      <c r="P23" s="275">
        <f>+P10</f>
        <v>1769819</v>
      </c>
      <c r="Q23" s="207">
        <v>0.34877000000000002</v>
      </c>
      <c r="R23" s="184">
        <f>P23*Q23</f>
        <v>617259.77263000002</v>
      </c>
    </row>
    <row r="24" spans="2:18" ht="15.6" customHeight="1">
      <c r="B24" s="188" t="s">
        <v>199</v>
      </c>
      <c r="C24" s="27">
        <v>808200</v>
      </c>
      <c r="D24" s="27" t="s">
        <v>137</v>
      </c>
      <c r="E24" s="244">
        <v>-4158932.8</v>
      </c>
      <c r="F24" s="255"/>
      <c r="G24" s="256"/>
      <c r="H24" s="255"/>
      <c r="I24" s="257"/>
      <c r="J24" s="31"/>
      <c r="K24" s="25" t="s">
        <v>42</v>
      </c>
      <c r="L24" s="275">
        <f t="shared" ref="L24:L28" si="2">+L11</f>
        <v>11814</v>
      </c>
      <c r="M24" s="207">
        <f>M23</f>
        <v>0.35372999999999999</v>
      </c>
      <c r="N24" s="184">
        <f t="shared" ref="N24:N28" si="3">L24*M24</f>
        <v>4178.9662200000002</v>
      </c>
      <c r="O24" s="25" t="s">
        <v>11</v>
      </c>
      <c r="P24" s="275">
        <f t="shared" ref="P24:P27" si="4">+P11</f>
        <v>1259501</v>
      </c>
      <c r="Q24" s="207">
        <f>Q23</f>
        <v>0.34877000000000002</v>
      </c>
      <c r="R24" s="184">
        <f t="shared" ref="R24:R27" si="5">P24*Q24</f>
        <v>439276.16377000004</v>
      </c>
    </row>
    <row r="25" spans="2:18" ht="15.6" customHeight="1">
      <c r="B25" s="188" t="s">
        <v>200</v>
      </c>
      <c r="C25" s="27">
        <v>811000</v>
      </c>
      <c r="D25" s="27" t="s">
        <v>137</v>
      </c>
      <c r="E25" s="244">
        <v>-24986.51</v>
      </c>
      <c r="F25" s="255"/>
      <c r="G25" s="256"/>
      <c r="H25" s="255"/>
      <c r="I25" s="257"/>
      <c r="J25" s="31"/>
      <c r="K25" s="25" t="s">
        <v>11</v>
      </c>
      <c r="L25" s="275">
        <f t="shared" si="2"/>
        <v>2518681</v>
      </c>
      <c r="M25" s="207">
        <f t="shared" ref="M25:M28" si="6">M24</f>
        <v>0.35372999999999999</v>
      </c>
      <c r="N25" s="184">
        <f t="shared" si="3"/>
        <v>890933.03012999997</v>
      </c>
      <c r="O25" s="25" t="s">
        <v>12</v>
      </c>
      <c r="P25" s="275">
        <f t="shared" si="4"/>
        <v>348</v>
      </c>
      <c r="Q25" s="207">
        <f t="shared" ref="Q25:Q27" si="7">Q24</f>
        <v>0.34877000000000002</v>
      </c>
      <c r="R25" s="184">
        <f t="shared" si="5"/>
        <v>121.37196</v>
      </c>
    </row>
    <row r="26" spans="2:18" ht="15.6" customHeight="1">
      <c r="B26" s="188" t="s">
        <v>201</v>
      </c>
      <c r="C26" s="27">
        <v>483000</v>
      </c>
      <c r="D26" s="27" t="s">
        <v>137</v>
      </c>
      <c r="E26" s="244">
        <v>-380223.3</v>
      </c>
      <c r="F26" s="258"/>
      <c r="G26" s="256"/>
      <c r="H26" s="255"/>
      <c r="I26" s="257"/>
      <c r="J26" s="31"/>
      <c r="K26" s="25" t="s">
        <v>12</v>
      </c>
      <c r="L26" s="275">
        <f t="shared" si="2"/>
        <v>35872</v>
      </c>
      <c r="M26" s="207">
        <f t="shared" si="6"/>
        <v>0.35372999999999999</v>
      </c>
      <c r="N26" s="184">
        <f t="shared" si="3"/>
        <v>12689.002559999999</v>
      </c>
      <c r="O26" s="25" t="s">
        <v>13</v>
      </c>
      <c r="P26" s="275">
        <f t="shared" si="4"/>
        <v>0</v>
      </c>
      <c r="Q26" s="207">
        <f t="shared" si="7"/>
        <v>0.34877000000000002</v>
      </c>
      <c r="R26" s="184">
        <f t="shared" si="5"/>
        <v>0</v>
      </c>
    </row>
    <row r="27" spans="2:18" ht="15.6" customHeight="1">
      <c r="B27" s="188" t="s">
        <v>202</v>
      </c>
      <c r="C27" s="27">
        <v>483600</v>
      </c>
      <c r="D27" s="27" t="s">
        <v>137</v>
      </c>
      <c r="E27" s="244">
        <v>144626.62</v>
      </c>
      <c r="F27" s="255"/>
      <c r="G27" s="256"/>
      <c r="H27" s="255"/>
      <c r="I27" s="257"/>
      <c r="J27" s="31"/>
      <c r="K27" s="25" t="s">
        <v>13</v>
      </c>
      <c r="L27" s="275">
        <f t="shared" si="2"/>
        <v>0</v>
      </c>
      <c r="M27" s="207">
        <f t="shared" si="6"/>
        <v>0.35372999999999999</v>
      </c>
      <c r="N27" s="184">
        <f t="shared" si="3"/>
        <v>0</v>
      </c>
      <c r="O27" s="25" t="s">
        <v>14</v>
      </c>
      <c r="P27" s="275">
        <f t="shared" si="4"/>
        <v>0</v>
      </c>
      <c r="Q27" s="207">
        <f t="shared" si="7"/>
        <v>0.34877000000000002</v>
      </c>
      <c r="R27" s="184">
        <f t="shared" si="5"/>
        <v>0</v>
      </c>
    </row>
    <row r="28" spans="2:18" ht="15.6" customHeight="1" thickBot="1">
      <c r="B28" s="188" t="s">
        <v>203</v>
      </c>
      <c r="C28" s="27">
        <v>483730</v>
      </c>
      <c r="D28" s="27" t="s">
        <v>137</v>
      </c>
      <c r="E28" s="244">
        <v>-1344737.21</v>
      </c>
      <c r="F28" s="255"/>
      <c r="G28" s="256"/>
      <c r="H28" s="255"/>
      <c r="I28" s="257"/>
      <c r="J28" s="31"/>
      <c r="K28" s="25" t="s">
        <v>14</v>
      </c>
      <c r="L28" s="275">
        <f t="shared" si="2"/>
        <v>192768</v>
      </c>
      <c r="M28" s="207">
        <f t="shared" si="6"/>
        <v>0.35372999999999999</v>
      </c>
      <c r="N28" s="184">
        <f t="shared" si="3"/>
        <v>68187.824639999992</v>
      </c>
      <c r="O28" s="24" t="s">
        <v>31</v>
      </c>
      <c r="P28" s="149">
        <f>SUM(P23:P27)</f>
        <v>3029668</v>
      </c>
      <c r="Q28" s="150"/>
      <c r="R28" s="22">
        <f>SUM(R23:R27)</f>
        <v>1056657.3083599999</v>
      </c>
    </row>
    <row r="29" spans="2:18" ht="15.6" customHeight="1" thickTop="1" thickBot="1">
      <c r="B29" s="188" t="s">
        <v>204</v>
      </c>
      <c r="C29" s="27">
        <v>495028</v>
      </c>
      <c r="D29" s="27" t="s">
        <v>137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6094821</v>
      </c>
      <c r="M29" s="150"/>
      <c r="N29" s="157">
        <f>SUM(N23:N28)</f>
        <v>2155921.0323299998</v>
      </c>
      <c r="O29" s="24"/>
      <c r="P29" s="208">
        <v>3029668</v>
      </c>
      <c r="Q29" s="16"/>
      <c r="R29" s="154"/>
    </row>
    <row r="30" spans="2:18" ht="15.6" customHeight="1" thickTop="1">
      <c r="B30" s="188" t="s">
        <v>136</v>
      </c>
      <c r="C30" s="27">
        <v>495100</v>
      </c>
      <c r="D30" s="27" t="s">
        <v>137</v>
      </c>
      <c r="E30" s="244">
        <v>0</v>
      </c>
      <c r="F30" s="259"/>
      <c r="G30" s="260"/>
      <c r="H30" s="259"/>
      <c r="I30" s="261"/>
      <c r="J30" s="31"/>
      <c r="K30" s="15"/>
      <c r="L30" s="208">
        <v>6094821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32132.23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2305765.8800000004</v>
      </c>
      <c r="F32" s="262"/>
      <c r="G32" s="236">
        <f>E32*G8</f>
        <v>1540251.6078400004</v>
      </c>
      <c r="H32" s="146"/>
      <c r="I32" s="226">
        <f>E32*I8</f>
        <v>765514.27216000005</v>
      </c>
      <c r="J32" s="31"/>
    </row>
    <row r="33" spans="1:20" ht="15.6" customHeight="1">
      <c r="B33" s="188" t="s">
        <v>135</v>
      </c>
      <c r="C33" s="27">
        <v>495100</v>
      </c>
      <c r="D33" s="3" t="s">
        <v>142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122</v>
      </c>
      <c r="C34" s="27">
        <v>495100</v>
      </c>
      <c r="D34" s="3" t="s">
        <v>143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147</v>
      </c>
      <c r="Q34" s="1"/>
    </row>
    <row r="35" spans="1:20" ht="15.6" customHeight="1">
      <c r="B35" s="15" t="s">
        <v>144</v>
      </c>
      <c r="C35" s="27">
        <v>804000</v>
      </c>
      <c r="D35" s="3" t="s">
        <v>142</v>
      </c>
      <c r="E35" s="244">
        <v>344590.49</v>
      </c>
      <c r="F35" s="255"/>
      <c r="G35" s="236">
        <f>E35</f>
        <v>344590.49</v>
      </c>
      <c r="H35" s="146"/>
      <c r="I35" s="226"/>
      <c r="J35" s="31"/>
      <c r="K35" s="14" t="s">
        <v>149</v>
      </c>
      <c r="L35" s="147">
        <f>$F$39</f>
        <v>1577599.5063150001</v>
      </c>
      <c r="M35" s="147">
        <f>G39</f>
        <v>1884842.0978400004</v>
      </c>
      <c r="N35" s="147">
        <f>$H$39</f>
        <v>727147.76368500001</v>
      </c>
      <c r="O35" s="147">
        <f>I39</f>
        <v>931956.17216000007</v>
      </c>
      <c r="P35" s="220">
        <f>SUM(L35:O35)-E39</f>
        <v>0</v>
      </c>
      <c r="Q35" s="1"/>
    </row>
    <row r="36" spans="1:20" ht="15.6" customHeight="1" thickBot="1">
      <c r="B36" s="15" t="s">
        <v>145</v>
      </c>
      <c r="C36" s="27">
        <v>804000</v>
      </c>
      <c r="D36" s="3" t="s">
        <v>143</v>
      </c>
      <c r="E36" s="244">
        <v>166441.9</v>
      </c>
      <c r="F36" s="255"/>
      <c r="G36" s="236"/>
      <c r="H36" s="146"/>
      <c r="I36" s="226">
        <f>E36</f>
        <v>166441.9</v>
      </c>
      <c r="J36" s="31"/>
      <c r="K36" s="14" t="s">
        <v>152</v>
      </c>
      <c r="L36" s="209">
        <f>-$N$17</f>
        <v>-587354.45842000004</v>
      </c>
      <c r="M36" s="209">
        <f>-N29</f>
        <v>-2155921.0323299998</v>
      </c>
      <c r="N36" s="209">
        <f>-$R$15</f>
        <v>-278668.86264000001</v>
      </c>
      <c r="O36" s="209">
        <f>-R28</f>
        <v>-1056657.3083599999</v>
      </c>
      <c r="P36" s="220">
        <f>SUM(L36:O36)+N17+N29+R15+R28</f>
        <v>0</v>
      </c>
      <c r="Q36" s="1"/>
    </row>
    <row r="37" spans="1:20" ht="15.6" customHeight="1" thickBot="1">
      <c r="B37" s="197" t="s">
        <v>155</v>
      </c>
      <c r="C37" s="27"/>
      <c r="D37" s="3"/>
      <c r="E37" s="245">
        <f>SUM(E32:E36)</f>
        <v>2816798.27</v>
      </c>
      <c r="F37" s="237"/>
      <c r="G37" s="239"/>
      <c r="H37" s="237"/>
      <c r="I37" s="200"/>
      <c r="J37" s="31"/>
      <c r="K37" s="197" t="s">
        <v>150</v>
      </c>
      <c r="L37" s="152">
        <f t="shared" ref="L37:O37" si="8">SUM(L35:L36)</f>
        <v>990245.04789500008</v>
      </c>
      <c r="M37" s="152">
        <f>SUM(M35:M36)</f>
        <v>-271078.93448999943</v>
      </c>
      <c r="N37" s="152">
        <f t="shared" si="8"/>
        <v>448478.90104500001</v>
      </c>
      <c r="O37" s="152">
        <f t="shared" si="8"/>
        <v>-124701.13619999983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146</v>
      </c>
      <c r="C39" s="205"/>
      <c r="D39" s="205"/>
      <c r="E39" s="245">
        <f>E37+E14</f>
        <v>5121545.54</v>
      </c>
      <c r="F39" s="250">
        <f>SUM(F14:F37)</f>
        <v>1577599.5063150001</v>
      </c>
      <c r="G39" s="251">
        <f t="shared" ref="G39:I39" si="9">SUM(G14:G37)</f>
        <v>1884842.0978400004</v>
      </c>
      <c r="H39" s="250">
        <f t="shared" si="9"/>
        <v>727147.76368500001</v>
      </c>
      <c r="I39" s="206">
        <f t="shared" si="9"/>
        <v>931956.17216000007</v>
      </c>
      <c r="J39" s="31"/>
      <c r="K39" s="215"/>
      <c r="L39" s="218" t="s">
        <v>36</v>
      </c>
      <c r="M39" s="216">
        <f>SUM(L37:M37)</f>
        <v>719166.11340500065</v>
      </c>
      <c r="N39" s="219" t="s">
        <v>37</v>
      </c>
      <c r="O39" s="216">
        <f>SUM(N37:O37)</f>
        <v>323777.76484500017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157</v>
      </c>
      <c r="C41" s="265"/>
      <c r="D41" s="10" t="s">
        <v>156</v>
      </c>
      <c r="E41" s="274">
        <v>5121545.54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89" t="s">
        <v>148</v>
      </c>
      <c r="F45" s="290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6" thickBot="1">
      <c r="E47" s="224" t="e">
        <f>SUM('191010 WA DEF'!E84:E93)+SUM('191000 WA Amort'!H84:H93)+SUM(#REF!)+SUM(#REF!)-0.01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107" priority="27" operator="equal">
      <formula>"ERROR"</formula>
    </cfRule>
  </conditionalFormatting>
  <conditionalFormatting sqref="D43:D46">
    <cfRule type="cellIs" dxfId="106" priority="26" operator="equal">
      <formula>"ERROR"</formula>
    </cfRule>
  </conditionalFormatting>
  <conditionalFormatting sqref="P31">
    <cfRule type="cellIs" dxfId="105" priority="25" operator="notEqual">
      <formula>0</formula>
    </cfRule>
  </conditionalFormatting>
  <conditionalFormatting sqref="L19">
    <cfRule type="cellIs" dxfId="104" priority="23" stopIfTrue="1" operator="equal">
      <formula>0</formula>
    </cfRule>
    <cfRule type="cellIs" dxfId="103" priority="24" stopIfTrue="1" operator="notEqual">
      <formula>0</formula>
    </cfRule>
  </conditionalFormatting>
  <conditionalFormatting sqref="L19">
    <cfRule type="cellIs" dxfId="102" priority="21" stopIfTrue="1" operator="equal">
      <formula>0</formula>
    </cfRule>
    <cfRule type="cellIs" dxfId="101" priority="22" stopIfTrue="1" operator="notEqual">
      <formula>0</formula>
    </cfRule>
  </conditionalFormatting>
  <conditionalFormatting sqref="L31">
    <cfRule type="cellIs" dxfId="100" priority="19" stopIfTrue="1" operator="equal">
      <formula>0</formula>
    </cfRule>
    <cfRule type="cellIs" dxfId="99" priority="20" stopIfTrue="1" operator="notEqual">
      <formula>0</formula>
    </cfRule>
  </conditionalFormatting>
  <conditionalFormatting sqref="L31">
    <cfRule type="cellIs" dxfId="98" priority="17" stopIfTrue="1" operator="equal">
      <formula>0</formula>
    </cfRule>
    <cfRule type="cellIs" dxfId="97" priority="18" stopIfTrue="1" operator="notEqual">
      <formula>0</formula>
    </cfRule>
  </conditionalFormatting>
  <conditionalFormatting sqref="P17">
    <cfRule type="cellIs" dxfId="96" priority="15" stopIfTrue="1" operator="equal">
      <formula>0</formula>
    </cfRule>
    <cfRule type="cellIs" dxfId="95" priority="16" stopIfTrue="1" operator="notEqual">
      <formula>0</formula>
    </cfRule>
  </conditionalFormatting>
  <conditionalFormatting sqref="P17">
    <cfRule type="cellIs" dxfId="94" priority="13" stopIfTrue="1" operator="equal">
      <formula>0</formula>
    </cfRule>
    <cfRule type="cellIs" dxfId="93" priority="14" stopIfTrue="1" operator="notEqual">
      <formula>0</formula>
    </cfRule>
  </conditionalFormatting>
  <conditionalFormatting sqref="P30">
    <cfRule type="cellIs" dxfId="92" priority="11" stopIfTrue="1" operator="equal">
      <formula>0</formula>
    </cfRule>
    <cfRule type="cellIs" dxfId="91" priority="12" stopIfTrue="1" operator="notEqual">
      <formula>0</formula>
    </cfRule>
  </conditionalFormatting>
  <conditionalFormatting sqref="P30">
    <cfRule type="cellIs" dxfId="90" priority="9" stopIfTrue="1" operator="equal">
      <formula>0</formula>
    </cfRule>
    <cfRule type="cellIs" dxfId="89" priority="10" stopIfTrue="1" operator="notEqual">
      <formula>0</formula>
    </cfRule>
  </conditionalFormatting>
  <conditionalFormatting sqref="P35:P36">
    <cfRule type="cellIs" dxfId="88" priority="7" stopIfTrue="1" operator="equal">
      <formula>0</formula>
    </cfRule>
    <cfRule type="cellIs" dxfId="87" priority="8" stopIfTrue="1" operator="notEqual">
      <formula>0</formula>
    </cfRule>
  </conditionalFormatting>
  <conditionalFormatting sqref="P35:P36">
    <cfRule type="cellIs" dxfId="86" priority="5" stopIfTrue="1" operator="equal">
      <formula>0</formula>
    </cfRule>
    <cfRule type="cellIs" dxfId="85" priority="6" stopIfTrue="1" operator="notEqual">
      <formula>0</formula>
    </cfRule>
  </conditionalFormatting>
  <conditionalFormatting sqref="E42">
    <cfRule type="cellIs" dxfId="84" priority="3" stopIfTrue="1" operator="equal">
      <formula>0</formula>
    </cfRule>
    <cfRule type="cellIs" dxfId="83" priority="4" stopIfTrue="1" operator="notEqual">
      <formula>0</formula>
    </cfRule>
  </conditionalFormatting>
  <conditionalFormatting sqref="E42">
    <cfRule type="cellIs" dxfId="82" priority="1" stopIfTrue="1" operator="equal">
      <formula>0</formula>
    </cfRule>
    <cfRule type="cellIs" dxfId="81" priority="2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C3EC-49EE-4204-842E-BC049012DEBA}">
  <sheetPr>
    <pageSetUpPr fitToPage="1"/>
  </sheetPr>
  <dimension ref="A1:T1396"/>
  <sheetViews>
    <sheetView zoomScale="60" zoomScaleNormal="60" workbookViewId="0">
      <selection activeCell="E48" sqref="E48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25.109375" style="7" customWidth="1"/>
    <col min="6" max="6" width="18.33203125" style="31" bestFit="1" customWidth="1"/>
    <col min="7" max="7" width="19.6640625" style="31" bestFit="1" customWidth="1"/>
    <col min="8" max="9" width="18.33203125" style="31" bestFit="1" customWidth="1"/>
    <col min="10" max="10" width="4.88671875" style="30" bestFit="1" customWidth="1"/>
    <col min="11" max="11" width="22.33203125" style="30" bestFit="1" customWidth="1"/>
    <col min="12" max="12" width="17.5546875" style="30" bestFit="1" customWidth="1"/>
    <col min="13" max="13" width="17.6640625" style="30" customWidth="1"/>
    <col min="14" max="14" width="17.5546875" style="30" bestFit="1" customWidth="1"/>
    <col min="15" max="15" width="19.109375" style="30" bestFit="1" customWidth="1"/>
    <col min="16" max="17" width="17.6640625" style="30" customWidth="1"/>
    <col min="18" max="18" width="15.6640625" style="30" bestFit="1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7.399999999999999">
      <c r="B1" s="189" t="s">
        <v>153</v>
      </c>
      <c r="C1" s="190">
        <v>202306</v>
      </c>
      <c r="D1" s="273"/>
      <c r="E1" s="139"/>
      <c r="F1" s="139"/>
      <c r="G1" s="139"/>
      <c r="H1" s="139"/>
      <c r="I1" s="139"/>
      <c r="K1" s="185" t="s">
        <v>138</v>
      </c>
      <c r="L1" s="191" t="s">
        <v>139</v>
      </c>
      <c r="N1" s="291"/>
      <c r="O1" s="291"/>
      <c r="T1" s="270" t="s">
        <v>158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140</v>
      </c>
      <c r="N2" s="268"/>
      <c r="O2" s="268"/>
      <c r="T2" s="271" t="s">
        <v>159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160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161</v>
      </c>
    </row>
    <row r="5" spans="2:20" ht="15.6" customHeight="1" thickBot="1">
      <c r="B5" s="194"/>
      <c r="C5" s="13"/>
      <c r="D5" s="13"/>
      <c r="E5" s="249" t="s">
        <v>17</v>
      </c>
      <c r="F5" s="292" t="s">
        <v>32</v>
      </c>
      <c r="G5" s="293"/>
      <c r="H5" s="292" t="s">
        <v>33</v>
      </c>
      <c r="I5" s="294"/>
      <c r="J5" s="31"/>
      <c r="K5" s="295" t="s">
        <v>32</v>
      </c>
      <c r="L5" s="296"/>
      <c r="M5" s="296"/>
      <c r="N5" s="297"/>
      <c r="O5" s="295" t="s">
        <v>33</v>
      </c>
      <c r="P5" s="296"/>
      <c r="Q5" s="296"/>
      <c r="R5" s="297"/>
      <c r="T5" s="271" t="s">
        <v>162</v>
      </c>
    </row>
    <row r="6" spans="2:20" ht="15.6" customHeight="1" thickBot="1">
      <c r="B6" s="195" t="s">
        <v>18</v>
      </c>
      <c r="C6" s="3"/>
      <c r="D6" s="3"/>
      <c r="E6" s="242" t="s">
        <v>151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163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164</v>
      </c>
    </row>
    <row r="8" spans="2:20" ht="15.6" customHeight="1">
      <c r="B8" s="14"/>
      <c r="C8" s="3"/>
      <c r="D8" s="3"/>
      <c r="E8" s="263">
        <f>F8+H8</f>
        <v>1</v>
      </c>
      <c r="F8" s="233">
        <v>0.6845</v>
      </c>
      <c r="G8" s="234">
        <f>ROUND($L$29/($L$29+$P$28),4)</f>
        <v>0.64710000000000001</v>
      </c>
      <c r="H8" s="233">
        <v>0.3155</v>
      </c>
      <c r="I8" s="196">
        <f>1-G8</f>
        <v>0.35289999999999999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165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205</v>
      </c>
      <c r="C10" s="27">
        <v>804001</v>
      </c>
      <c r="D10" s="27" t="s">
        <v>137</v>
      </c>
      <c r="E10" s="244">
        <v>2275110.2999999998</v>
      </c>
      <c r="F10" s="235"/>
      <c r="G10" s="236"/>
      <c r="H10" s="235"/>
      <c r="I10" s="226"/>
      <c r="J10" s="31"/>
      <c r="K10" s="25" t="s">
        <v>10</v>
      </c>
      <c r="L10" s="283">
        <v>2359733</v>
      </c>
      <c r="M10" s="207">
        <v>0.10111000000000001</v>
      </c>
      <c r="N10" s="184">
        <f t="shared" ref="N10:N16" si="0">L10*M10</f>
        <v>238592.60363000003</v>
      </c>
      <c r="O10" s="25" t="s">
        <v>10</v>
      </c>
      <c r="P10" s="283">
        <v>1270890</v>
      </c>
      <c r="Q10" s="207">
        <v>9.1980000000000006E-2</v>
      </c>
      <c r="R10" s="184">
        <f>P10*Q10</f>
        <v>116896.46220000001</v>
      </c>
    </row>
    <row r="11" spans="2:20" ht="15.6" customHeight="1" thickBot="1">
      <c r="B11" s="188" t="s">
        <v>206</v>
      </c>
      <c r="C11" s="27">
        <v>804002</v>
      </c>
      <c r="D11" s="27" t="s">
        <v>137</v>
      </c>
      <c r="E11" s="244">
        <v>30985.52</v>
      </c>
      <c r="F11" s="235"/>
      <c r="G11" s="236"/>
      <c r="H11" s="235"/>
      <c r="I11" s="226"/>
      <c r="J11" s="31"/>
      <c r="K11" s="25" t="s">
        <v>42</v>
      </c>
      <c r="L11" s="283">
        <v>6675</v>
      </c>
      <c r="M11" s="207">
        <v>0.10111000000000001</v>
      </c>
      <c r="N11" s="184">
        <f t="shared" si="0"/>
        <v>674.90925000000004</v>
      </c>
      <c r="O11" s="25" t="s">
        <v>11</v>
      </c>
      <c r="P11" s="283">
        <v>1291787</v>
      </c>
      <c r="Q11" s="207">
        <f>Q10</f>
        <v>9.1980000000000006E-2</v>
      </c>
      <c r="R11" s="184">
        <f>P11*Q11</f>
        <v>118818.56826000001</v>
      </c>
    </row>
    <row r="12" spans="2:20" ht="15.6" customHeight="1" thickBot="1">
      <c r="B12" s="197" t="s">
        <v>141</v>
      </c>
      <c r="C12" s="6"/>
      <c r="D12" s="6"/>
      <c r="E12" s="245">
        <f>SUM(E10:E11)</f>
        <v>2306095.8199999998</v>
      </c>
      <c r="F12" s="237"/>
      <c r="G12" s="238"/>
      <c r="H12" s="237"/>
      <c r="I12" s="227"/>
      <c r="J12" s="31"/>
      <c r="K12" s="25" t="s">
        <v>11</v>
      </c>
      <c r="L12" s="283">
        <v>2149480</v>
      </c>
      <c r="M12" s="207">
        <v>9.2460000000000001E-2</v>
      </c>
      <c r="N12" s="184">
        <f t="shared" si="0"/>
        <v>198740.92079999999</v>
      </c>
      <c r="O12" s="25" t="s">
        <v>12</v>
      </c>
      <c r="P12" s="283">
        <v>0</v>
      </c>
      <c r="Q12" s="207">
        <f t="shared" ref="Q12:Q14" si="1">Q11</f>
        <v>9.1980000000000006E-2</v>
      </c>
      <c r="R12" s="184">
        <f>P12*Q12</f>
        <v>0</v>
      </c>
    </row>
    <row r="13" spans="2:20" ht="15.6" customHeight="1" thickBot="1">
      <c r="B13" s="198" t="s">
        <v>25</v>
      </c>
      <c r="C13" s="1"/>
      <c r="D13" s="1"/>
      <c r="E13" s="246">
        <f>-E11</f>
        <v>-30985.52</v>
      </c>
      <c r="F13" s="235"/>
      <c r="G13" s="236"/>
      <c r="H13" s="235"/>
      <c r="I13" s="226"/>
      <c r="J13" s="31"/>
      <c r="K13" s="25" t="s">
        <v>12</v>
      </c>
      <c r="L13" s="283">
        <v>33226</v>
      </c>
      <c r="M13" s="207">
        <v>9.2460000000000001E-2</v>
      </c>
      <c r="N13" s="184">
        <f t="shared" si="0"/>
        <v>3072.0759600000001</v>
      </c>
      <c r="O13" s="25" t="s">
        <v>13</v>
      </c>
      <c r="P13" s="283">
        <v>0</v>
      </c>
      <c r="Q13" s="207">
        <f t="shared" si="1"/>
        <v>9.1980000000000006E-2</v>
      </c>
      <c r="R13" s="184">
        <f>P13*Q13</f>
        <v>0</v>
      </c>
    </row>
    <row r="14" spans="2:20" ht="15.6" customHeight="1" thickBot="1">
      <c r="B14" s="197" t="s">
        <v>154</v>
      </c>
      <c r="C14" s="199"/>
      <c r="D14" s="199"/>
      <c r="E14" s="245">
        <f>SUM(E12:E13)</f>
        <v>2275110.2999999998</v>
      </c>
      <c r="F14" s="252">
        <f>E14*F8</f>
        <v>1557313.0003499999</v>
      </c>
      <c r="G14" s="253"/>
      <c r="H14" s="252">
        <f>E14*H8</f>
        <v>717797.29964999994</v>
      </c>
      <c r="I14" s="254"/>
      <c r="J14" s="31"/>
      <c r="K14" s="25" t="s">
        <v>13</v>
      </c>
      <c r="L14" s="283">
        <v>0</v>
      </c>
      <c r="M14" s="207">
        <v>5.9560000000000002E-2</v>
      </c>
      <c r="N14" s="184">
        <f t="shared" si="0"/>
        <v>0</v>
      </c>
      <c r="O14" s="25" t="s">
        <v>14</v>
      </c>
      <c r="P14" s="283">
        <v>0</v>
      </c>
      <c r="Q14" s="207">
        <f t="shared" si="1"/>
        <v>9.1980000000000006E-2</v>
      </c>
      <c r="R14" s="184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3">
        <v>149592</v>
      </c>
      <c r="M15" s="207">
        <v>5.9560000000000002E-2</v>
      </c>
      <c r="N15" s="184">
        <f t="shared" si="0"/>
        <v>8909.6995200000001</v>
      </c>
      <c r="O15" s="24" t="s">
        <v>29</v>
      </c>
      <c r="P15" s="149">
        <f>SUM(P10:P14)</f>
        <v>2562677</v>
      </c>
      <c r="Q15" s="150"/>
      <c r="R15" s="22">
        <f>SUM(R10:R14)</f>
        <v>235715.03046000004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3">
        <v>2020848</v>
      </c>
      <c r="M16" s="207">
        <v>5.4000000000000001E-4</v>
      </c>
      <c r="N16" s="184">
        <f t="shared" si="0"/>
        <v>1091.25792</v>
      </c>
      <c r="O16" s="25"/>
      <c r="P16" s="208">
        <v>2562677</v>
      </c>
      <c r="Q16" s="16"/>
      <c r="R16" s="151"/>
    </row>
    <row r="17" spans="2:18" ht="15.6" customHeight="1" thickBot="1">
      <c r="B17" s="188" t="s">
        <v>192</v>
      </c>
      <c r="C17" s="27">
        <v>804000</v>
      </c>
      <c r="D17" s="27" t="s">
        <v>137</v>
      </c>
      <c r="E17" s="244">
        <v>9200957.6099999994</v>
      </c>
      <c r="F17" s="258"/>
      <c r="G17" s="256"/>
      <c r="H17" s="255"/>
      <c r="I17" s="257"/>
      <c r="J17" s="31"/>
      <c r="K17" s="24" t="s">
        <v>29</v>
      </c>
      <c r="L17" s="149">
        <f>SUM(L10:L16)</f>
        <v>6719554</v>
      </c>
      <c r="M17" s="4"/>
      <c r="N17" s="22">
        <f>SUM(N10:N16)</f>
        <v>451081.46708000003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193</v>
      </c>
      <c r="C18" s="27">
        <v>804010</v>
      </c>
      <c r="D18" s="27" t="s">
        <v>137</v>
      </c>
      <c r="E18" s="244">
        <v>-57587.12</v>
      </c>
      <c r="F18" s="255"/>
      <c r="G18" s="256"/>
      <c r="H18" s="255"/>
      <c r="I18" s="257"/>
      <c r="J18" s="31"/>
      <c r="K18" s="15"/>
      <c r="L18" s="208">
        <v>6719554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194</v>
      </c>
      <c r="C19" s="27">
        <v>804017</v>
      </c>
      <c r="D19" s="27" t="s">
        <v>137</v>
      </c>
      <c r="E19" s="244">
        <v>26869.84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195</v>
      </c>
      <c r="C20" s="27">
        <v>804018</v>
      </c>
      <c r="D20" s="27" t="s">
        <v>137</v>
      </c>
      <c r="E20" s="244">
        <v>14943.58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196</v>
      </c>
      <c r="C21" s="27">
        <v>804600</v>
      </c>
      <c r="D21" s="27" t="s">
        <v>137</v>
      </c>
      <c r="E21" s="244">
        <v>1044489.34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197</v>
      </c>
      <c r="C22" s="27">
        <v>804730</v>
      </c>
      <c r="D22" s="27" t="s">
        <v>137</v>
      </c>
      <c r="E22" s="244">
        <v>466196.22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198</v>
      </c>
      <c r="C23" s="27">
        <v>808100</v>
      </c>
      <c r="D23" s="27" t="s">
        <v>137</v>
      </c>
      <c r="E23" s="244">
        <v>1625.17</v>
      </c>
      <c r="F23" s="255"/>
      <c r="G23" s="256"/>
      <c r="H23" s="255"/>
      <c r="I23" s="257"/>
      <c r="J23" s="31"/>
      <c r="K23" s="25" t="s">
        <v>10</v>
      </c>
      <c r="L23" s="275">
        <f>+L10</f>
        <v>2359733</v>
      </c>
      <c r="M23" s="207">
        <v>0.35372999999999999</v>
      </c>
      <c r="N23" s="184">
        <f>L23*M23</f>
        <v>834708.35408999992</v>
      </c>
      <c r="O23" s="25" t="s">
        <v>10</v>
      </c>
      <c r="P23" s="275">
        <f>+P10</f>
        <v>1270890</v>
      </c>
      <c r="Q23" s="207">
        <v>0.34877000000000002</v>
      </c>
      <c r="R23" s="184">
        <f>P23*Q23</f>
        <v>443248.30530000001</v>
      </c>
    </row>
    <row r="24" spans="2:18" ht="15.6" customHeight="1">
      <c r="B24" s="188" t="s">
        <v>199</v>
      </c>
      <c r="C24" s="27">
        <v>808200</v>
      </c>
      <c r="D24" s="27" t="s">
        <v>137</v>
      </c>
      <c r="E24" s="244">
        <v>-4950950.87</v>
      </c>
      <c r="F24" s="255"/>
      <c r="G24" s="256"/>
      <c r="H24" s="255"/>
      <c r="I24" s="257"/>
      <c r="J24" s="31"/>
      <c r="K24" s="25" t="s">
        <v>42</v>
      </c>
      <c r="L24" s="275">
        <f t="shared" ref="L24:L28" si="2">+L11</f>
        <v>6675</v>
      </c>
      <c r="M24" s="207">
        <f>M23</f>
        <v>0.35372999999999999</v>
      </c>
      <c r="N24" s="184">
        <f t="shared" ref="N24:N28" si="3">L24*M24</f>
        <v>2361.1477500000001</v>
      </c>
      <c r="O24" s="25" t="s">
        <v>11</v>
      </c>
      <c r="P24" s="275">
        <f t="shared" ref="P24:P27" si="4">+P11</f>
        <v>1291787</v>
      </c>
      <c r="Q24" s="207">
        <f>Q23</f>
        <v>0.34877000000000002</v>
      </c>
      <c r="R24" s="184">
        <f t="shared" ref="R24:R27" si="5">P24*Q24</f>
        <v>450536.55199000001</v>
      </c>
    </row>
    <row r="25" spans="2:18" ht="15.6" customHeight="1">
      <c r="B25" s="188" t="s">
        <v>200</v>
      </c>
      <c r="C25" s="27">
        <v>811000</v>
      </c>
      <c r="D25" s="27" t="s">
        <v>137</v>
      </c>
      <c r="E25" s="244">
        <v>-7216.96</v>
      </c>
      <c r="F25" s="255"/>
      <c r="G25" s="256"/>
      <c r="H25" s="255"/>
      <c r="I25" s="257"/>
      <c r="J25" s="31"/>
      <c r="K25" s="25" t="s">
        <v>11</v>
      </c>
      <c r="L25" s="275">
        <f t="shared" si="2"/>
        <v>2149480</v>
      </c>
      <c r="M25" s="207">
        <f t="shared" ref="M25:M28" si="6">M24</f>
        <v>0.35372999999999999</v>
      </c>
      <c r="N25" s="184">
        <f t="shared" si="3"/>
        <v>760335.56039999996</v>
      </c>
      <c r="O25" s="25" t="s">
        <v>12</v>
      </c>
      <c r="P25" s="275">
        <f t="shared" si="4"/>
        <v>0</v>
      </c>
      <c r="Q25" s="207">
        <f t="shared" ref="Q25:Q27" si="7">Q24</f>
        <v>0.34877000000000002</v>
      </c>
      <c r="R25" s="184">
        <f t="shared" si="5"/>
        <v>0</v>
      </c>
    </row>
    <row r="26" spans="2:18" ht="15.6" customHeight="1">
      <c r="B26" s="188" t="s">
        <v>201</v>
      </c>
      <c r="C26" s="27">
        <v>483000</v>
      </c>
      <c r="D26" s="27" t="s">
        <v>137</v>
      </c>
      <c r="E26" s="244">
        <v>-1035730.13</v>
      </c>
      <c r="F26" s="258"/>
      <c r="G26" s="256"/>
      <c r="H26" s="255"/>
      <c r="I26" s="257"/>
      <c r="J26" s="31"/>
      <c r="K26" s="25" t="s">
        <v>12</v>
      </c>
      <c r="L26" s="275">
        <f t="shared" si="2"/>
        <v>33226</v>
      </c>
      <c r="M26" s="207">
        <f t="shared" si="6"/>
        <v>0.35372999999999999</v>
      </c>
      <c r="N26" s="184">
        <f t="shared" si="3"/>
        <v>11753.03298</v>
      </c>
      <c r="O26" s="25" t="s">
        <v>13</v>
      </c>
      <c r="P26" s="275">
        <f t="shared" si="4"/>
        <v>0</v>
      </c>
      <c r="Q26" s="207">
        <f t="shared" si="7"/>
        <v>0.34877000000000002</v>
      </c>
      <c r="R26" s="184">
        <f t="shared" si="5"/>
        <v>0</v>
      </c>
    </row>
    <row r="27" spans="2:18" ht="15.6" customHeight="1">
      <c r="B27" s="188" t="s">
        <v>202</v>
      </c>
      <c r="C27" s="27">
        <v>483600</v>
      </c>
      <c r="D27" s="27" t="s">
        <v>137</v>
      </c>
      <c r="E27" s="244">
        <v>53257.5</v>
      </c>
      <c r="F27" s="255"/>
      <c r="G27" s="256"/>
      <c r="H27" s="255"/>
      <c r="I27" s="257"/>
      <c r="J27" s="31"/>
      <c r="K27" s="25" t="s">
        <v>13</v>
      </c>
      <c r="L27" s="275">
        <f t="shared" si="2"/>
        <v>0</v>
      </c>
      <c r="M27" s="207">
        <f t="shared" si="6"/>
        <v>0.35372999999999999</v>
      </c>
      <c r="N27" s="184">
        <f t="shared" si="3"/>
        <v>0</v>
      </c>
      <c r="O27" s="25" t="s">
        <v>14</v>
      </c>
      <c r="P27" s="275">
        <f t="shared" si="4"/>
        <v>0</v>
      </c>
      <c r="Q27" s="207">
        <f t="shared" si="7"/>
        <v>0.34877000000000002</v>
      </c>
      <c r="R27" s="184">
        <f t="shared" si="5"/>
        <v>0</v>
      </c>
    </row>
    <row r="28" spans="2:18" ht="15.6" customHeight="1" thickBot="1">
      <c r="B28" s="188" t="s">
        <v>203</v>
      </c>
      <c r="C28" s="27">
        <v>483730</v>
      </c>
      <c r="D28" s="27" t="s">
        <v>137</v>
      </c>
      <c r="E28" s="244">
        <v>-2316818.4</v>
      </c>
      <c r="F28" s="255"/>
      <c r="G28" s="256"/>
      <c r="H28" s="255"/>
      <c r="I28" s="257"/>
      <c r="J28" s="31"/>
      <c r="K28" s="25" t="s">
        <v>14</v>
      </c>
      <c r="L28" s="275">
        <f t="shared" si="2"/>
        <v>149592</v>
      </c>
      <c r="M28" s="207">
        <f t="shared" si="6"/>
        <v>0.35372999999999999</v>
      </c>
      <c r="N28" s="184">
        <f t="shared" si="3"/>
        <v>52915.178159999996</v>
      </c>
      <c r="O28" s="24" t="s">
        <v>31</v>
      </c>
      <c r="P28" s="149">
        <f>SUM(P23:P27)</f>
        <v>2562677</v>
      </c>
      <c r="Q28" s="150"/>
      <c r="R28" s="22">
        <f>SUM(R23:R27)</f>
        <v>893784.85728999996</v>
      </c>
    </row>
    <row r="29" spans="2:18" ht="15.6" customHeight="1" thickTop="1" thickBot="1">
      <c r="B29" s="188" t="s">
        <v>204</v>
      </c>
      <c r="C29" s="27">
        <v>495028</v>
      </c>
      <c r="D29" s="27" t="s">
        <v>137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4698706</v>
      </c>
      <c r="M29" s="150"/>
      <c r="N29" s="157">
        <f>SUM(N23:N28)</f>
        <v>1662073.2733799997</v>
      </c>
      <c r="O29" s="24"/>
      <c r="P29" s="208">
        <v>2562677</v>
      </c>
      <c r="Q29" s="16"/>
      <c r="R29" s="154"/>
    </row>
    <row r="30" spans="2:18" ht="15.6" customHeight="1" thickTop="1">
      <c r="B30" s="188" t="s">
        <v>136</v>
      </c>
      <c r="C30" s="27">
        <v>495100</v>
      </c>
      <c r="D30" s="27" t="s">
        <v>137</v>
      </c>
      <c r="E30" s="244">
        <v>0</v>
      </c>
      <c r="F30" s="259"/>
      <c r="G30" s="260"/>
      <c r="H30" s="259"/>
      <c r="I30" s="261"/>
      <c r="J30" s="31"/>
      <c r="K30" s="15"/>
      <c r="L30" s="208">
        <v>4698706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30985.52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2002271.3000000007</v>
      </c>
      <c r="F32" s="262"/>
      <c r="G32" s="236">
        <f>E32*G8</f>
        <v>1295669.7582300005</v>
      </c>
      <c r="H32" s="146"/>
      <c r="I32" s="226">
        <f>E32*I8</f>
        <v>706601.54177000024</v>
      </c>
      <c r="J32" s="31"/>
    </row>
    <row r="33" spans="1:20" ht="15.6" customHeight="1">
      <c r="B33" s="188" t="s">
        <v>135</v>
      </c>
      <c r="C33" s="27">
        <v>495100</v>
      </c>
      <c r="D33" s="3" t="s">
        <v>142</v>
      </c>
      <c r="E33" s="244">
        <v>-6313</v>
      </c>
      <c r="F33" s="259"/>
      <c r="G33" s="236">
        <f>E33</f>
        <v>-6313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122</v>
      </c>
      <c r="C34" s="27">
        <v>495100</v>
      </c>
      <c r="D34" s="3" t="s">
        <v>143</v>
      </c>
      <c r="E34" s="244">
        <v>-1170</v>
      </c>
      <c r="F34" s="259"/>
      <c r="G34" s="236"/>
      <c r="H34" s="146"/>
      <c r="I34" s="226">
        <f>E34</f>
        <v>-1170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147</v>
      </c>
      <c r="Q34" s="1"/>
    </row>
    <row r="35" spans="1:20" ht="15.6" customHeight="1">
      <c r="B35" s="15" t="s">
        <v>144</v>
      </c>
      <c r="C35" s="27">
        <v>804000</v>
      </c>
      <c r="D35" s="3" t="s">
        <v>142</v>
      </c>
      <c r="E35" s="244">
        <v>-93923.45</v>
      </c>
      <c r="F35" s="255"/>
      <c r="G35" s="236">
        <f>E35</f>
        <v>-93923.45</v>
      </c>
      <c r="H35" s="146"/>
      <c r="I35" s="226"/>
      <c r="J35" s="31"/>
      <c r="K35" s="14" t="s">
        <v>149</v>
      </c>
      <c r="L35" s="147">
        <f>$F$39</f>
        <v>1557313.0003499999</v>
      </c>
      <c r="M35" s="147">
        <f>G39</f>
        <v>1195433.3082300005</v>
      </c>
      <c r="N35" s="147">
        <f>$H$39</f>
        <v>717797.29964999994</v>
      </c>
      <c r="O35" s="147">
        <f>I39</f>
        <v>654124.82177000027</v>
      </c>
      <c r="P35" s="220">
        <f>SUM(L35:O35)-E39</f>
        <v>0</v>
      </c>
      <c r="Q35" s="1"/>
    </row>
    <row r="36" spans="1:20" ht="15.6" customHeight="1" thickBot="1">
      <c r="B36" s="15" t="s">
        <v>145</v>
      </c>
      <c r="C36" s="27">
        <v>804000</v>
      </c>
      <c r="D36" s="3" t="s">
        <v>143</v>
      </c>
      <c r="E36" s="244">
        <v>-51306.720000000001</v>
      </c>
      <c r="F36" s="255"/>
      <c r="G36" s="236"/>
      <c r="H36" s="146"/>
      <c r="I36" s="226">
        <f>E36</f>
        <v>-51306.720000000001</v>
      </c>
      <c r="J36" s="31"/>
      <c r="K36" s="14" t="s">
        <v>152</v>
      </c>
      <c r="L36" s="209">
        <f>-$N$17</f>
        <v>-451081.46708000003</v>
      </c>
      <c r="M36" s="209">
        <f>-N29</f>
        <v>-1662073.2733799997</v>
      </c>
      <c r="N36" s="209">
        <f>-$R$15</f>
        <v>-235715.03046000004</v>
      </c>
      <c r="O36" s="209">
        <f>-R28</f>
        <v>-893784.85728999996</v>
      </c>
      <c r="P36" s="220">
        <f>SUM(L36:O36)+N17+N29+R15+R28</f>
        <v>0</v>
      </c>
      <c r="Q36" s="1"/>
    </row>
    <row r="37" spans="1:20" ht="15.6" customHeight="1" thickBot="1">
      <c r="B37" s="197" t="s">
        <v>155</v>
      </c>
      <c r="C37" s="27"/>
      <c r="D37" s="3"/>
      <c r="E37" s="245">
        <f>SUM(E32:E36)</f>
        <v>1849558.1300000008</v>
      </c>
      <c r="F37" s="237"/>
      <c r="G37" s="239"/>
      <c r="H37" s="237"/>
      <c r="I37" s="200"/>
      <c r="J37" s="31"/>
      <c r="K37" s="197" t="s">
        <v>150</v>
      </c>
      <c r="L37" s="152">
        <f t="shared" ref="L37:O37" si="8">SUM(L35:L36)</f>
        <v>1106231.5332699998</v>
      </c>
      <c r="M37" s="152">
        <f>SUM(M35:M36)</f>
        <v>-466639.96514999913</v>
      </c>
      <c r="N37" s="152">
        <f t="shared" si="8"/>
        <v>482082.2691899999</v>
      </c>
      <c r="O37" s="152">
        <f t="shared" si="8"/>
        <v>-239660.03551999968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146</v>
      </c>
      <c r="C39" s="205"/>
      <c r="D39" s="205"/>
      <c r="E39" s="245">
        <f>E37+E14</f>
        <v>4124668.4300000006</v>
      </c>
      <c r="F39" s="250">
        <f>SUM(F14:F37)</f>
        <v>1557313.0003499999</v>
      </c>
      <c r="G39" s="251">
        <f t="shared" ref="G39:I39" si="9">SUM(G14:G37)</f>
        <v>1195433.3082300005</v>
      </c>
      <c r="H39" s="250">
        <f t="shared" si="9"/>
        <v>717797.29964999994</v>
      </c>
      <c r="I39" s="206">
        <f t="shared" si="9"/>
        <v>654124.82177000027</v>
      </c>
      <c r="J39" s="31"/>
      <c r="K39" s="215"/>
      <c r="L39" s="218" t="s">
        <v>36</v>
      </c>
      <c r="M39" s="216">
        <f>SUM(L37:M37)</f>
        <v>639591.56812000065</v>
      </c>
      <c r="N39" s="219" t="s">
        <v>37</v>
      </c>
      <c r="O39" s="216">
        <f>SUM(N37:O37)</f>
        <v>242422.23367000022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157</v>
      </c>
      <c r="C41" s="265"/>
      <c r="D41" s="10" t="s">
        <v>156</v>
      </c>
      <c r="E41" s="274">
        <v>4124668.43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89" t="s">
        <v>148</v>
      </c>
      <c r="F45" s="290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6" thickBot="1">
      <c r="E47" s="224" t="e">
        <f>SUM('191010 WA DEF'!E84:E93)+SUM('191000 WA Amort'!H84:H93)+SUM(#REF!)+SUM(#REF!)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80" priority="27" operator="equal">
      <formula>"ERROR"</formula>
    </cfRule>
  </conditionalFormatting>
  <conditionalFormatting sqref="D43:D46">
    <cfRule type="cellIs" dxfId="79" priority="26" operator="equal">
      <formula>"ERROR"</formula>
    </cfRule>
  </conditionalFormatting>
  <conditionalFormatting sqref="P31">
    <cfRule type="cellIs" dxfId="78" priority="25" operator="notEqual">
      <formula>0</formula>
    </cfRule>
  </conditionalFormatting>
  <conditionalFormatting sqref="L19">
    <cfRule type="cellIs" dxfId="77" priority="23" stopIfTrue="1" operator="equal">
      <formula>0</formula>
    </cfRule>
    <cfRule type="cellIs" dxfId="76" priority="24" stopIfTrue="1" operator="notEqual">
      <formula>0</formula>
    </cfRule>
  </conditionalFormatting>
  <conditionalFormatting sqref="L19">
    <cfRule type="cellIs" dxfId="75" priority="21" stopIfTrue="1" operator="equal">
      <formula>0</formula>
    </cfRule>
    <cfRule type="cellIs" dxfId="74" priority="22" stopIfTrue="1" operator="notEqual">
      <formula>0</formula>
    </cfRule>
  </conditionalFormatting>
  <conditionalFormatting sqref="L31">
    <cfRule type="cellIs" dxfId="73" priority="19" stopIfTrue="1" operator="equal">
      <formula>0</formula>
    </cfRule>
    <cfRule type="cellIs" dxfId="72" priority="20" stopIfTrue="1" operator="notEqual">
      <formula>0</formula>
    </cfRule>
  </conditionalFormatting>
  <conditionalFormatting sqref="L31">
    <cfRule type="cellIs" dxfId="71" priority="17" stopIfTrue="1" operator="equal">
      <formula>0</formula>
    </cfRule>
    <cfRule type="cellIs" dxfId="70" priority="18" stopIfTrue="1" operator="notEqual">
      <formula>0</formula>
    </cfRule>
  </conditionalFormatting>
  <conditionalFormatting sqref="P17">
    <cfRule type="cellIs" dxfId="69" priority="15" stopIfTrue="1" operator="equal">
      <formula>0</formula>
    </cfRule>
    <cfRule type="cellIs" dxfId="68" priority="16" stopIfTrue="1" operator="notEqual">
      <formula>0</formula>
    </cfRule>
  </conditionalFormatting>
  <conditionalFormatting sqref="P17">
    <cfRule type="cellIs" dxfId="67" priority="13" stopIfTrue="1" operator="equal">
      <formula>0</formula>
    </cfRule>
    <cfRule type="cellIs" dxfId="66" priority="14" stopIfTrue="1" operator="notEqual">
      <formula>0</formula>
    </cfRule>
  </conditionalFormatting>
  <conditionalFormatting sqref="P30">
    <cfRule type="cellIs" dxfId="65" priority="11" stopIfTrue="1" operator="equal">
      <formula>0</formula>
    </cfRule>
    <cfRule type="cellIs" dxfId="64" priority="12" stopIfTrue="1" operator="notEqual">
      <formula>0</formula>
    </cfRule>
  </conditionalFormatting>
  <conditionalFormatting sqref="P30">
    <cfRule type="cellIs" dxfId="63" priority="9" stopIfTrue="1" operator="equal">
      <formula>0</formula>
    </cfRule>
    <cfRule type="cellIs" dxfId="62" priority="10" stopIfTrue="1" operator="notEqual">
      <formula>0</formula>
    </cfRule>
  </conditionalFormatting>
  <conditionalFormatting sqref="P35:P36">
    <cfRule type="cellIs" dxfId="61" priority="7" stopIfTrue="1" operator="equal">
      <formula>0</formula>
    </cfRule>
    <cfRule type="cellIs" dxfId="60" priority="8" stopIfTrue="1" operator="notEqual">
      <formula>0</formula>
    </cfRule>
  </conditionalFormatting>
  <conditionalFormatting sqref="P35:P36">
    <cfRule type="cellIs" dxfId="59" priority="5" stopIfTrue="1" operator="equal">
      <formula>0</formula>
    </cfRule>
    <cfRule type="cellIs" dxfId="58" priority="6" stopIfTrue="1" operator="notEqual">
      <formula>0</formula>
    </cfRule>
  </conditionalFormatting>
  <conditionalFormatting sqref="E42">
    <cfRule type="cellIs" dxfId="57" priority="3" stopIfTrue="1" operator="equal">
      <formula>0</formula>
    </cfRule>
    <cfRule type="cellIs" dxfId="56" priority="4" stopIfTrue="1" operator="notEqual">
      <formula>0</formula>
    </cfRule>
  </conditionalFormatting>
  <conditionalFormatting sqref="E42">
    <cfRule type="cellIs" dxfId="55" priority="1" stopIfTrue="1" operator="equal">
      <formula>0</formula>
    </cfRule>
    <cfRule type="cellIs" dxfId="54" priority="2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1829-DA7B-4559-BB24-5BAC5352695A}">
  <sheetPr>
    <pageSetUpPr fitToPage="1"/>
  </sheetPr>
  <dimension ref="A1:T1396"/>
  <sheetViews>
    <sheetView zoomScale="60" zoomScaleNormal="60" workbookViewId="0">
      <selection activeCell="P30" sqref="P30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25.109375" style="7" customWidth="1"/>
    <col min="6" max="6" width="18.33203125" style="31" bestFit="1" customWidth="1"/>
    <col min="7" max="7" width="19.6640625" style="31" bestFit="1" customWidth="1"/>
    <col min="8" max="9" width="18.33203125" style="31" bestFit="1" customWidth="1"/>
    <col min="10" max="10" width="4.88671875" style="30" bestFit="1" customWidth="1"/>
    <col min="11" max="11" width="22.33203125" style="30" bestFit="1" customWidth="1"/>
    <col min="12" max="12" width="17.5546875" style="30" bestFit="1" customWidth="1"/>
    <col min="13" max="13" width="17.6640625" style="30" customWidth="1"/>
    <col min="14" max="14" width="17.5546875" style="30" bestFit="1" customWidth="1"/>
    <col min="15" max="15" width="19.109375" style="30" bestFit="1" customWidth="1"/>
    <col min="16" max="17" width="17.6640625" style="30" customWidth="1"/>
    <col min="18" max="18" width="15.6640625" style="30" bestFit="1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7.399999999999999">
      <c r="B1" s="189" t="s">
        <v>153</v>
      </c>
      <c r="C1" s="190">
        <v>202307</v>
      </c>
      <c r="D1" s="273"/>
      <c r="E1" s="139"/>
      <c r="F1" s="139"/>
      <c r="G1" s="139"/>
      <c r="H1" s="139"/>
      <c r="I1" s="139"/>
      <c r="K1" s="185" t="s">
        <v>138</v>
      </c>
      <c r="L1" s="191" t="s">
        <v>139</v>
      </c>
      <c r="N1" s="291"/>
      <c r="O1" s="291"/>
      <c r="T1" s="270" t="s">
        <v>158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140</v>
      </c>
      <c r="N2" s="268"/>
      <c r="O2" s="268"/>
      <c r="T2" s="271" t="s">
        <v>159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160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161</v>
      </c>
    </row>
    <row r="5" spans="2:20" ht="15.6" customHeight="1" thickBot="1">
      <c r="B5" s="194"/>
      <c r="C5" s="13"/>
      <c r="D5" s="13"/>
      <c r="E5" s="249" t="s">
        <v>17</v>
      </c>
      <c r="F5" s="292" t="s">
        <v>32</v>
      </c>
      <c r="G5" s="293"/>
      <c r="H5" s="292" t="s">
        <v>33</v>
      </c>
      <c r="I5" s="294"/>
      <c r="J5" s="31"/>
      <c r="K5" s="295" t="s">
        <v>32</v>
      </c>
      <c r="L5" s="296"/>
      <c r="M5" s="296"/>
      <c r="N5" s="297"/>
      <c r="O5" s="295" t="s">
        <v>33</v>
      </c>
      <c r="P5" s="296"/>
      <c r="Q5" s="296"/>
      <c r="R5" s="297"/>
      <c r="T5" s="271" t="s">
        <v>162</v>
      </c>
    </row>
    <row r="6" spans="2:20" ht="15.6" customHeight="1" thickBot="1">
      <c r="B6" s="195" t="s">
        <v>18</v>
      </c>
      <c r="C6" s="3"/>
      <c r="D6" s="3"/>
      <c r="E6" s="242" t="s">
        <v>151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163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164</v>
      </c>
    </row>
    <row r="8" spans="2:20" ht="15.6" customHeight="1">
      <c r="B8" s="14"/>
      <c r="C8" s="3"/>
      <c r="D8" s="3"/>
      <c r="E8" s="263">
        <f>F8+H8</f>
        <v>1</v>
      </c>
      <c r="F8" s="233">
        <v>0.6845</v>
      </c>
      <c r="G8" s="234">
        <f>ROUND($L$29/($L$29+$P$28),4)</f>
        <v>0.6472</v>
      </c>
      <c r="H8" s="233">
        <v>0.3155</v>
      </c>
      <c r="I8" s="196">
        <f>1-G8</f>
        <v>0.3528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165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205</v>
      </c>
      <c r="C10" s="27">
        <v>804001</v>
      </c>
      <c r="D10" s="27" t="s">
        <v>137</v>
      </c>
      <c r="E10" s="244">
        <v>2302829.0299999998</v>
      </c>
      <c r="F10" s="235"/>
      <c r="G10" s="236"/>
      <c r="H10" s="235"/>
      <c r="I10" s="226"/>
      <c r="J10" s="31"/>
      <c r="K10" s="25" t="s">
        <v>10</v>
      </c>
      <c r="L10" s="283">
        <v>2176412</v>
      </c>
      <c r="M10" s="207">
        <v>0.10111000000000001</v>
      </c>
      <c r="N10" s="184">
        <f t="shared" ref="N10:N16" si="0">L10*M10</f>
        <v>220057.01732000001</v>
      </c>
      <c r="O10" s="25" t="s">
        <v>10</v>
      </c>
      <c r="P10" s="283">
        <v>1245582</v>
      </c>
      <c r="Q10" s="207">
        <v>9.1980000000000006E-2</v>
      </c>
      <c r="R10" s="184">
        <f>P10*Q10</f>
        <v>114568.63236</v>
      </c>
    </row>
    <row r="11" spans="2:20" ht="15.6" customHeight="1" thickBot="1">
      <c r="B11" s="188" t="s">
        <v>206</v>
      </c>
      <c r="C11" s="27">
        <v>804002</v>
      </c>
      <c r="D11" s="27" t="s">
        <v>137</v>
      </c>
      <c r="E11" s="244">
        <v>21807.75</v>
      </c>
      <c r="F11" s="235"/>
      <c r="G11" s="236"/>
      <c r="H11" s="235"/>
      <c r="I11" s="226"/>
      <c r="J11" s="31"/>
      <c r="K11" s="25" t="s">
        <v>42</v>
      </c>
      <c r="L11" s="283">
        <v>6110</v>
      </c>
      <c r="M11" s="207">
        <v>0.10111000000000001</v>
      </c>
      <c r="N11" s="184">
        <f t="shared" si="0"/>
        <v>617.78210000000001</v>
      </c>
      <c r="O11" s="25" t="s">
        <v>11</v>
      </c>
      <c r="P11" s="283">
        <v>1010486</v>
      </c>
      <c r="Q11" s="207">
        <f>Q10</f>
        <v>9.1980000000000006E-2</v>
      </c>
      <c r="R11" s="184">
        <f>P11*Q11</f>
        <v>92944.502280000001</v>
      </c>
    </row>
    <row r="12" spans="2:20" ht="15.6" customHeight="1" thickBot="1">
      <c r="B12" s="197" t="s">
        <v>141</v>
      </c>
      <c r="C12" s="6"/>
      <c r="D12" s="6"/>
      <c r="E12" s="245">
        <f>SUM(E10:E11)</f>
        <v>2324636.7799999998</v>
      </c>
      <c r="F12" s="237"/>
      <c r="G12" s="238"/>
      <c r="H12" s="237"/>
      <c r="I12" s="227"/>
      <c r="J12" s="31"/>
      <c r="K12" s="25" t="s">
        <v>11</v>
      </c>
      <c r="L12" s="283">
        <v>1799245</v>
      </c>
      <c r="M12" s="207">
        <v>9.2460000000000001E-2</v>
      </c>
      <c r="N12" s="184">
        <f t="shared" si="0"/>
        <v>166358.19270000001</v>
      </c>
      <c r="O12" s="25" t="s">
        <v>12</v>
      </c>
      <c r="P12" s="283">
        <v>3</v>
      </c>
      <c r="Q12" s="207">
        <f t="shared" ref="Q12:Q14" si="1">Q11</f>
        <v>9.1980000000000006E-2</v>
      </c>
      <c r="R12" s="184">
        <f>P12*Q12</f>
        <v>0.27594000000000002</v>
      </c>
    </row>
    <row r="13" spans="2:20" ht="15.6" customHeight="1" thickBot="1">
      <c r="B13" s="198" t="s">
        <v>25</v>
      </c>
      <c r="C13" s="1"/>
      <c r="D13" s="1"/>
      <c r="E13" s="246">
        <f>-E11</f>
        <v>-21807.75</v>
      </c>
      <c r="F13" s="235"/>
      <c r="G13" s="236"/>
      <c r="H13" s="235"/>
      <c r="I13" s="226"/>
      <c r="J13" s="31"/>
      <c r="K13" s="25" t="s">
        <v>12</v>
      </c>
      <c r="L13" s="283">
        <v>29212</v>
      </c>
      <c r="M13" s="207">
        <v>9.2460000000000001E-2</v>
      </c>
      <c r="N13" s="184">
        <f t="shared" si="0"/>
        <v>2700.9415199999999</v>
      </c>
      <c r="O13" s="25" t="s">
        <v>13</v>
      </c>
      <c r="P13" s="283">
        <v>0</v>
      </c>
      <c r="Q13" s="207">
        <f t="shared" si="1"/>
        <v>9.1980000000000006E-2</v>
      </c>
      <c r="R13" s="184">
        <f>P13*Q13</f>
        <v>0</v>
      </c>
    </row>
    <row r="14" spans="2:20" ht="15.6" customHeight="1" thickBot="1">
      <c r="B14" s="197" t="s">
        <v>154</v>
      </c>
      <c r="C14" s="199"/>
      <c r="D14" s="199"/>
      <c r="E14" s="245">
        <f>SUM(E12:E13)</f>
        <v>2302829.0299999998</v>
      </c>
      <c r="F14" s="252">
        <f>E14*F8</f>
        <v>1576286.4710349999</v>
      </c>
      <c r="G14" s="253"/>
      <c r="H14" s="252">
        <f>E14*H8</f>
        <v>726542.55896499997</v>
      </c>
      <c r="I14" s="254"/>
      <c r="J14" s="31"/>
      <c r="K14" s="25" t="s">
        <v>13</v>
      </c>
      <c r="L14" s="283">
        <v>0</v>
      </c>
      <c r="M14" s="207">
        <v>5.9560000000000002E-2</v>
      </c>
      <c r="N14" s="184">
        <f t="shared" si="0"/>
        <v>0</v>
      </c>
      <c r="O14" s="25" t="s">
        <v>14</v>
      </c>
      <c r="P14" s="283">
        <v>0</v>
      </c>
      <c r="Q14" s="207">
        <f t="shared" si="1"/>
        <v>9.1980000000000006E-2</v>
      </c>
      <c r="R14" s="184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3">
        <v>127723</v>
      </c>
      <c r="M15" s="207">
        <v>5.9560000000000002E-2</v>
      </c>
      <c r="N15" s="184">
        <f t="shared" si="0"/>
        <v>7607.1818800000001</v>
      </c>
      <c r="O15" s="24" t="s">
        <v>29</v>
      </c>
      <c r="P15" s="149">
        <f>SUM(P10:P14)</f>
        <v>2256071</v>
      </c>
      <c r="Q15" s="150"/>
      <c r="R15" s="22">
        <f>SUM(R10:R14)</f>
        <v>207513.41058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3">
        <v>2003182</v>
      </c>
      <c r="M16" s="207">
        <v>5.4000000000000001E-4</v>
      </c>
      <c r="N16" s="184">
        <f t="shared" si="0"/>
        <v>1081.71828</v>
      </c>
      <c r="O16" s="25"/>
      <c r="P16" s="208">
        <v>2256071</v>
      </c>
      <c r="Q16" s="16"/>
      <c r="R16" s="151"/>
    </row>
    <row r="17" spans="2:18" ht="15.6" customHeight="1" thickBot="1">
      <c r="B17" s="188" t="s">
        <v>192</v>
      </c>
      <c r="C17" s="27">
        <v>804000</v>
      </c>
      <c r="D17" s="27" t="s">
        <v>137</v>
      </c>
      <c r="E17" s="244">
        <v>6402313.0999999996</v>
      </c>
      <c r="F17" s="258"/>
      <c r="G17" s="256"/>
      <c r="H17" s="255"/>
      <c r="I17" s="257"/>
      <c r="J17" s="31"/>
      <c r="K17" s="24" t="s">
        <v>29</v>
      </c>
      <c r="L17" s="149">
        <f>SUM(L10:L16)</f>
        <v>6141884</v>
      </c>
      <c r="M17" s="4"/>
      <c r="N17" s="22">
        <f>SUM(N10:N16)</f>
        <v>398422.83380000002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193</v>
      </c>
      <c r="C18" s="27">
        <v>804010</v>
      </c>
      <c r="D18" s="27" t="s">
        <v>137</v>
      </c>
      <c r="E18" s="244">
        <v>21305.83</v>
      </c>
      <c r="F18" s="255"/>
      <c r="G18" s="256"/>
      <c r="H18" s="255"/>
      <c r="I18" s="257"/>
      <c r="J18" s="31"/>
      <c r="K18" s="15"/>
      <c r="L18" s="208">
        <v>6141884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194</v>
      </c>
      <c r="C19" s="27">
        <v>804017</v>
      </c>
      <c r="D19" s="27" t="s">
        <v>137</v>
      </c>
      <c r="E19" s="244">
        <v>24019.24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195</v>
      </c>
      <c r="C20" s="27">
        <v>804018</v>
      </c>
      <c r="D20" s="27" t="s">
        <v>137</v>
      </c>
      <c r="E20" s="244">
        <v>16315.93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196</v>
      </c>
      <c r="C21" s="27">
        <v>804600</v>
      </c>
      <c r="D21" s="27" t="s">
        <v>137</v>
      </c>
      <c r="E21" s="244">
        <v>461030.08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197</v>
      </c>
      <c r="C22" s="27">
        <v>804730</v>
      </c>
      <c r="D22" s="27" t="s">
        <v>137</v>
      </c>
      <c r="E22" s="244">
        <v>471303.61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198</v>
      </c>
      <c r="C23" s="27">
        <v>808100</v>
      </c>
      <c r="D23" s="27" t="s">
        <v>137</v>
      </c>
      <c r="E23" s="244">
        <v>942785.3</v>
      </c>
      <c r="F23" s="255"/>
      <c r="G23" s="256"/>
      <c r="H23" s="255"/>
      <c r="I23" s="257"/>
      <c r="J23" s="31"/>
      <c r="K23" s="25" t="s">
        <v>10</v>
      </c>
      <c r="L23" s="275">
        <f>+L10</f>
        <v>2176412</v>
      </c>
      <c r="M23" s="207">
        <v>0.35372999999999999</v>
      </c>
      <c r="N23" s="184">
        <f>L23*M23</f>
        <v>769862.21675999998</v>
      </c>
      <c r="O23" s="25" t="s">
        <v>10</v>
      </c>
      <c r="P23" s="275">
        <f>+P10</f>
        <v>1245582</v>
      </c>
      <c r="Q23" s="207">
        <v>0.34877000000000002</v>
      </c>
      <c r="R23" s="184">
        <f>P23*Q23</f>
        <v>434421.63414000004</v>
      </c>
    </row>
    <row r="24" spans="2:18" ht="15.6" customHeight="1">
      <c r="B24" s="188" t="s">
        <v>199</v>
      </c>
      <c r="C24" s="27">
        <v>808200</v>
      </c>
      <c r="D24" s="27" t="s">
        <v>137</v>
      </c>
      <c r="E24" s="244">
        <v>-2180573.69</v>
      </c>
      <c r="F24" s="255"/>
      <c r="G24" s="256"/>
      <c r="H24" s="255"/>
      <c r="I24" s="257"/>
      <c r="J24" s="31"/>
      <c r="K24" s="25" t="s">
        <v>42</v>
      </c>
      <c r="L24" s="275">
        <f t="shared" ref="L24:L28" si="2">+L11</f>
        <v>6110</v>
      </c>
      <c r="M24" s="207">
        <f>M23</f>
        <v>0.35372999999999999</v>
      </c>
      <c r="N24" s="184">
        <f t="shared" ref="N24:N28" si="3">L24*M24</f>
        <v>2161.2903000000001</v>
      </c>
      <c r="O24" s="25" t="s">
        <v>11</v>
      </c>
      <c r="P24" s="275">
        <f t="shared" ref="P24:P27" si="4">+P11</f>
        <v>1010486</v>
      </c>
      <c r="Q24" s="207">
        <f>Q23</f>
        <v>0.34877000000000002</v>
      </c>
      <c r="R24" s="184">
        <f t="shared" ref="R24:R27" si="5">P24*Q24</f>
        <v>352427.20222000004</v>
      </c>
    </row>
    <row r="25" spans="2:18" ht="15.6" customHeight="1">
      <c r="B25" s="188" t="s">
        <v>200</v>
      </c>
      <c r="C25" s="27">
        <v>811000</v>
      </c>
      <c r="D25" s="27" t="s">
        <v>137</v>
      </c>
      <c r="E25" s="244">
        <v>-21832.61</v>
      </c>
      <c r="F25" s="255"/>
      <c r="G25" s="256"/>
      <c r="H25" s="255"/>
      <c r="I25" s="257"/>
      <c r="J25" s="31"/>
      <c r="K25" s="25" t="s">
        <v>11</v>
      </c>
      <c r="L25" s="275">
        <f t="shared" si="2"/>
        <v>1799245</v>
      </c>
      <c r="M25" s="207">
        <f t="shared" ref="M25:M28" si="6">M24</f>
        <v>0.35372999999999999</v>
      </c>
      <c r="N25" s="184">
        <f t="shared" si="3"/>
        <v>636446.93385000003</v>
      </c>
      <c r="O25" s="25" t="s">
        <v>12</v>
      </c>
      <c r="P25" s="275">
        <f t="shared" si="4"/>
        <v>3</v>
      </c>
      <c r="Q25" s="207">
        <f t="shared" ref="Q25:Q27" si="7">Q24</f>
        <v>0.34877000000000002</v>
      </c>
      <c r="R25" s="184">
        <f t="shared" si="5"/>
        <v>1.0463100000000001</v>
      </c>
    </row>
    <row r="26" spans="2:18" ht="15.6" customHeight="1">
      <c r="B26" s="188" t="s">
        <v>201</v>
      </c>
      <c r="C26" s="27">
        <v>483000</v>
      </c>
      <c r="D26" s="27" t="s">
        <v>137</v>
      </c>
      <c r="E26" s="244">
        <v>-2660665.36</v>
      </c>
      <c r="F26" s="258"/>
      <c r="G26" s="256"/>
      <c r="H26" s="255"/>
      <c r="I26" s="257"/>
      <c r="J26" s="31"/>
      <c r="K26" s="25" t="s">
        <v>12</v>
      </c>
      <c r="L26" s="275">
        <f t="shared" si="2"/>
        <v>29212</v>
      </c>
      <c r="M26" s="207">
        <f t="shared" si="6"/>
        <v>0.35372999999999999</v>
      </c>
      <c r="N26" s="184">
        <f t="shared" si="3"/>
        <v>10333.160759999999</v>
      </c>
      <c r="O26" s="25" t="s">
        <v>13</v>
      </c>
      <c r="P26" s="275">
        <f t="shared" si="4"/>
        <v>0</v>
      </c>
      <c r="Q26" s="207">
        <f t="shared" si="7"/>
        <v>0.34877000000000002</v>
      </c>
      <c r="R26" s="184">
        <f t="shared" si="5"/>
        <v>0</v>
      </c>
    </row>
    <row r="27" spans="2:18" ht="15.6" customHeight="1">
      <c r="B27" s="188" t="s">
        <v>202</v>
      </c>
      <c r="C27" s="27">
        <v>483600</v>
      </c>
      <c r="D27" s="27" t="s">
        <v>137</v>
      </c>
      <c r="E27" s="244">
        <v>232337.25</v>
      </c>
      <c r="F27" s="255"/>
      <c r="G27" s="256"/>
      <c r="H27" s="255"/>
      <c r="I27" s="257"/>
      <c r="J27" s="31"/>
      <c r="K27" s="25" t="s">
        <v>13</v>
      </c>
      <c r="L27" s="275">
        <f t="shared" si="2"/>
        <v>0</v>
      </c>
      <c r="M27" s="207">
        <f t="shared" si="6"/>
        <v>0.35372999999999999</v>
      </c>
      <c r="N27" s="184">
        <f t="shared" si="3"/>
        <v>0</v>
      </c>
      <c r="O27" s="25" t="s">
        <v>14</v>
      </c>
      <c r="P27" s="275">
        <f t="shared" si="4"/>
        <v>0</v>
      </c>
      <c r="Q27" s="207">
        <f t="shared" si="7"/>
        <v>0.34877000000000002</v>
      </c>
      <c r="R27" s="184">
        <f t="shared" si="5"/>
        <v>0</v>
      </c>
    </row>
    <row r="28" spans="2:18" ht="15.6" customHeight="1" thickBot="1">
      <c r="B28" s="188" t="s">
        <v>203</v>
      </c>
      <c r="C28" s="27">
        <v>483730</v>
      </c>
      <c r="D28" s="27" t="s">
        <v>137</v>
      </c>
      <c r="E28" s="244">
        <v>-3299222.72</v>
      </c>
      <c r="F28" s="255"/>
      <c r="G28" s="256"/>
      <c r="H28" s="255"/>
      <c r="I28" s="257"/>
      <c r="J28" s="31"/>
      <c r="K28" s="25" t="s">
        <v>14</v>
      </c>
      <c r="L28" s="275">
        <f t="shared" si="2"/>
        <v>127723</v>
      </c>
      <c r="M28" s="207">
        <f t="shared" si="6"/>
        <v>0.35372999999999999</v>
      </c>
      <c r="N28" s="184">
        <f t="shared" si="3"/>
        <v>45179.456789999997</v>
      </c>
      <c r="O28" s="24" t="s">
        <v>31</v>
      </c>
      <c r="P28" s="149">
        <f>SUM(P23:P27)</f>
        <v>2256071</v>
      </c>
      <c r="Q28" s="150"/>
      <c r="R28" s="22">
        <f>SUM(R23:R27)</f>
        <v>786849.88267000008</v>
      </c>
    </row>
    <row r="29" spans="2:18" ht="15.6" customHeight="1" thickTop="1" thickBot="1">
      <c r="B29" s="188" t="s">
        <v>204</v>
      </c>
      <c r="C29" s="27">
        <v>495028</v>
      </c>
      <c r="D29" s="27" t="s">
        <v>137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4138702</v>
      </c>
      <c r="M29" s="150"/>
      <c r="N29" s="157">
        <f>SUM(N23:N28)</f>
        <v>1463983.0584599997</v>
      </c>
      <c r="O29" s="24"/>
      <c r="P29" s="208">
        <v>2256071</v>
      </c>
      <c r="Q29" s="16"/>
      <c r="R29" s="154"/>
    </row>
    <row r="30" spans="2:18" ht="15.6" customHeight="1" thickTop="1">
      <c r="B30" s="188" t="s">
        <v>136</v>
      </c>
      <c r="C30" s="27">
        <v>495100</v>
      </c>
      <c r="D30" s="27" t="s">
        <v>137</v>
      </c>
      <c r="E30" s="244">
        <v>0</v>
      </c>
      <c r="F30" s="259"/>
      <c r="G30" s="260"/>
      <c r="H30" s="259"/>
      <c r="I30" s="261"/>
      <c r="J30" s="31"/>
      <c r="K30" s="15"/>
      <c r="L30" s="208">
        <v>4138702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21807.75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-37826.290000000037</v>
      </c>
      <c r="F32" s="262"/>
      <c r="G32" s="236">
        <f>E32*G8</f>
        <v>-24481.174888000023</v>
      </c>
      <c r="H32" s="146"/>
      <c r="I32" s="226">
        <f>E32*I8</f>
        <v>-13345.115112000014</v>
      </c>
      <c r="J32" s="31"/>
    </row>
    <row r="33" spans="1:20" ht="15.6" customHeight="1">
      <c r="B33" s="188" t="s">
        <v>135</v>
      </c>
      <c r="C33" s="27">
        <v>495100</v>
      </c>
      <c r="D33" s="3" t="s">
        <v>142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122</v>
      </c>
      <c r="C34" s="27">
        <v>495100</v>
      </c>
      <c r="D34" s="3" t="s">
        <v>143</v>
      </c>
      <c r="E34" s="244">
        <v>-12651</v>
      </c>
      <c r="F34" s="259"/>
      <c r="G34" s="236"/>
      <c r="H34" s="146"/>
      <c r="I34" s="226">
        <f>E34</f>
        <v>-12651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147</v>
      </c>
      <c r="Q34" s="1"/>
    </row>
    <row r="35" spans="1:20" ht="15.6" customHeight="1">
      <c r="B35" s="15" t="s">
        <v>144</v>
      </c>
      <c r="C35" s="27">
        <v>804000</v>
      </c>
      <c r="D35" s="3" t="s">
        <v>142</v>
      </c>
      <c r="E35" s="244">
        <v>-74457.08</v>
      </c>
      <c r="F35" s="255"/>
      <c r="G35" s="236">
        <f>E35</f>
        <v>-74457.08</v>
      </c>
      <c r="H35" s="146"/>
      <c r="I35" s="226"/>
      <c r="J35" s="31"/>
      <c r="K35" s="14" t="s">
        <v>149</v>
      </c>
      <c r="L35" s="147">
        <f>$F$39</f>
        <v>1576286.4710349999</v>
      </c>
      <c r="M35" s="147">
        <f>G39</f>
        <v>-98938.254888000025</v>
      </c>
      <c r="N35" s="147">
        <f>$H$39</f>
        <v>726542.55896499997</v>
      </c>
      <c r="O35" s="147">
        <f>I39</f>
        <v>-67773.145112000013</v>
      </c>
      <c r="P35" s="220">
        <f>SUM(L35:O35)-E39</f>
        <v>0</v>
      </c>
      <c r="Q35" s="1"/>
    </row>
    <row r="36" spans="1:20" ht="15.6" customHeight="1" thickBot="1">
      <c r="B36" s="15" t="s">
        <v>145</v>
      </c>
      <c r="C36" s="27">
        <v>804000</v>
      </c>
      <c r="D36" s="3" t="s">
        <v>143</v>
      </c>
      <c r="E36" s="244">
        <v>-41777.03</v>
      </c>
      <c r="F36" s="255"/>
      <c r="G36" s="236"/>
      <c r="H36" s="146"/>
      <c r="I36" s="226">
        <f>E36</f>
        <v>-41777.03</v>
      </c>
      <c r="J36" s="31"/>
      <c r="K36" s="14" t="s">
        <v>152</v>
      </c>
      <c r="L36" s="209">
        <f>-$N$17</f>
        <v>-398422.83380000002</v>
      </c>
      <c r="M36" s="209">
        <f>-N29</f>
        <v>-1463983.0584599997</v>
      </c>
      <c r="N36" s="209">
        <f>-$R$15</f>
        <v>-207513.41058</v>
      </c>
      <c r="O36" s="209">
        <f>-R28</f>
        <v>-786849.88267000008</v>
      </c>
      <c r="P36" s="220">
        <f>SUM(L36:O36)+N17+N29+R15+R28</f>
        <v>0</v>
      </c>
      <c r="Q36" s="1"/>
    </row>
    <row r="37" spans="1:20" ht="15.6" customHeight="1" thickBot="1">
      <c r="B37" s="197" t="s">
        <v>155</v>
      </c>
      <c r="C37" s="27"/>
      <c r="D37" s="3"/>
      <c r="E37" s="245">
        <f>SUM(E32:E36)</f>
        <v>-166711.40000000002</v>
      </c>
      <c r="F37" s="237"/>
      <c r="G37" s="239"/>
      <c r="H37" s="237"/>
      <c r="I37" s="200"/>
      <c r="J37" s="31"/>
      <c r="K37" s="197" t="s">
        <v>150</v>
      </c>
      <c r="L37" s="152">
        <f t="shared" ref="L37:O37" si="8">SUM(L35:L36)</f>
        <v>1177863.6372349998</v>
      </c>
      <c r="M37" s="152">
        <f>SUM(M35:M36)</f>
        <v>-1562921.3133479997</v>
      </c>
      <c r="N37" s="152">
        <f t="shared" si="8"/>
        <v>519029.14838499995</v>
      </c>
      <c r="O37" s="152">
        <f t="shared" si="8"/>
        <v>-854623.02778200014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146</v>
      </c>
      <c r="C39" s="205"/>
      <c r="D39" s="205"/>
      <c r="E39" s="245">
        <f>E37+E14</f>
        <v>2136117.63</v>
      </c>
      <c r="F39" s="250">
        <f>SUM(F14:F37)</f>
        <v>1576286.4710349999</v>
      </c>
      <c r="G39" s="251">
        <f t="shared" ref="G39:I39" si="9">SUM(G14:G37)</f>
        <v>-98938.254888000025</v>
      </c>
      <c r="H39" s="250">
        <f t="shared" si="9"/>
        <v>726542.55896499997</v>
      </c>
      <c r="I39" s="206">
        <f t="shared" si="9"/>
        <v>-67773.145112000013</v>
      </c>
      <c r="J39" s="31"/>
      <c r="K39" s="215"/>
      <c r="L39" s="218" t="s">
        <v>36</v>
      </c>
      <c r="M39" s="216">
        <f>SUM(L37:M37)</f>
        <v>-385057.67611299991</v>
      </c>
      <c r="N39" s="219" t="s">
        <v>37</v>
      </c>
      <c r="O39" s="216">
        <f>SUM(N37:O37)</f>
        <v>-335593.87939700019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157</v>
      </c>
      <c r="C41" s="265"/>
      <c r="D41" s="10" t="s">
        <v>156</v>
      </c>
      <c r="E41" s="274">
        <v>2136117.63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89" t="s">
        <v>148</v>
      </c>
      <c r="F45" s="290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6" thickBot="1">
      <c r="E47" s="224" t="e">
        <f>SUM('191010 WA DEF'!E84:E93)+SUM('191000 WA Amort'!H84:H93)+SUM(#REF!)+SUM(#REF!)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53" priority="27" operator="equal">
      <formula>"ERROR"</formula>
    </cfRule>
  </conditionalFormatting>
  <conditionalFormatting sqref="D43:D46">
    <cfRule type="cellIs" dxfId="52" priority="26" operator="equal">
      <formula>"ERROR"</formula>
    </cfRule>
  </conditionalFormatting>
  <conditionalFormatting sqref="P31">
    <cfRule type="cellIs" dxfId="51" priority="25" operator="notEqual">
      <formula>0</formula>
    </cfRule>
  </conditionalFormatting>
  <conditionalFormatting sqref="L19">
    <cfRule type="cellIs" dxfId="50" priority="23" stopIfTrue="1" operator="equal">
      <formula>0</formula>
    </cfRule>
    <cfRule type="cellIs" dxfId="49" priority="24" stopIfTrue="1" operator="notEqual">
      <formula>0</formula>
    </cfRule>
  </conditionalFormatting>
  <conditionalFormatting sqref="L19">
    <cfRule type="cellIs" dxfId="48" priority="21" stopIfTrue="1" operator="equal">
      <formula>0</formula>
    </cfRule>
    <cfRule type="cellIs" dxfId="47" priority="22" stopIfTrue="1" operator="notEqual">
      <formula>0</formula>
    </cfRule>
  </conditionalFormatting>
  <conditionalFormatting sqref="L31">
    <cfRule type="cellIs" dxfId="46" priority="19" stopIfTrue="1" operator="equal">
      <formula>0</formula>
    </cfRule>
    <cfRule type="cellIs" dxfId="45" priority="20" stopIfTrue="1" operator="notEqual">
      <formula>0</formula>
    </cfRule>
  </conditionalFormatting>
  <conditionalFormatting sqref="L31">
    <cfRule type="cellIs" dxfId="44" priority="17" stopIfTrue="1" operator="equal">
      <formula>0</formula>
    </cfRule>
    <cfRule type="cellIs" dxfId="43" priority="18" stopIfTrue="1" operator="notEqual">
      <formula>0</formula>
    </cfRule>
  </conditionalFormatting>
  <conditionalFormatting sqref="P17">
    <cfRule type="cellIs" dxfId="42" priority="15" stopIfTrue="1" operator="equal">
      <formula>0</formula>
    </cfRule>
    <cfRule type="cellIs" dxfId="41" priority="16" stopIfTrue="1" operator="notEqual">
      <formula>0</formula>
    </cfRule>
  </conditionalFormatting>
  <conditionalFormatting sqref="P17">
    <cfRule type="cellIs" dxfId="40" priority="13" stopIfTrue="1" operator="equal">
      <formula>0</formula>
    </cfRule>
    <cfRule type="cellIs" dxfId="39" priority="14" stopIfTrue="1" operator="notEqual">
      <formula>0</formula>
    </cfRule>
  </conditionalFormatting>
  <conditionalFormatting sqref="P30">
    <cfRule type="cellIs" dxfId="38" priority="11" stopIfTrue="1" operator="equal">
      <formula>0</formula>
    </cfRule>
    <cfRule type="cellIs" dxfId="37" priority="12" stopIfTrue="1" operator="notEqual">
      <formula>0</formula>
    </cfRule>
  </conditionalFormatting>
  <conditionalFormatting sqref="P30">
    <cfRule type="cellIs" dxfId="36" priority="9" stopIfTrue="1" operator="equal">
      <formula>0</formula>
    </cfRule>
    <cfRule type="cellIs" dxfId="35" priority="10" stopIfTrue="1" operator="notEqual">
      <formula>0</formula>
    </cfRule>
  </conditionalFormatting>
  <conditionalFormatting sqref="P35:P36">
    <cfRule type="cellIs" dxfId="34" priority="7" stopIfTrue="1" operator="equal">
      <formula>0</formula>
    </cfRule>
    <cfRule type="cellIs" dxfId="33" priority="8" stopIfTrue="1" operator="notEqual">
      <formula>0</formula>
    </cfRule>
  </conditionalFormatting>
  <conditionalFormatting sqref="P35:P36">
    <cfRule type="cellIs" dxfId="32" priority="5" stopIfTrue="1" operator="equal">
      <formula>0</formula>
    </cfRule>
    <cfRule type="cellIs" dxfId="31" priority="6" stopIfTrue="1" operator="notEqual">
      <formula>0</formula>
    </cfRule>
  </conditionalFormatting>
  <conditionalFormatting sqref="E42">
    <cfRule type="cellIs" dxfId="30" priority="3" stopIfTrue="1" operator="equal">
      <formula>0</formula>
    </cfRule>
    <cfRule type="cellIs" dxfId="29" priority="4" stopIfTrue="1" operator="notEqual">
      <formula>0</formula>
    </cfRule>
  </conditionalFormatting>
  <conditionalFormatting sqref="E42">
    <cfRule type="cellIs" dxfId="28" priority="1" stopIfTrue="1" operator="equal">
      <formula>0</formula>
    </cfRule>
    <cfRule type="cellIs" dxfId="27" priority="2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D6C3-D833-420D-85D2-F06D61C9F3A7}">
  <sheetPr>
    <pageSetUpPr fitToPage="1"/>
  </sheetPr>
  <dimension ref="A1:T1396"/>
  <sheetViews>
    <sheetView zoomScale="50" zoomScaleNormal="50" workbookViewId="0">
      <selection activeCell="L15" sqref="L15"/>
    </sheetView>
  </sheetViews>
  <sheetFormatPr defaultColWidth="16" defaultRowHeight="15"/>
  <cols>
    <col min="1" max="1" width="2.88671875" style="30" customWidth="1"/>
    <col min="2" max="2" width="48.6640625" style="30" bestFit="1" customWidth="1"/>
    <col min="3" max="3" width="11.5546875" style="30" customWidth="1"/>
    <col min="4" max="4" width="10.6640625" style="30" customWidth="1"/>
    <col min="5" max="5" width="25.109375" style="7" customWidth="1"/>
    <col min="6" max="6" width="18.33203125" style="31" bestFit="1" customWidth="1"/>
    <col min="7" max="7" width="19.6640625" style="31" bestFit="1" customWidth="1"/>
    <col min="8" max="9" width="18.33203125" style="31" bestFit="1" customWidth="1"/>
    <col min="10" max="10" width="4.88671875" style="30" bestFit="1" customWidth="1"/>
    <col min="11" max="11" width="22.33203125" style="30" bestFit="1" customWidth="1"/>
    <col min="12" max="12" width="22.5546875" style="30" bestFit="1" customWidth="1"/>
    <col min="13" max="13" width="24" style="30" bestFit="1" customWidth="1"/>
    <col min="14" max="14" width="23.44140625" style="30" bestFit="1" customWidth="1"/>
    <col min="15" max="15" width="24.109375" style="30" bestFit="1" customWidth="1"/>
    <col min="16" max="17" width="17.6640625" style="30" customWidth="1"/>
    <col min="18" max="18" width="21.33203125" style="30" bestFit="1" customWidth="1"/>
    <col min="19" max="19" width="5.109375" style="30" customWidth="1"/>
    <col min="20" max="20" width="41.5546875" style="30" bestFit="1" customWidth="1"/>
    <col min="21" max="16384" width="16" style="30"/>
  </cols>
  <sheetData>
    <row r="1" spans="2:20" ht="17.399999999999999">
      <c r="B1" s="189" t="s">
        <v>153</v>
      </c>
      <c r="C1" s="190">
        <v>202308</v>
      </c>
      <c r="D1" s="273"/>
      <c r="E1" s="139"/>
      <c r="F1" s="139"/>
      <c r="G1" s="139"/>
      <c r="H1" s="139"/>
      <c r="I1" s="139"/>
      <c r="K1" s="185" t="s">
        <v>138</v>
      </c>
      <c r="L1" s="191" t="s">
        <v>139</v>
      </c>
      <c r="N1" s="291"/>
      <c r="O1" s="291"/>
      <c r="T1" s="270" t="s">
        <v>158</v>
      </c>
    </row>
    <row r="2" spans="2:20" ht="15.6" customHeight="1">
      <c r="D2" s="139"/>
      <c r="E2" s="139"/>
      <c r="F2" s="139"/>
      <c r="G2" s="139"/>
      <c r="H2" s="139"/>
      <c r="I2" s="139"/>
      <c r="K2" s="186"/>
      <c r="L2" s="187" t="s">
        <v>140</v>
      </c>
      <c r="N2" s="268"/>
      <c r="O2" s="268"/>
      <c r="T2" s="271" t="s">
        <v>159</v>
      </c>
    </row>
    <row r="3" spans="2:20" ht="15.6" customHeight="1">
      <c r="D3" s="139"/>
      <c r="E3" s="139"/>
      <c r="F3" s="139"/>
      <c r="G3" s="139"/>
      <c r="H3" s="139"/>
      <c r="I3" s="139"/>
      <c r="K3" s="186"/>
      <c r="L3" s="192"/>
      <c r="N3" s="269"/>
      <c r="O3" s="269"/>
      <c r="T3" s="271" t="s">
        <v>160</v>
      </c>
    </row>
    <row r="4" spans="2:20" ht="15.6" customHeight="1" thickBot="1">
      <c r="D4" s="139"/>
      <c r="E4" s="139"/>
      <c r="F4" s="139"/>
      <c r="G4" s="139"/>
      <c r="H4" s="139"/>
      <c r="I4" s="139"/>
      <c r="K4" s="186"/>
      <c r="L4" s="192"/>
      <c r="T4" s="271" t="s">
        <v>161</v>
      </c>
    </row>
    <row r="5" spans="2:20" ht="15.6" customHeight="1" thickBot="1">
      <c r="B5" s="194"/>
      <c r="C5" s="13"/>
      <c r="D5" s="13"/>
      <c r="E5" s="249" t="s">
        <v>17</v>
      </c>
      <c r="F5" s="292" t="s">
        <v>32</v>
      </c>
      <c r="G5" s="293"/>
      <c r="H5" s="292" t="s">
        <v>33</v>
      </c>
      <c r="I5" s="294"/>
      <c r="J5" s="31"/>
      <c r="K5" s="295" t="s">
        <v>32</v>
      </c>
      <c r="L5" s="296"/>
      <c r="M5" s="296"/>
      <c r="N5" s="297"/>
      <c r="O5" s="295" t="s">
        <v>33</v>
      </c>
      <c r="P5" s="296"/>
      <c r="Q5" s="296"/>
      <c r="R5" s="297"/>
      <c r="T5" s="271" t="s">
        <v>162</v>
      </c>
    </row>
    <row r="6" spans="2:20" ht="15.6" customHeight="1" thickBot="1">
      <c r="B6" s="195" t="s">
        <v>18</v>
      </c>
      <c r="C6" s="3"/>
      <c r="D6" s="3"/>
      <c r="E6" s="242" t="s">
        <v>151</v>
      </c>
      <c r="F6" s="229" t="s">
        <v>2</v>
      </c>
      <c r="G6" s="230" t="s">
        <v>1</v>
      </c>
      <c r="H6" s="229" t="s">
        <v>2</v>
      </c>
      <c r="I6" s="228" t="s">
        <v>1</v>
      </c>
      <c r="J6" s="31"/>
      <c r="K6" s="142" t="s">
        <v>24</v>
      </c>
      <c r="L6" s="140" t="s">
        <v>6</v>
      </c>
      <c r="M6" s="140" t="s">
        <v>6</v>
      </c>
      <c r="N6" s="140" t="s">
        <v>6</v>
      </c>
      <c r="O6" s="142" t="s">
        <v>24</v>
      </c>
      <c r="P6" s="140" t="s">
        <v>6</v>
      </c>
      <c r="Q6" s="140" t="s">
        <v>6</v>
      </c>
      <c r="R6" s="180" t="s">
        <v>6</v>
      </c>
      <c r="T6" s="271" t="s">
        <v>163</v>
      </c>
    </row>
    <row r="7" spans="2:20" ht="15.6" customHeight="1" thickBot="1">
      <c r="B7" s="14"/>
      <c r="C7" s="3"/>
      <c r="D7" s="3"/>
      <c r="E7" s="243"/>
      <c r="F7" s="231"/>
      <c r="G7" s="232"/>
      <c r="H7" s="231"/>
      <c r="I7" s="11"/>
      <c r="J7" s="31"/>
      <c r="K7" s="143" t="s">
        <v>35</v>
      </c>
      <c r="L7" s="141" t="s">
        <v>22</v>
      </c>
      <c r="M7" s="141" t="s">
        <v>9</v>
      </c>
      <c r="N7" s="141" t="s">
        <v>7</v>
      </c>
      <c r="O7" s="143" t="s">
        <v>35</v>
      </c>
      <c r="P7" s="141" t="s">
        <v>22</v>
      </c>
      <c r="Q7" s="141" t="s">
        <v>9</v>
      </c>
      <c r="R7" s="141" t="s">
        <v>7</v>
      </c>
      <c r="T7" s="271" t="s">
        <v>164</v>
      </c>
    </row>
    <row r="8" spans="2:20" ht="15.6" customHeight="1">
      <c r="B8" s="14"/>
      <c r="C8" s="3"/>
      <c r="D8" s="3"/>
      <c r="E8" s="263">
        <f>F8+H8</f>
        <v>1</v>
      </c>
      <c r="F8" s="233">
        <v>0.6845</v>
      </c>
      <c r="G8" s="234">
        <f>ROUND($L$29/($L$29+$P$28),4)</f>
        <v>0.65590000000000004</v>
      </c>
      <c r="H8" s="233">
        <v>0.3155</v>
      </c>
      <c r="I8" s="196">
        <f>1-G8</f>
        <v>0.34409999999999996</v>
      </c>
      <c r="J8" s="264"/>
      <c r="K8" s="14"/>
      <c r="L8" s="179"/>
      <c r="M8" s="179"/>
      <c r="N8" s="180"/>
      <c r="O8" s="144"/>
      <c r="P8" s="145"/>
      <c r="Q8" s="145"/>
      <c r="R8" s="26"/>
      <c r="T8" s="271" t="s">
        <v>165</v>
      </c>
    </row>
    <row r="9" spans="2:20" ht="15.6" customHeight="1">
      <c r="B9" s="14"/>
      <c r="C9" s="3"/>
      <c r="D9" s="3"/>
      <c r="E9" s="243"/>
      <c r="F9" s="231"/>
      <c r="G9" s="232"/>
      <c r="H9" s="231"/>
      <c r="I9" s="11"/>
      <c r="J9" s="31"/>
      <c r="K9" s="24" t="s">
        <v>28</v>
      </c>
      <c r="L9" s="3"/>
      <c r="M9" s="3"/>
      <c r="N9" s="11"/>
      <c r="O9" s="24" t="s">
        <v>28</v>
      </c>
      <c r="P9" s="3"/>
      <c r="Q9" s="3"/>
      <c r="R9" s="11"/>
    </row>
    <row r="10" spans="2:20" ht="15.6" customHeight="1">
      <c r="B10" s="188" t="s">
        <v>205</v>
      </c>
      <c r="C10" s="27">
        <v>804001</v>
      </c>
      <c r="D10" s="27" t="s">
        <v>137</v>
      </c>
      <c r="E10" s="244">
        <v>2276462.69</v>
      </c>
      <c r="F10" s="235"/>
      <c r="G10" s="236"/>
      <c r="H10" s="235"/>
      <c r="I10" s="226"/>
      <c r="J10" s="31"/>
      <c r="K10" s="25" t="s">
        <v>10</v>
      </c>
      <c r="L10" s="283">
        <v>2215976</v>
      </c>
      <c r="M10" s="207">
        <v>0.10111000000000001</v>
      </c>
      <c r="N10" s="184">
        <f t="shared" ref="N10:N16" si="0">L10*M10</f>
        <v>224057.33336000002</v>
      </c>
      <c r="O10" s="25" t="s">
        <v>10</v>
      </c>
      <c r="P10" s="283">
        <v>1155786</v>
      </c>
      <c r="Q10" s="207">
        <v>9.1980000000000006E-2</v>
      </c>
      <c r="R10" s="184">
        <f>P10*Q10</f>
        <v>106309.19628</v>
      </c>
    </row>
    <row r="11" spans="2:20" ht="15.6" customHeight="1" thickBot="1">
      <c r="B11" s="188" t="s">
        <v>206</v>
      </c>
      <c r="C11" s="27">
        <v>804002</v>
      </c>
      <c r="D11" s="27" t="s">
        <v>137</v>
      </c>
      <c r="E11" s="244">
        <v>14710.11</v>
      </c>
      <c r="F11" s="235"/>
      <c r="G11" s="236"/>
      <c r="H11" s="235"/>
      <c r="I11" s="226"/>
      <c r="J11" s="31"/>
      <c r="K11" s="25" t="s">
        <v>42</v>
      </c>
      <c r="L11" s="283">
        <v>5737</v>
      </c>
      <c r="M11" s="207">
        <v>0.10111000000000001</v>
      </c>
      <c r="N11" s="184">
        <f t="shared" si="0"/>
        <v>580.06807000000003</v>
      </c>
      <c r="O11" s="25" t="s">
        <v>11</v>
      </c>
      <c r="P11" s="283">
        <v>1142064</v>
      </c>
      <c r="Q11" s="207">
        <f>Q10</f>
        <v>9.1980000000000006E-2</v>
      </c>
      <c r="R11" s="184">
        <f>P11*Q11</f>
        <v>105047.04672000001</v>
      </c>
    </row>
    <row r="12" spans="2:20" ht="15.6" customHeight="1" thickBot="1">
      <c r="B12" s="197" t="s">
        <v>141</v>
      </c>
      <c r="C12" s="6"/>
      <c r="D12" s="6"/>
      <c r="E12" s="245">
        <f>SUM(E10:E11)</f>
        <v>2291172.7999999998</v>
      </c>
      <c r="F12" s="237"/>
      <c r="G12" s="238"/>
      <c r="H12" s="237"/>
      <c r="I12" s="227"/>
      <c r="J12" s="31"/>
      <c r="K12" s="25" t="s">
        <v>11</v>
      </c>
      <c r="L12" s="283">
        <v>2007701</v>
      </c>
      <c r="M12" s="207">
        <v>9.2460000000000001E-2</v>
      </c>
      <c r="N12" s="184">
        <f t="shared" si="0"/>
        <v>185632.03446</v>
      </c>
      <c r="O12" s="25" t="s">
        <v>12</v>
      </c>
      <c r="P12" s="283">
        <v>1</v>
      </c>
      <c r="Q12" s="207">
        <f t="shared" ref="Q12:Q14" si="1">Q11</f>
        <v>9.1980000000000006E-2</v>
      </c>
      <c r="R12" s="184">
        <f>P12*Q12</f>
        <v>9.1980000000000006E-2</v>
      </c>
    </row>
    <row r="13" spans="2:20" ht="15.6" customHeight="1" thickBot="1">
      <c r="B13" s="198" t="s">
        <v>25</v>
      </c>
      <c r="C13" s="1"/>
      <c r="D13" s="1"/>
      <c r="E13" s="246">
        <f>-E11</f>
        <v>-14710.11</v>
      </c>
      <c r="F13" s="235"/>
      <c r="G13" s="236"/>
      <c r="H13" s="235"/>
      <c r="I13" s="226"/>
      <c r="J13" s="31"/>
      <c r="K13" s="25" t="s">
        <v>12</v>
      </c>
      <c r="L13" s="283">
        <v>19512</v>
      </c>
      <c r="M13" s="207">
        <v>9.2460000000000001E-2</v>
      </c>
      <c r="N13" s="184">
        <f t="shared" si="0"/>
        <v>1804.07952</v>
      </c>
      <c r="O13" s="25" t="s">
        <v>13</v>
      </c>
      <c r="P13" s="283">
        <v>0</v>
      </c>
      <c r="Q13" s="207">
        <f t="shared" si="1"/>
        <v>9.1980000000000006E-2</v>
      </c>
      <c r="R13" s="184">
        <f>P13*Q13</f>
        <v>0</v>
      </c>
    </row>
    <row r="14" spans="2:20" ht="15.6" customHeight="1" thickBot="1">
      <c r="B14" s="197" t="s">
        <v>154</v>
      </c>
      <c r="C14" s="199"/>
      <c r="D14" s="199"/>
      <c r="E14" s="245">
        <f>SUM(E12:E13)</f>
        <v>2276462.69</v>
      </c>
      <c r="F14" s="252">
        <f>E14*F8</f>
        <v>1558238.7113049999</v>
      </c>
      <c r="G14" s="253"/>
      <c r="H14" s="252">
        <f>E14*H8</f>
        <v>718223.97869499994</v>
      </c>
      <c r="I14" s="254"/>
      <c r="J14" s="31"/>
      <c r="K14" s="25" t="s">
        <v>13</v>
      </c>
      <c r="L14" s="283">
        <v>0</v>
      </c>
      <c r="M14" s="207">
        <v>5.9560000000000002E-2</v>
      </c>
      <c r="N14" s="184">
        <f t="shared" si="0"/>
        <v>0</v>
      </c>
      <c r="O14" s="25" t="s">
        <v>14</v>
      </c>
      <c r="P14" s="283">
        <v>0</v>
      </c>
      <c r="Q14" s="207">
        <f t="shared" si="1"/>
        <v>9.1980000000000006E-2</v>
      </c>
      <c r="R14" s="184">
        <f>P14*Q14</f>
        <v>0</v>
      </c>
    </row>
    <row r="15" spans="2:20" ht="15.6" customHeight="1" thickBot="1">
      <c r="B15" s="14"/>
      <c r="C15" s="3"/>
      <c r="D15" s="3"/>
      <c r="E15" s="247"/>
      <c r="F15" s="255"/>
      <c r="G15" s="256"/>
      <c r="H15" s="255"/>
      <c r="I15" s="257"/>
      <c r="J15" s="31"/>
      <c r="K15" s="25" t="s">
        <v>14</v>
      </c>
      <c r="L15" s="283">
        <v>130942</v>
      </c>
      <c r="M15" s="207">
        <v>5.9560000000000002E-2</v>
      </c>
      <c r="N15" s="184">
        <f t="shared" si="0"/>
        <v>7798.9055200000003</v>
      </c>
      <c r="O15" s="24" t="s">
        <v>29</v>
      </c>
      <c r="P15" s="149">
        <f>SUM(P10:P14)</f>
        <v>2297851</v>
      </c>
      <c r="Q15" s="150"/>
      <c r="R15" s="22">
        <f>SUM(R10:R14)</f>
        <v>211356.33498000001</v>
      </c>
    </row>
    <row r="16" spans="2:20" ht="15.6" customHeight="1" thickTop="1">
      <c r="B16" s="14"/>
      <c r="C16" s="3"/>
      <c r="D16" s="3"/>
      <c r="E16" s="247"/>
      <c r="F16" s="255"/>
      <c r="G16" s="256"/>
      <c r="H16" s="255"/>
      <c r="I16" s="257"/>
      <c r="J16" s="31"/>
      <c r="K16" s="25" t="s">
        <v>20</v>
      </c>
      <c r="L16" s="283">
        <v>2172707</v>
      </c>
      <c r="M16" s="207">
        <v>5.4000000000000001E-4</v>
      </c>
      <c r="N16" s="184">
        <f t="shared" si="0"/>
        <v>1173.26178</v>
      </c>
      <c r="O16" s="25"/>
      <c r="P16" s="208">
        <v>2297851</v>
      </c>
      <c r="Q16" s="16"/>
      <c r="R16" s="151"/>
    </row>
    <row r="17" spans="2:18" ht="15.6" customHeight="1" thickBot="1">
      <c r="B17" s="188" t="s">
        <v>192</v>
      </c>
      <c r="C17" s="27">
        <v>804000</v>
      </c>
      <c r="D17" s="27" t="s">
        <v>137</v>
      </c>
      <c r="E17" s="244">
        <v>7712330.2800000003</v>
      </c>
      <c r="F17" s="258"/>
      <c r="G17" s="256"/>
      <c r="H17" s="255"/>
      <c r="I17" s="257"/>
      <c r="J17" s="31"/>
      <c r="K17" s="24" t="s">
        <v>29</v>
      </c>
      <c r="L17" s="149">
        <f>SUM(L10:L16)</f>
        <v>6552575</v>
      </c>
      <c r="M17" s="4"/>
      <c r="N17" s="22">
        <f>SUM(N10:N16)</f>
        <v>421045.68271000002</v>
      </c>
      <c r="O17" s="25"/>
      <c r="P17" s="148">
        <f>P15-P16</f>
        <v>0</v>
      </c>
      <c r="Q17" s="16" t="s">
        <v>23</v>
      </c>
      <c r="R17" s="23"/>
    </row>
    <row r="18" spans="2:18" ht="15.6" customHeight="1" thickTop="1">
      <c r="B18" s="188" t="s">
        <v>193</v>
      </c>
      <c r="C18" s="27">
        <v>804010</v>
      </c>
      <c r="D18" s="27" t="s">
        <v>137</v>
      </c>
      <c r="E18" s="244">
        <v>34357.4</v>
      </c>
      <c r="F18" s="255"/>
      <c r="G18" s="256"/>
      <c r="H18" s="255"/>
      <c r="I18" s="257"/>
      <c r="J18" s="31"/>
      <c r="K18" s="15"/>
      <c r="L18" s="208">
        <v>6552575</v>
      </c>
      <c r="M18" s="16"/>
      <c r="N18" s="151"/>
      <c r="O18" s="14"/>
      <c r="P18" s="3"/>
      <c r="Q18" s="138"/>
      <c r="R18" s="23"/>
    </row>
    <row r="19" spans="2:18" ht="15.6" customHeight="1">
      <c r="B19" s="188" t="s">
        <v>194</v>
      </c>
      <c r="C19" s="27">
        <v>804017</v>
      </c>
      <c r="D19" s="27" t="s">
        <v>137</v>
      </c>
      <c r="E19" s="244">
        <v>39596.839999999997</v>
      </c>
      <c r="F19" s="255"/>
      <c r="G19" s="256"/>
      <c r="H19" s="255"/>
      <c r="I19" s="257"/>
      <c r="J19" s="31"/>
      <c r="K19" s="14"/>
      <c r="L19" s="272">
        <f>L17-L18</f>
        <v>0</v>
      </c>
      <c r="M19" s="16" t="s">
        <v>23</v>
      </c>
      <c r="N19" s="11"/>
      <c r="O19" s="20"/>
      <c r="P19" s="21"/>
      <c r="Q19" s="3"/>
      <c r="R19" s="23"/>
    </row>
    <row r="20" spans="2:18" ht="15.6" customHeight="1">
      <c r="B20" s="188" t="s">
        <v>195</v>
      </c>
      <c r="C20" s="27">
        <v>804018</v>
      </c>
      <c r="D20" s="27" t="s">
        <v>137</v>
      </c>
      <c r="E20" s="244">
        <v>10790.52</v>
      </c>
      <c r="F20" s="255"/>
      <c r="G20" s="256"/>
      <c r="H20" s="255"/>
      <c r="I20" s="257"/>
      <c r="J20" s="31"/>
      <c r="K20" s="14"/>
      <c r="L20" s="3"/>
      <c r="M20" s="16"/>
      <c r="N20" s="11"/>
      <c r="O20" s="20"/>
      <c r="P20" s="21"/>
      <c r="Q20" s="3"/>
      <c r="R20" s="11"/>
    </row>
    <row r="21" spans="2:18" ht="15.6" customHeight="1">
      <c r="B21" s="188" t="s">
        <v>196</v>
      </c>
      <c r="C21" s="27">
        <v>804600</v>
      </c>
      <c r="D21" s="27" t="s">
        <v>137</v>
      </c>
      <c r="E21" s="244">
        <v>-407764.31</v>
      </c>
      <c r="F21" s="255"/>
      <c r="G21" s="256"/>
      <c r="H21" s="255"/>
      <c r="I21" s="257"/>
      <c r="J21" s="31"/>
      <c r="K21" s="14"/>
      <c r="L21" s="3"/>
      <c r="M21" s="16"/>
      <c r="N21" s="11"/>
      <c r="O21" s="20"/>
      <c r="P21" s="21"/>
      <c r="Q21" s="3"/>
      <c r="R21" s="11"/>
    </row>
    <row r="22" spans="2:18" ht="15.6" customHeight="1">
      <c r="B22" s="188" t="s">
        <v>197</v>
      </c>
      <c r="C22" s="27">
        <v>804730</v>
      </c>
      <c r="D22" s="27" t="s">
        <v>137</v>
      </c>
      <c r="E22" s="244">
        <v>212586.49</v>
      </c>
      <c r="F22" s="255"/>
      <c r="G22" s="256"/>
      <c r="H22" s="255"/>
      <c r="I22" s="257"/>
      <c r="J22" s="31"/>
      <c r="K22" s="24" t="s">
        <v>30</v>
      </c>
      <c r="L22" s="3"/>
      <c r="M22" s="3"/>
      <c r="N22" s="11"/>
      <c r="O22" s="24" t="s">
        <v>30</v>
      </c>
      <c r="P22" s="19"/>
      <c r="Q22" s="3"/>
      <c r="R22" s="11"/>
    </row>
    <row r="23" spans="2:18" ht="15.6" customHeight="1">
      <c r="B23" s="188" t="s">
        <v>198</v>
      </c>
      <c r="C23" s="27">
        <v>808100</v>
      </c>
      <c r="D23" s="27" t="s">
        <v>137</v>
      </c>
      <c r="E23" s="244">
        <v>390499.5</v>
      </c>
      <c r="F23" s="255"/>
      <c r="G23" s="256"/>
      <c r="H23" s="255"/>
      <c r="I23" s="257"/>
      <c r="J23" s="31"/>
      <c r="K23" s="25" t="s">
        <v>10</v>
      </c>
      <c r="L23" s="275">
        <f>+L10</f>
        <v>2215976</v>
      </c>
      <c r="M23" s="207">
        <v>0.35372999999999999</v>
      </c>
      <c r="N23" s="184">
        <f>L23*M23</f>
        <v>783857.19047999999</v>
      </c>
      <c r="O23" s="25" t="s">
        <v>10</v>
      </c>
      <c r="P23" s="275">
        <f>+P10</f>
        <v>1155786</v>
      </c>
      <c r="Q23" s="207">
        <v>0.34877000000000002</v>
      </c>
      <c r="R23" s="184">
        <f>P23*Q23</f>
        <v>403103.48322000005</v>
      </c>
    </row>
    <row r="24" spans="2:18" ht="15.6" customHeight="1">
      <c r="B24" s="188" t="s">
        <v>199</v>
      </c>
      <c r="C24" s="27">
        <v>808200</v>
      </c>
      <c r="D24" s="27" t="s">
        <v>137</v>
      </c>
      <c r="E24" s="244">
        <v>-1241412.83</v>
      </c>
      <c r="F24" s="255"/>
      <c r="G24" s="256"/>
      <c r="H24" s="255"/>
      <c r="I24" s="257"/>
      <c r="J24" s="31"/>
      <c r="K24" s="25" t="s">
        <v>42</v>
      </c>
      <c r="L24" s="275">
        <f t="shared" ref="L24:L28" si="2">+L11</f>
        <v>5737</v>
      </c>
      <c r="M24" s="207">
        <f>M23</f>
        <v>0.35372999999999999</v>
      </c>
      <c r="N24" s="184">
        <f t="shared" ref="N24:N28" si="3">L24*M24</f>
        <v>2029.3490099999999</v>
      </c>
      <c r="O24" s="25" t="s">
        <v>11</v>
      </c>
      <c r="P24" s="275">
        <f t="shared" ref="P24:P27" si="4">+P11</f>
        <v>1142064</v>
      </c>
      <c r="Q24" s="207">
        <f>Q23</f>
        <v>0.34877000000000002</v>
      </c>
      <c r="R24" s="184">
        <f t="shared" ref="R24:R27" si="5">P24*Q24</f>
        <v>398317.66128</v>
      </c>
    </row>
    <row r="25" spans="2:18" ht="15.6" customHeight="1">
      <c r="B25" s="188" t="s">
        <v>200</v>
      </c>
      <c r="C25" s="27">
        <v>811000</v>
      </c>
      <c r="D25" s="27" t="s">
        <v>137</v>
      </c>
      <c r="E25" s="244">
        <v>-33127.910000000003</v>
      </c>
      <c r="F25" s="255"/>
      <c r="G25" s="256"/>
      <c r="H25" s="255"/>
      <c r="I25" s="257"/>
      <c r="J25" s="31"/>
      <c r="K25" s="25" t="s">
        <v>11</v>
      </c>
      <c r="L25" s="275">
        <f t="shared" si="2"/>
        <v>2007701</v>
      </c>
      <c r="M25" s="207">
        <f t="shared" ref="M25:M28" si="6">M24</f>
        <v>0.35372999999999999</v>
      </c>
      <c r="N25" s="184">
        <f t="shared" si="3"/>
        <v>710184.07472999999</v>
      </c>
      <c r="O25" s="25" t="s">
        <v>12</v>
      </c>
      <c r="P25" s="275">
        <f t="shared" si="4"/>
        <v>1</v>
      </c>
      <c r="Q25" s="207">
        <f t="shared" ref="Q25:Q27" si="7">Q24</f>
        <v>0.34877000000000002</v>
      </c>
      <c r="R25" s="184">
        <f t="shared" si="5"/>
        <v>0.34877000000000002</v>
      </c>
    </row>
    <row r="26" spans="2:18" ht="15.6" customHeight="1">
      <c r="B26" s="188" t="s">
        <v>201</v>
      </c>
      <c r="C26" s="27">
        <v>483000</v>
      </c>
      <c r="D26" s="27" t="s">
        <v>137</v>
      </c>
      <c r="E26" s="244">
        <v>-2814923.06</v>
      </c>
      <c r="F26" s="258"/>
      <c r="G26" s="256"/>
      <c r="H26" s="255"/>
      <c r="I26" s="257"/>
      <c r="J26" s="31"/>
      <c r="K26" s="25" t="s">
        <v>12</v>
      </c>
      <c r="L26" s="275">
        <f t="shared" si="2"/>
        <v>19512</v>
      </c>
      <c r="M26" s="207">
        <f t="shared" si="6"/>
        <v>0.35372999999999999</v>
      </c>
      <c r="N26" s="184">
        <f t="shared" si="3"/>
        <v>6901.9797600000002</v>
      </c>
      <c r="O26" s="25" t="s">
        <v>13</v>
      </c>
      <c r="P26" s="275">
        <f t="shared" si="4"/>
        <v>0</v>
      </c>
      <c r="Q26" s="207">
        <f t="shared" si="7"/>
        <v>0.34877000000000002</v>
      </c>
      <c r="R26" s="184">
        <f t="shared" si="5"/>
        <v>0</v>
      </c>
    </row>
    <row r="27" spans="2:18" ht="15.6" customHeight="1">
      <c r="B27" s="188" t="s">
        <v>202</v>
      </c>
      <c r="C27" s="27">
        <v>483600</v>
      </c>
      <c r="D27" s="27" t="s">
        <v>137</v>
      </c>
      <c r="E27" s="244">
        <v>514894.5</v>
      </c>
      <c r="F27" s="255"/>
      <c r="G27" s="256"/>
      <c r="H27" s="255"/>
      <c r="I27" s="257"/>
      <c r="J27" s="31"/>
      <c r="K27" s="25" t="s">
        <v>13</v>
      </c>
      <c r="L27" s="275">
        <f t="shared" si="2"/>
        <v>0</v>
      </c>
      <c r="M27" s="207">
        <f t="shared" si="6"/>
        <v>0.35372999999999999</v>
      </c>
      <c r="N27" s="184">
        <f t="shared" si="3"/>
        <v>0</v>
      </c>
      <c r="O27" s="25" t="s">
        <v>14</v>
      </c>
      <c r="P27" s="275">
        <f t="shared" si="4"/>
        <v>0</v>
      </c>
      <c r="Q27" s="207">
        <f t="shared" si="7"/>
        <v>0.34877000000000002</v>
      </c>
      <c r="R27" s="184">
        <f t="shared" si="5"/>
        <v>0</v>
      </c>
    </row>
    <row r="28" spans="2:18" ht="15.6" customHeight="1" thickBot="1">
      <c r="B28" s="188" t="s">
        <v>203</v>
      </c>
      <c r="C28" s="27">
        <v>483730</v>
      </c>
      <c r="D28" s="27" t="s">
        <v>137</v>
      </c>
      <c r="E28" s="244">
        <v>-3979292.6</v>
      </c>
      <c r="F28" s="255"/>
      <c r="G28" s="256"/>
      <c r="H28" s="255"/>
      <c r="I28" s="257"/>
      <c r="J28" s="31"/>
      <c r="K28" s="25" t="s">
        <v>14</v>
      </c>
      <c r="L28" s="275">
        <f t="shared" si="2"/>
        <v>130942</v>
      </c>
      <c r="M28" s="207">
        <f t="shared" si="6"/>
        <v>0.35372999999999999</v>
      </c>
      <c r="N28" s="184">
        <f t="shared" si="3"/>
        <v>46318.113659999995</v>
      </c>
      <c r="O28" s="24" t="s">
        <v>31</v>
      </c>
      <c r="P28" s="149">
        <f>SUM(P23:P27)</f>
        <v>2297851</v>
      </c>
      <c r="Q28" s="150"/>
      <c r="R28" s="22">
        <f>SUM(R23:R27)</f>
        <v>801421.49327000009</v>
      </c>
    </row>
    <row r="29" spans="2:18" ht="15.6" customHeight="1" thickTop="1" thickBot="1">
      <c r="B29" s="188" t="s">
        <v>204</v>
      </c>
      <c r="C29" s="27">
        <v>495028</v>
      </c>
      <c r="D29" s="27" t="s">
        <v>137</v>
      </c>
      <c r="E29" s="244">
        <v>-468750</v>
      </c>
      <c r="F29" s="255"/>
      <c r="G29" s="256"/>
      <c r="H29" s="255"/>
      <c r="I29" s="257"/>
      <c r="J29" s="31"/>
      <c r="K29" s="24" t="s">
        <v>31</v>
      </c>
      <c r="L29" s="149">
        <f>SUM(L23:L28)</f>
        <v>4379868</v>
      </c>
      <c r="M29" s="150"/>
      <c r="N29" s="157">
        <f>SUM(N23:N28)</f>
        <v>1549290.7076399999</v>
      </c>
      <c r="O29" s="24"/>
      <c r="P29" s="208">
        <v>2297851</v>
      </c>
      <c r="Q29" s="16"/>
      <c r="R29" s="154"/>
    </row>
    <row r="30" spans="2:18" ht="15.6" customHeight="1" thickTop="1">
      <c r="B30" s="188" t="s">
        <v>136</v>
      </c>
      <c r="C30" s="27">
        <v>495100</v>
      </c>
      <c r="D30" s="27" t="s">
        <v>137</v>
      </c>
      <c r="E30" s="244">
        <v>-4218</v>
      </c>
      <c r="F30" s="259"/>
      <c r="G30" s="260"/>
      <c r="H30" s="259"/>
      <c r="I30" s="261"/>
      <c r="J30" s="31"/>
      <c r="K30" s="15"/>
      <c r="L30" s="208">
        <v>4379868</v>
      </c>
      <c r="M30" s="16"/>
      <c r="N30" s="158"/>
      <c r="O30" s="24"/>
      <c r="P30" s="148">
        <f>P28-P29</f>
        <v>0</v>
      </c>
      <c r="Q30" s="16" t="s">
        <v>23</v>
      </c>
      <c r="R30" s="23"/>
    </row>
    <row r="31" spans="2:18" ht="15.6" customHeight="1" thickBot="1">
      <c r="B31" s="201" t="s">
        <v>26</v>
      </c>
      <c r="C31" s="27"/>
      <c r="D31" s="27"/>
      <c r="E31" s="246">
        <f>-E13</f>
        <v>14710.11</v>
      </c>
      <c r="F31" s="255"/>
      <c r="G31" s="256"/>
      <c r="H31" s="255"/>
      <c r="I31" s="257"/>
      <c r="J31" s="31"/>
      <c r="K31" s="17"/>
      <c r="L31" s="155">
        <f>L29-L30</f>
        <v>0</v>
      </c>
      <c r="M31" s="18" t="s">
        <v>23</v>
      </c>
      <c r="N31" s="156"/>
      <c r="O31" s="159"/>
      <c r="P31" s="160"/>
      <c r="Q31" s="161"/>
      <c r="R31" s="162"/>
    </row>
    <row r="32" spans="2:18" ht="15.6" customHeight="1" thickBot="1">
      <c r="B32" s="197" t="s">
        <v>27</v>
      </c>
      <c r="C32" s="3"/>
      <c r="D32" s="3"/>
      <c r="E32" s="245">
        <f>SUM(E17:E31)</f>
        <v>-19723.070000000167</v>
      </c>
      <c r="F32" s="262"/>
      <c r="G32" s="236">
        <f>E32*G8</f>
        <v>-12936.36161300011</v>
      </c>
      <c r="H32" s="146"/>
      <c r="I32" s="226">
        <f>E32*I8</f>
        <v>-6786.708387000057</v>
      </c>
      <c r="J32" s="31"/>
    </row>
    <row r="33" spans="1:20" ht="15.6" customHeight="1">
      <c r="B33" s="188" t="s">
        <v>135</v>
      </c>
      <c r="C33" s="27">
        <v>495100</v>
      </c>
      <c r="D33" s="3" t="s">
        <v>142</v>
      </c>
      <c r="E33" s="244">
        <v>0</v>
      </c>
      <c r="F33" s="259"/>
      <c r="G33" s="236">
        <f>E33</f>
        <v>0</v>
      </c>
      <c r="H33" s="146"/>
      <c r="I33" s="226"/>
      <c r="J33" s="31"/>
      <c r="K33" s="210" t="s">
        <v>19</v>
      </c>
      <c r="L33" s="5" t="s">
        <v>8</v>
      </c>
      <c r="M33" s="5" t="s">
        <v>8</v>
      </c>
      <c r="N33" s="5" t="s">
        <v>16</v>
      </c>
      <c r="O33" s="5" t="s">
        <v>16</v>
      </c>
      <c r="P33" s="211"/>
      <c r="Q33" s="1"/>
    </row>
    <row r="34" spans="1:20" ht="15.6" customHeight="1" thickBot="1">
      <c r="B34" s="202" t="s">
        <v>122</v>
      </c>
      <c r="C34" s="27">
        <v>495100</v>
      </c>
      <c r="D34" s="3" t="s">
        <v>143</v>
      </c>
      <c r="E34" s="244">
        <v>0</v>
      </c>
      <c r="F34" s="259"/>
      <c r="G34" s="236"/>
      <c r="H34" s="146"/>
      <c r="I34" s="226">
        <f>E34</f>
        <v>0</v>
      </c>
      <c r="J34" s="31"/>
      <c r="K34" s="195"/>
      <c r="L34" s="12" t="s">
        <v>2</v>
      </c>
      <c r="M34" s="12" t="s">
        <v>1</v>
      </c>
      <c r="N34" s="12" t="s">
        <v>2</v>
      </c>
      <c r="O34" s="12" t="s">
        <v>1</v>
      </c>
      <c r="P34" s="221" t="s">
        <v>147</v>
      </c>
      <c r="Q34" s="1"/>
    </row>
    <row r="35" spans="1:20" ht="15.6" customHeight="1">
      <c r="B35" s="15" t="s">
        <v>144</v>
      </c>
      <c r="C35" s="27">
        <v>804000</v>
      </c>
      <c r="D35" s="3" t="s">
        <v>142</v>
      </c>
      <c r="E35" s="244">
        <v>-19295.93</v>
      </c>
      <c r="F35" s="255"/>
      <c r="G35" s="236">
        <f>E35</f>
        <v>-19295.93</v>
      </c>
      <c r="H35" s="146"/>
      <c r="I35" s="226"/>
      <c r="J35" s="31"/>
      <c r="K35" s="14" t="s">
        <v>149</v>
      </c>
      <c r="L35" s="147">
        <f>$F$39</f>
        <v>1558238.7113049999</v>
      </c>
      <c r="M35" s="147">
        <f>G39</f>
        <v>-32232.29161300011</v>
      </c>
      <c r="N35" s="147">
        <f>$H$39</f>
        <v>718223.97869499994</v>
      </c>
      <c r="O35" s="147">
        <f>I39</f>
        <v>-14514.108387000057</v>
      </c>
      <c r="P35" s="220">
        <f>SUM(L35:O35)-E39</f>
        <v>0</v>
      </c>
      <c r="Q35" s="1"/>
    </row>
    <row r="36" spans="1:20" ht="15.6" customHeight="1" thickBot="1">
      <c r="B36" s="15" t="s">
        <v>145</v>
      </c>
      <c r="C36" s="27">
        <v>804000</v>
      </c>
      <c r="D36" s="3" t="s">
        <v>143</v>
      </c>
      <c r="E36" s="244">
        <v>-7727.4</v>
      </c>
      <c r="F36" s="255"/>
      <c r="G36" s="236"/>
      <c r="H36" s="146"/>
      <c r="I36" s="226">
        <f>E36</f>
        <v>-7727.4</v>
      </c>
      <c r="J36" s="31"/>
      <c r="K36" s="14" t="s">
        <v>152</v>
      </c>
      <c r="L36" s="209">
        <f>-$N$17</f>
        <v>-421045.68271000002</v>
      </c>
      <c r="M36" s="209">
        <f>-N29</f>
        <v>-1549290.7076399999</v>
      </c>
      <c r="N36" s="209">
        <f>-$R$15</f>
        <v>-211356.33498000001</v>
      </c>
      <c r="O36" s="209">
        <f>-R28</f>
        <v>-801421.49327000009</v>
      </c>
      <c r="P36" s="220">
        <f>SUM(L36:O36)+N17+N29+R15+R28</f>
        <v>0</v>
      </c>
      <c r="Q36" s="1"/>
    </row>
    <row r="37" spans="1:20" ht="15.6" customHeight="1" thickBot="1">
      <c r="B37" s="197" t="s">
        <v>155</v>
      </c>
      <c r="C37" s="27"/>
      <c r="D37" s="3"/>
      <c r="E37" s="245">
        <f>SUM(E32:E36)</f>
        <v>-46746.400000000169</v>
      </c>
      <c r="F37" s="237"/>
      <c r="G37" s="239"/>
      <c r="H37" s="237"/>
      <c r="I37" s="200"/>
      <c r="J37" s="31"/>
      <c r="K37" s="197" t="s">
        <v>150</v>
      </c>
      <c r="L37" s="152">
        <f t="shared" ref="L37:O37" si="8">SUM(L35:L36)</f>
        <v>1137193.0285949998</v>
      </c>
      <c r="M37" s="152">
        <f>SUM(M35:M36)</f>
        <v>-1581522.9992530001</v>
      </c>
      <c r="N37" s="152">
        <f t="shared" si="8"/>
        <v>506867.6437149999</v>
      </c>
      <c r="O37" s="152">
        <f t="shared" si="8"/>
        <v>-815935.60165700014</v>
      </c>
      <c r="P37" s="212"/>
      <c r="Q37" s="1"/>
    </row>
    <row r="38" spans="1:20" ht="15.6" customHeight="1" thickBot="1">
      <c r="B38" s="14"/>
      <c r="C38" s="8"/>
      <c r="D38" s="8"/>
      <c r="E38" s="248"/>
      <c r="F38" s="240"/>
      <c r="G38" s="241"/>
      <c r="H38" s="240"/>
      <c r="I38" s="203"/>
      <c r="J38" s="31"/>
      <c r="K38" s="213"/>
      <c r="L38" s="175"/>
      <c r="M38" s="6"/>
      <c r="N38" s="1"/>
      <c r="O38" s="217"/>
      <c r="P38" s="214"/>
      <c r="Q38" s="1"/>
    </row>
    <row r="39" spans="1:20" ht="15.6" customHeight="1" thickBot="1">
      <c r="B39" s="204" t="s">
        <v>146</v>
      </c>
      <c r="C39" s="205"/>
      <c r="D39" s="205"/>
      <c r="E39" s="245">
        <f>E37+E14</f>
        <v>2229716.2899999996</v>
      </c>
      <c r="F39" s="250">
        <f>SUM(F14:F37)</f>
        <v>1558238.7113049999</v>
      </c>
      <c r="G39" s="251">
        <f t="shared" ref="G39:I39" si="9">SUM(G14:G37)</f>
        <v>-32232.29161300011</v>
      </c>
      <c r="H39" s="250">
        <f t="shared" si="9"/>
        <v>718223.97869499994</v>
      </c>
      <c r="I39" s="206">
        <f t="shared" si="9"/>
        <v>-14514.108387000057</v>
      </c>
      <c r="J39" s="31"/>
      <c r="K39" s="215"/>
      <c r="L39" s="218" t="s">
        <v>36</v>
      </c>
      <c r="M39" s="216">
        <f>SUM(L37:M37)</f>
        <v>-444329.97065800033</v>
      </c>
      <c r="N39" s="219" t="s">
        <v>37</v>
      </c>
      <c r="O39" s="216">
        <f>SUM(N37:O37)</f>
        <v>-309067.95794200024</v>
      </c>
      <c r="P39" s="29"/>
      <c r="Q39" s="1"/>
    </row>
    <row r="40" spans="1:20" ht="15.6" customHeight="1">
      <c r="B40" s="31"/>
      <c r="C40" s="9"/>
      <c r="D40" s="9"/>
      <c r="E40" s="137"/>
      <c r="F40" s="137"/>
      <c r="G40" s="137"/>
      <c r="H40" s="137"/>
      <c r="I40" s="137"/>
      <c r="J40" s="31"/>
      <c r="M40" s="28"/>
      <c r="Q40" s="1"/>
    </row>
    <row r="41" spans="1:20" ht="15.6" customHeight="1">
      <c r="A41" s="31"/>
      <c r="B41" s="266" t="s">
        <v>157</v>
      </c>
      <c r="C41" s="265"/>
      <c r="D41" s="10" t="s">
        <v>156</v>
      </c>
      <c r="E41" s="274">
        <v>2229716.29</v>
      </c>
      <c r="F41" s="137"/>
      <c r="G41" s="137"/>
      <c r="H41" s="137"/>
      <c r="I41" s="137"/>
      <c r="J41" s="31"/>
      <c r="P41" s="2"/>
    </row>
    <row r="42" spans="1:20" ht="15.6" customHeight="1">
      <c r="B42" s="193"/>
      <c r="C42" s="193"/>
      <c r="D42" s="10" t="s">
        <v>34</v>
      </c>
      <c r="E42" s="146">
        <f>ROUND(E39-E41,2)</f>
        <v>0</v>
      </c>
      <c r="F42" s="225"/>
      <c r="G42" s="225"/>
      <c r="H42" s="225"/>
      <c r="I42" s="225"/>
    </row>
    <row r="43" spans="1:20" ht="15.6" customHeight="1">
      <c r="B43" s="193"/>
      <c r="C43" s="193"/>
      <c r="E43" s="170"/>
      <c r="F43" s="225"/>
      <c r="G43" s="225"/>
      <c r="H43" s="225"/>
      <c r="I43" s="225"/>
    </row>
    <row r="44" spans="1:20" ht="15.6" customHeight="1" thickBot="1">
      <c r="B44" s="193"/>
      <c r="C44" s="193"/>
      <c r="E44" s="170"/>
      <c r="F44" s="225"/>
      <c r="G44" s="225"/>
      <c r="H44" s="225"/>
      <c r="I44" s="225"/>
    </row>
    <row r="45" spans="1:20" ht="15.6" customHeight="1" thickBot="1">
      <c r="B45" s="193"/>
      <c r="C45" s="193"/>
      <c r="E45" s="289" t="s">
        <v>148</v>
      </c>
      <c r="F45" s="290"/>
      <c r="G45" s="225"/>
      <c r="H45" s="225"/>
      <c r="I45" s="225"/>
    </row>
    <row r="46" spans="1:20" ht="15.6" customHeight="1">
      <c r="B46" s="193"/>
      <c r="C46" s="193"/>
      <c r="E46" s="188" t="s">
        <v>38</v>
      </c>
      <c r="F46" s="223" t="s">
        <v>39</v>
      </c>
      <c r="G46" s="225"/>
      <c r="H46" s="225"/>
      <c r="I46" s="225"/>
    </row>
    <row r="47" spans="1:20" ht="15.6" thickBot="1">
      <c r="E47" s="224" t="e">
        <f>SUM('191010 WA DEF'!E84:E93)+SUM('191000 WA Amort'!H84:H93)+SUM(#REF!)+SUM(#REF!)</f>
        <v>#REF!</v>
      </c>
      <c r="F47" s="222" t="e">
        <f>-E47</f>
        <v>#REF!</v>
      </c>
    </row>
    <row r="48" spans="1:20">
      <c r="E48" s="269"/>
      <c r="F48" s="269"/>
      <c r="T48" s="31"/>
    </row>
    <row r="49" spans="1:20" s="31" customFormat="1">
      <c r="A49" s="30"/>
      <c r="B49" s="30"/>
      <c r="C49" s="30"/>
      <c r="D49" s="30"/>
      <c r="E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20" s="31" customFormat="1">
      <c r="A50" s="30"/>
      <c r="B50" s="30"/>
      <c r="C50" s="30"/>
      <c r="D50" s="30"/>
      <c r="E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20" s="31" customFormat="1">
      <c r="A51" s="30"/>
      <c r="B51" s="30"/>
      <c r="C51" s="30"/>
      <c r="D51" s="30"/>
      <c r="E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20" s="31" customFormat="1">
      <c r="A52" s="30"/>
      <c r="B52" s="30"/>
      <c r="C52" s="30"/>
      <c r="D52" s="30"/>
      <c r="E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31" customFormat="1">
      <c r="A53" s="30"/>
      <c r="B53" s="30"/>
      <c r="C53" s="30"/>
      <c r="D53" s="30"/>
      <c r="E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20" s="31" customFormat="1">
      <c r="A54" s="30"/>
      <c r="B54" s="30"/>
      <c r="C54" s="30"/>
      <c r="D54" s="30"/>
      <c r="E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20" s="31" customFormat="1">
      <c r="A55" s="30"/>
      <c r="B55" s="30"/>
      <c r="C55" s="30"/>
      <c r="D55" s="30"/>
      <c r="E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20" s="31" customFormat="1">
      <c r="A56" s="30"/>
      <c r="B56" s="30"/>
      <c r="C56" s="30"/>
      <c r="D56" s="30"/>
      <c r="E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20" s="31" customFormat="1">
      <c r="A57" s="30"/>
      <c r="B57" s="30"/>
      <c r="C57" s="30"/>
      <c r="D57" s="30"/>
      <c r="E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20" s="31" customFormat="1">
      <c r="A58" s="30"/>
      <c r="B58" s="30"/>
      <c r="C58" s="30"/>
      <c r="D58" s="30"/>
      <c r="E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20" s="31" customFormat="1">
      <c r="A59" s="30"/>
      <c r="B59" s="30"/>
      <c r="C59" s="30"/>
      <c r="D59" s="30"/>
      <c r="E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20" s="31" customFormat="1">
      <c r="A60" s="30"/>
      <c r="B60" s="30"/>
      <c r="C60" s="30"/>
      <c r="D60" s="30"/>
      <c r="E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20" s="31" customFormat="1">
      <c r="A61" s="30"/>
      <c r="B61" s="30"/>
      <c r="C61" s="30"/>
      <c r="D61" s="30"/>
      <c r="E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20" s="31" customFormat="1">
      <c r="A62" s="30"/>
      <c r="B62" s="30"/>
      <c r="C62" s="30"/>
      <c r="D62" s="30"/>
      <c r="E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20" s="31" customFormat="1">
      <c r="A63" s="30"/>
      <c r="B63" s="30"/>
      <c r="C63" s="30"/>
      <c r="D63" s="30"/>
      <c r="E63" s="30"/>
      <c r="J63" s="30"/>
      <c r="K63" s="30"/>
      <c r="L63" s="30"/>
      <c r="M63" s="30"/>
      <c r="N63" s="30"/>
      <c r="O63" s="30"/>
      <c r="P63" s="30"/>
      <c r="Q63" s="30"/>
      <c r="R63" s="30"/>
      <c r="T63" s="30"/>
    </row>
    <row r="1387" spans="1:20">
      <c r="T1387" s="7"/>
    </row>
    <row r="1388" spans="1:20" s="7" customFormat="1">
      <c r="A1388" s="30"/>
      <c r="B1388" s="30"/>
      <c r="C1388" s="30"/>
      <c r="D1388" s="30">
        <v>-2130</v>
      </c>
      <c r="F1388" s="31"/>
      <c r="G1388" s="31"/>
      <c r="H1388" s="31"/>
      <c r="I1388" s="31"/>
      <c r="J1388" s="30"/>
      <c r="K1388" s="30"/>
      <c r="L1388" s="30"/>
      <c r="M1388" s="30"/>
      <c r="N1388" s="30"/>
      <c r="O1388" s="30"/>
      <c r="P1388" s="30"/>
      <c r="Q1388" s="30"/>
      <c r="R1388" s="30"/>
      <c r="T1388" s="30"/>
    </row>
    <row r="1395" spans="1:20">
      <c r="T1395" s="7"/>
    </row>
    <row r="1396" spans="1:20" s="7" customFormat="1">
      <c r="A1396" s="30"/>
      <c r="B1396" s="30"/>
      <c r="C1396" s="30"/>
      <c r="D1396" s="30">
        <f>7004298-2130</f>
        <v>7002168</v>
      </c>
      <c r="F1396" s="31"/>
      <c r="G1396" s="31"/>
      <c r="H1396" s="31"/>
      <c r="I1396" s="31"/>
      <c r="J1396" s="30"/>
      <c r="K1396" s="30"/>
      <c r="L1396" s="30"/>
      <c r="M1396" s="30"/>
      <c r="N1396" s="30"/>
      <c r="O1396" s="30"/>
      <c r="P1396" s="30"/>
      <c r="Q1396" s="30"/>
      <c r="R1396" s="30"/>
      <c r="T1396" s="30"/>
    </row>
  </sheetData>
  <mergeCells count="6">
    <mergeCell ref="E45:F45"/>
    <mergeCell ref="N1:O1"/>
    <mergeCell ref="F5:G5"/>
    <mergeCell ref="H5:I5"/>
    <mergeCell ref="K5:N5"/>
    <mergeCell ref="O5:R5"/>
  </mergeCells>
  <conditionalFormatting sqref="D43:D46">
    <cfRule type="cellIs" dxfId="26" priority="27" operator="equal">
      <formula>"ERROR"</formula>
    </cfRule>
  </conditionalFormatting>
  <conditionalFormatting sqref="D43:D46">
    <cfRule type="cellIs" dxfId="25" priority="26" operator="equal">
      <formula>"ERROR"</formula>
    </cfRule>
  </conditionalFormatting>
  <conditionalFormatting sqref="P31">
    <cfRule type="cellIs" dxfId="24" priority="25" operator="notEqual">
      <formula>0</formula>
    </cfRule>
  </conditionalFormatting>
  <conditionalFormatting sqref="L19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L19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L31">
    <cfRule type="cellIs" dxfId="19" priority="19" stopIfTrue="1" operator="equal">
      <formula>0</formula>
    </cfRule>
    <cfRule type="cellIs" dxfId="18" priority="20" stopIfTrue="1" operator="notEqual">
      <formula>0</formula>
    </cfRule>
  </conditionalFormatting>
  <conditionalFormatting sqref="L31">
    <cfRule type="cellIs" dxfId="17" priority="17" stopIfTrue="1" operator="equal">
      <formula>0</formula>
    </cfRule>
    <cfRule type="cellIs" dxfId="16" priority="18" stopIfTrue="1" operator="notEqual">
      <formula>0</formula>
    </cfRule>
  </conditionalFormatting>
  <conditionalFormatting sqref="P17">
    <cfRule type="cellIs" dxfId="15" priority="15" stopIfTrue="1" operator="equal">
      <formula>0</formula>
    </cfRule>
    <cfRule type="cellIs" dxfId="14" priority="16" stopIfTrue="1" operator="notEqual">
      <formula>0</formula>
    </cfRule>
  </conditionalFormatting>
  <conditionalFormatting sqref="P17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P30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P30">
    <cfRule type="cellIs" dxfId="9" priority="9" stopIfTrue="1" operator="equal">
      <formula>0</formula>
    </cfRule>
    <cfRule type="cellIs" dxfId="8" priority="10" stopIfTrue="1" operator="notEqual">
      <formula>0</formula>
    </cfRule>
  </conditionalFormatting>
  <conditionalFormatting sqref="P35:P36">
    <cfRule type="cellIs" dxfId="7" priority="7" stopIfTrue="1" operator="equal">
      <formula>0</formula>
    </cfRule>
    <cfRule type="cellIs" dxfId="6" priority="8" stopIfTrue="1" operator="notEqual">
      <formula>0</formula>
    </cfRule>
  </conditionalFormatting>
  <conditionalFormatting sqref="P35:P36">
    <cfRule type="cellIs" dxfId="5" priority="5" stopIfTrue="1" operator="equal">
      <formula>0</formula>
    </cfRule>
    <cfRule type="cellIs" dxfId="4" priority="6" stopIfTrue="1" operator="notEqual">
      <formula>0</formula>
    </cfRule>
  </conditionalFormatting>
  <conditionalFormatting sqref="E42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E4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1" right="0.1" top="0.5" bottom="0.5" header="0.3" footer="0.3"/>
  <pageSetup scale="37" orientation="landscape" r:id="rId1"/>
  <headerFooter>
    <oddFooter>&amp;R&amp;Z&amp;F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W93"/>
  <sheetViews>
    <sheetView zoomScale="90" zoomScaleNormal="90" workbookViewId="0">
      <pane ySplit="6" topLeftCell="A71" activePane="bottomLeft" state="frozen"/>
      <selection activeCell="I19" sqref="I19"/>
      <selection pane="bottomLeft" activeCell="I75" sqref="I75"/>
    </sheetView>
  </sheetViews>
  <sheetFormatPr defaultColWidth="8.88671875" defaultRowHeight="14.4"/>
  <cols>
    <col min="1" max="1" width="9.109375" style="32" customWidth="1"/>
    <col min="2" max="2" width="8.88671875" style="32"/>
    <col min="3" max="3" width="1.6640625" style="33" customWidth="1"/>
    <col min="4" max="4" width="13.6640625" style="32" customWidth="1"/>
    <col min="5" max="6" width="14.33203125" style="32" customWidth="1"/>
    <col min="7" max="7" width="14.6640625" style="32" bestFit="1" customWidth="1"/>
    <col min="8" max="8" width="12.109375" style="32" customWidth="1"/>
    <col min="9" max="9" width="15.33203125" style="32" bestFit="1" customWidth="1"/>
    <col min="10" max="10" width="1.6640625" style="33" customWidth="1"/>
    <col min="11" max="11" width="14.33203125" style="32" bestFit="1" customWidth="1"/>
    <col min="12" max="12" width="13.88671875" style="32" bestFit="1" customWidth="1"/>
    <col min="13" max="13" width="6.109375" style="76" customWidth="1"/>
    <col min="14" max="14" width="12.44140625" style="32" bestFit="1" customWidth="1"/>
    <col min="15" max="16" width="8.88671875" style="32"/>
    <col min="17" max="17" width="12.6640625" style="32" customWidth="1"/>
    <col min="18" max="19" width="13.109375" style="32" bestFit="1" customWidth="1"/>
    <col min="20" max="16384" width="8.88671875" style="32"/>
  </cols>
  <sheetData>
    <row r="1" spans="1:13" s="36" customFormat="1" ht="15.6">
      <c r="A1" s="34" t="s">
        <v>4</v>
      </c>
      <c r="B1" s="35"/>
      <c r="C1" s="35"/>
      <c r="D1" s="35"/>
      <c r="E1" s="35"/>
      <c r="F1" s="35"/>
      <c r="G1" s="35"/>
    </row>
    <row r="2" spans="1:13" s="36" customFormat="1" ht="15.6">
      <c r="A2" s="34" t="s">
        <v>0</v>
      </c>
      <c r="B2" s="35"/>
      <c r="C2" s="35"/>
      <c r="D2" s="35"/>
      <c r="E2" s="35"/>
      <c r="F2" s="35"/>
      <c r="G2" s="35"/>
    </row>
    <row r="3" spans="1:13" s="36" customFormat="1" ht="15.6">
      <c r="A3" s="34" t="s">
        <v>105</v>
      </c>
      <c r="B3" s="35"/>
      <c r="C3" s="35"/>
      <c r="D3" s="35"/>
      <c r="E3" s="35"/>
      <c r="F3" s="35"/>
      <c r="G3" s="35"/>
    </row>
    <row r="4" spans="1:13" s="36" customFormat="1" ht="15.6">
      <c r="A4" s="34" t="s">
        <v>106</v>
      </c>
      <c r="B4" s="35"/>
      <c r="C4" s="35"/>
      <c r="D4" s="35"/>
      <c r="E4" s="35"/>
      <c r="F4" s="35"/>
      <c r="G4" s="35"/>
    </row>
    <row r="5" spans="1:13" s="39" customFormat="1" ht="18">
      <c r="A5" s="37"/>
      <c r="B5" s="38"/>
      <c r="C5" s="38"/>
      <c r="D5" s="38"/>
      <c r="E5" s="38"/>
      <c r="F5" s="38"/>
      <c r="G5" s="38"/>
    </row>
    <row r="6" spans="1:13" s="40" customFormat="1" ht="56.4" customHeight="1">
      <c r="A6" s="41" t="s">
        <v>43</v>
      </c>
      <c r="B6" s="42" t="s">
        <v>41</v>
      </c>
      <c r="C6" s="43"/>
      <c r="D6" s="42" t="s">
        <v>50</v>
      </c>
      <c r="E6" s="42" t="s">
        <v>40</v>
      </c>
      <c r="F6" s="42" t="s">
        <v>1</v>
      </c>
      <c r="G6" s="42" t="s">
        <v>2</v>
      </c>
      <c r="H6" s="42" t="s">
        <v>3</v>
      </c>
      <c r="I6" s="42" t="s">
        <v>15</v>
      </c>
      <c r="J6" s="43"/>
      <c r="K6" s="44" t="s">
        <v>44</v>
      </c>
      <c r="L6" s="44" t="s">
        <v>45</v>
      </c>
      <c r="M6" s="43"/>
    </row>
    <row r="7" spans="1:13" s="40" customFormat="1" ht="15.6" hidden="1" customHeight="1">
      <c r="A7" s="77" t="s">
        <v>46</v>
      </c>
      <c r="B7" s="82">
        <v>4.2500000000000003E-2</v>
      </c>
      <c r="C7" s="57"/>
      <c r="D7" s="83"/>
      <c r="E7" s="84">
        <v>-11107523.789999999</v>
      </c>
      <c r="F7" s="83">
        <v>-743591.9</v>
      </c>
      <c r="G7" s="83">
        <v>-1331000.46</v>
      </c>
      <c r="H7" s="84">
        <v>-43012.9</v>
      </c>
      <c r="I7" s="84">
        <v>-13225129.049999999</v>
      </c>
      <c r="J7" s="43"/>
      <c r="K7" s="60">
        <v>-13242800.26</v>
      </c>
      <c r="L7" s="61">
        <v>-17671.210000000894</v>
      </c>
      <c r="M7" s="43"/>
    </row>
    <row r="8" spans="1:13" s="40" customFormat="1" ht="15.6" hidden="1" customHeight="1">
      <c r="A8" s="77" t="s">
        <v>47</v>
      </c>
      <c r="B8" s="82">
        <v>4.2500000000000003E-2</v>
      </c>
      <c r="C8" s="57"/>
      <c r="D8" s="83"/>
      <c r="E8" s="84">
        <v>-13225129.049999999</v>
      </c>
      <c r="F8" s="83">
        <v>1500599.24</v>
      </c>
      <c r="G8" s="83">
        <v>-1492728.86</v>
      </c>
      <c r="H8" s="84">
        <v>-46825.06</v>
      </c>
      <c r="I8" s="84">
        <v>-13264083.729999999</v>
      </c>
      <c r="J8" s="43"/>
      <c r="K8" s="60">
        <v>-13281817.529999999</v>
      </c>
      <c r="L8" s="61">
        <v>-17733.800000000745</v>
      </c>
      <c r="M8" s="43"/>
    </row>
    <row r="9" spans="1:13" s="40" customFormat="1" ht="15.6" hidden="1" customHeight="1">
      <c r="A9" s="77" t="s">
        <v>48</v>
      </c>
      <c r="B9" s="82">
        <v>4.2500000000000003E-2</v>
      </c>
      <c r="C9" s="57"/>
      <c r="D9" s="83"/>
      <c r="E9" s="84">
        <v>-13264083.729999999</v>
      </c>
      <c r="F9" s="83">
        <v>262271.12</v>
      </c>
      <c r="G9" s="83">
        <v>-772819.74</v>
      </c>
      <c r="H9" s="84">
        <v>-47881.06</v>
      </c>
      <c r="I9" s="84">
        <v>-13822513.41</v>
      </c>
      <c r="J9" s="43"/>
      <c r="K9" s="60">
        <v>-13840310.02</v>
      </c>
      <c r="L9" s="61">
        <v>-17796.609999999404</v>
      </c>
      <c r="M9" s="43"/>
    </row>
    <row r="10" spans="1:13" s="40" customFormat="1" ht="15.6" hidden="1" customHeight="1">
      <c r="A10" s="77" t="s">
        <v>51</v>
      </c>
      <c r="B10" s="82">
        <v>4.4699999999999997E-2</v>
      </c>
      <c r="C10" s="57"/>
      <c r="D10" s="83"/>
      <c r="E10" s="84">
        <v>-13822513.41</v>
      </c>
      <c r="F10" s="83">
        <v>-1287451.4099999999</v>
      </c>
      <c r="G10" s="83">
        <v>-46824.41</v>
      </c>
      <c r="H10" s="84">
        <v>-53973.95</v>
      </c>
      <c r="I10" s="84">
        <v>-15210763.18</v>
      </c>
      <c r="J10" s="43"/>
      <c r="K10" s="60">
        <v>-15210763.189999999</v>
      </c>
      <c r="L10" s="61">
        <v>-9.9999997764825821E-3</v>
      </c>
      <c r="M10" s="43"/>
    </row>
    <row r="11" spans="1:13" s="40" customFormat="1" ht="15.6" hidden="1" customHeight="1">
      <c r="A11" s="77" t="s">
        <v>52</v>
      </c>
      <c r="B11" s="82">
        <v>4.4699999999999997E-2</v>
      </c>
      <c r="C11" s="57"/>
      <c r="D11" s="83"/>
      <c r="E11" s="84">
        <v>-15210763.18</v>
      </c>
      <c r="F11" s="83">
        <v>-1208166.99</v>
      </c>
      <c r="G11" s="83">
        <v>890572.34</v>
      </c>
      <c r="H11" s="84">
        <v>-57251.61</v>
      </c>
      <c r="I11" s="84">
        <v>-15585609.439999999</v>
      </c>
      <c r="J11" s="43"/>
      <c r="K11" s="60">
        <v>-15585609.439999999</v>
      </c>
      <c r="L11" s="61">
        <v>0</v>
      </c>
      <c r="M11" s="43"/>
    </row>
    <row r="12" spans="1:13" s="40" customFormat="1" ht="15.6" hidden="1" customHeight="1">
      <c r="A12" s="77" t="s">
        <v>53</v>
      </c>
      <c r="B12" s="82">
        <v>4.4699999999999997E-2</v>
      </c>
      <c r="C12" s="57"/>
      <c r="D12" s="83"/>
      <c r="E12" s="84">
        <v>-15585609.439999999</v>
      </c>
      <c r="F12" s="83">
        <v>-914700.4</v>
      </c>
      <c r="G12" s="83">
        <v>938461.95</v>
      </c>
      <c r="H12" s="84">
        <v>-58012.14</v>
      </c>
      <c r="I12" s="84">
        <v>-15619860.030000001</v>
      </c>
      <c r="J12" s="43"/>
      <c r="K12" s="60">
        <v>-15619860.029999999</v>
      </c>
      <c r="L12" s="61">
        <v>0</v>
      </c>
      <c r="M12" s="43"/>
    </row>
    <row r="13" spans="1:13" s="40" customFormat="1" ht="15.6" hidden="1" customHeight="1">
      <c r="A13" s="77" t="s">
        <v>74</v>
      </c>
      <c r="B13" s="82">
        <v>4.6899999999999997E-2</v>
      </c>
      <c r="C13" s="57"/>
      <c r="D13" s="83"/>
      <c r="E13" s="84">
        <v>-15619860.030000001</v>
      </c>
      <c r="F13" s="83">
        <v>-2116989.4300000002</v>
      </c>
      <c r="G13" s="83">
        <v>1054475.72</v>
      </c>
      <c r="H13" s="84">
        <v>-63123.95</v>
      </c>
      <c r="I13" s="84">
        <v>-16745497.689999999</v>
      </c>
      <c r="J13" s="43"/>
      <c r="K13" s="60">
        <v>-16745497.689999999</v>
      </c>
      <c r="L13" s="61">
        <v>0</v>
      </c>
      <c r="M13" s="43"/>
    </row>
    <row r="14" spans="1:13" s="40" customFormat="1" ht="15.6" hidden="1" customHeight="1">
      <c r="A14" s="77" t="s">
        <v>75</v>
      </c>
      <c r="B14" s="82">
        <v>4.6899999999999997E-2</v>
      </c>
      <c r="C14" s="57"/>
      <c r="D14" s="83"/>
      <c r="E14" s="84">
        <v>-16745497.689999999</v>
      </c>
      <c r="F14" s="83">
        <v>-2914665.41</v>
      </c>
      <c r="G14" s="83">
        <v>1052086.5</v>
      </c>
      <c r="H14" s="84">
        <v>-69086.78</v>
      </c>
      <c r="I14" s="84">
        <v>-18677163.380000003</v>
      </c>
      <c r="J14" s="43"/>
      <c r="K14" s="60">
        <v>-18677163.379999999</v>
      </c>
      <c r="L14" s="61">
        <v>0</v>
      </c>
      <c r="M14" s="43"/>
    </row>
    <row r="15" spans="1:13" s="40" customFormat="1" ht="15.6" hidden="1" customHeight="1">
      <c r="A15" s="77" t="s">
        <v>76</v>
      </c>
      <c r="B15" s="82">
        <v>4.6899999999999997E-2</v>
      </c>
      <c r="C15" s="57"/>
      <c r="D15" s="83"/>
      <c r="E15" s="84">
        <v>-18677163.380000003</v>
      </c>
      <c r="F15" s="83">
        <v>-1246615.21</v>
      </c>
      <c r="G15" s="83">
        <v>901834.01</v>
      </c>
      <c r="H15" s="84">
        <v>-73670.34</v>
      </c>
      <c r="I15" s="84">
        <v>-19095614.920000002</v>
      </c>
      <c r="J15" s="43"/>
      <c r="K15" s="60">
        <v>-19095614.920000002</v>
      </c>
      <c r="L15" s="61">
        <v>0</v>
      </c>
      <c r="M15" s="43"/>
    </row>
    <row r="16" spans="1:13" s="40" customFormat="1" ht="15.6" hidden="1" customHeight="1">
      <c r="A16" s="77" t="s">
        <v>77</v>
      </c>
      <c r="B16" s="82">
        <v>4.9599999999999998E-2</v>
      </c>
      <c r="C16" s="57"/>
      <c r="D16" s="83"/>
      <c r="E16" s="84">
        <v>-19095614.920000002</v>
      </c>
      <c r="F16" s="83">
        <v>-3845502.55</v>
      </c>
      <c r="G16" s="83">
        <v>139618.94</v>
      </c>
      <c r="H16" s="84">
        <v>-86587.37</v>
      </c>
      <c r="I16" s="84">
        <v>-22888085.900000002</v>
      </c>
      <c r="J16" s="43"/>
      <c r="K16" s="60">
        <v>-22888085.899999999</v>
      </c>
      <c r="L16" s="61">
        <v>0</v>
      </c>
      <c r="M16" s="43"/>
    </row>
    <row r="17" spans="1:13" s="40" customFormat="1" ht="15.6" hidden="1" customHeight="1">
      <c r="A17" s="77" t="s">
        <v>78</v>
      </c>
      <c r="B17" s="82">
        <v>4.9599999999999998E-2</v>
      </c>
      <c r="C17" s="57"/>
      <c r="D17" s="83">
        <v>15619860.030000001</v>
      </c>
      <c r="E17" s="84">
        <v>-7268225.870000001</v>
      </c>
      <c r="F17" s="83">
        <v>-3344640.68</v>
      </c>
      <c r="G17" s="83">
        <v>-647678.44999999995</v>
      </c>
      <c r="H17" s="84">
        <v>-38292.79</v>
      </c>
      <c r="I17" s="84">
        <v>-11298837.789999999</v>
      </c>
      <c r="J17" s="43"/>
      <c r="K17" s="60">
        <v>-11298837.789999999</v>
      </c>
      <c r="L17" s="61">
        <v>0</v>
      </c>
      <c r="M17" s="46" t="s">
        <v>80</v>
      </c>
    </row>
    <row r="18" spans="1:13" s="40" customFormat="1" ht="16.2" hidden="1" thickBot="1">
      <c r="A18" s="78" t="s">
        <v>67</v>
      </c>
      <c r="B18" s="87">
        <v>4.9599999999999998E-2</v>
      </c>
      <c r="C18" s="79"/>
      <c r="D18" s="88"/>
      <c r="E18" s="66">
        <v>-11298837.789999999</v>
      </c>
      <c r="F18" s="88">
        <v>63791.75</v>
      </c>
      <c r="G18" s="88">
        <v>-1317734.47</v>
      </c>
      <c r="H18" s="89">
        <v>-49293.34</v>
      </c>
      <c r="I18" s="89">
        <v>-12602073.85</v>
      </c>
      <c r="J18" s="80"/>
      <c r="K18" s="67">
        <v>-12602073.85</v>
      </c>
      <c r="L18" s="68">
        <v>0</v>
      </c>
      <c r="M18" s="75"/>
    </row>
    <row r="19" spans="1:13" s="40" customFormat="1" ht="15.6" hidden="1">
      <c r="A19" s="81">
        <v>201901</v>
      </c>
      <c r="B19" s="82">
        <v>5.1799999999999999E-2</v>
      </c>
      <c r="C19" s="57"/>
      <c r="D19" s="83">
        <v>0</v>
      </c>
      <c r="E19" s="84">
        <v>-12602073.85</v>
      </c>
      <c r="F19" s="83">
        <v>873899.58</v>
      </c>
      <c r="G19" s="83">
        <v>-1334486.6000000001</v>
      </c>
      <c r="H19" s="84">
        <v>-55393.05</v>
      </c>
      <c r="I19" s="84">
        <v>-13118053.92</v>
      </c>
      <c r="J19" s="59"/>
      <c r="K19" s="85">
        <v>-13118053.93</v>
      </c>
      <c r="L19" s="86">
        <v>-9.9999997764825821E-3</v>
      </c>
      <c r="M19" s="75"/>
    </row>
    <row r="20" spans="1:13" s="40" customFormat="1" ht="15.6" hidden="1">
      <c r="A20" s="77">
        <v>201902</v>
      </c>
      <c r="B20" s="62">
        <v>5.1799999999999999E-2</v>
      </c>
      <c r="C20" s="57"/>
      <c r="D20" s="63">
        <v>0</v>
      </c>
      <c r="E20" s="84">
        <v>-13118053.92</v>
      </c>
      <c r="F20" s="63">
        <v>7465399.5499999998</v>
      </c>
      <c r="G20" s="63">
        <v>-1785534.75</v>
      </c>
      <c r="H20" s="58">
        <v>-44367.22</v>
      </c>
      <c r="I20" s="58">
        <v>-7482556.3399999999</v>
      </c>
      <c r="J20" s="59"/>
      <c r="K20" s="60">
        <v>-7482556.3499999996</v>
      </c>
      <c r="L20" s="61">
        <v>-9.9999997764825821E-3</v>
      </c>
      <c r="M20" s="75"/>
    </row>
    <row r="21" spans="1:13" s="40" customFormat="1" ht="15.6" hidden="1">
      <c r="A21" s="77">
        <v>201903</v>
      </c>
      <c r="B21" s="62">
        <v>5.1799999999999999E-2</v>
      </c>
      <c r="C21" s="57"/>
      <c r="D21" s="63">
        <v>0</v>
      </c>
      <c r="E21" s="84">
        <v>-7482556.3399999999</v>
      </c>
      <c r="F21" s="63">
        <v>11814911.9</v>
      </c>
      <c r="G21" s="63">
        <v>-985772.65448000049</v>
      </c>
      <c r="H21" s="58">
        <v>-8926.81</v>
      </c>
      <c r="I21" s="58">
        <v>3337656.09552</v>
      </c>
      <c r="J21" s="59"/>
      <c r="K21" s="60">
        <v>4374910.7699999996</v>
      </c>
      <c r="L21" s="61">
        <v>1037254.6744799996</v>
      </c>
      <c r="M21" s="75"/>
    </row>
    <row r="22" spans="1:13" s="40" customFormat="1" ht="15.6" hidden="1">
      <c r="A22" s="77">
        <v>201904</v>
      </c>
      <c r="B22" s="62">
        <v>5.45E-2</v>
      </c>
      <c r="C22" s="57"/>
      <c r="D22" s="63">
        <v>0</v>
      </c>
      <c r="E22" s="84">
        <v>3337656.09552</v>
      </c>
      <c r="F22" s="63">
        <v>-11480.7391099995</v>
      </c>
      <c r="G22" s="63">
        <v>186719.40449999948</v>
      </c>
      <c r="H22" s="58">
        <v>15556.46</v>
      </c>
      <c r="I22" s="58">
        <v>3528451.2209099997</v>
      </c>
      <c r="J22" s="59"/>
      <c r="K22" s="60">
        <v>4570416.76</v>
      </c>
      <c r="L22" s="61">
        <v>1041965.5390900001</v>
      </c>
      <c r="M22" s="75"/>
    </row>
    <row r="23" spans="1:13" s="40" customFormat="1" ht="15.6" hidden="1">
      <c r="A23" s="77">
        <v>201905</v>
      </c>
      <c r="B23" s="62">
        <v>5.45E-2</v>
      </c>
      <c r="C23" s="57"/>
      <c r="D23" s="63">
        <v>0</v>
      </c>
      <c r="E23" s="84">
        <v>3528451.2209099997</v>
      </c>
      <c r="F23" s="63">
        <v>-952607.0659879999</v>
      </c>
      <c r="G23" s="172">
        <v>819032.22584600002</v>
      </c>
      <c r="H23" s="58">
        <v>15721.72</v>
      </c>
      <c r="I23" s="58">
        <v>3410598.1007679999</v>
      </c>
      <c r="J23" s="59"/>
      <c r="K23" s="60">
        <v>3844456.24</v>
      </c>
      <c r="L23" s="61">
        <v>433858.13923200034</v>
      </c>
      <c r="M23" s="75"/>
    </row>
    <row r="24" spans="1:13" s="40" customFormat="1" ht="15.6" hidden="1">
      <c r="A24" s="77">
        <v>201906</v>
      </c>
      <c r="B24" s="62">
        <v>5.45E-2</v>
      </c>
      <c r="C24" s="57"/>
      <c r="D24" s="63">
        <v>0</v>
      </c>
      <c r="E24" s="84">
        <v>3410598.1007679999</v>
      </c>
      <c r="F24" s="63">
        <v>-1677072.7479539998</v>
      </c>
      <c r="G24" s="172">
        <v>1036514.759372</v>
      </c>
      <c r="H24" s="58">
        <v>14035.2</v>
      </c>
      <c r="I24" s="58">
        <v>2784075.3121860004</v>
      </c>
      <c r="J24" s="59"/>
      <c r="K24" s="60">
        <v>3833773.49</v>
      </c>
      <c r="L24" s="61">
        <v>1049698.1778139998</v>
      </c>
      <c r="M24" s="75"/>
    </row>
    <row r="25" spans="1:13" s="40" customFormat="1" ht="15.6" hidden="1">
      <c r="A25" s="77">
        <v>201907</v>
      </c>
      <c r="B25" s="62">
        <v>5.5E-2</v>
      </c>
      <c r="C25" s="57"/>
      <c r="D25" s="63">
        <v>0</v>
      </c>
      <c r="E25" s="84">
        <v>2784075.3121860004</v>
      </c>
      <c r="F25" s="63">
        <v>-2084272.6869100002</v>
      </c>
      <c r="G25" s="172">
        <v>1098657.599772</v>
      </c>
      <c r="H25" s="58">
        <v>10501.64</v>
      </c>
      <c r="I25" s="58">
        <v>1808961.8650480001</v>
      </c>
      <c r="J25" s="59"/>
      <c r="K25" s="60">
        <v>2862582.88</v>
      </c>
      <c r="L25" s="61">
        <v>1053621.0149519998</v>
      </c>
      <c r="M25" s="75"/>
    </row>
    <row r="26" spans="1:13" s="40" customFormat="1" ht="15.6" hidden="1">
      <c r="A26" s="77">
        <v>201908</v>
      </c>
      <c r="B26" s="62">
        <v>5.5E-2</v>
      </c>
      <c r="C26" s="57"/>
      <c r="D26" s="63">
        <v>0</v>
      </c>
      <c r="E26" s="84">
        <v>1808961.8650480001</v>
      </c>
      <c r="F26" s="63">
        <v>-2084597.87659</v>
      </c>
      <c r="G26" s="172">
        <v>1091085.90854</v>
      </c>
      <c r="H26" s="58">
        <v>6014.28</v>
      </c>
      <c r="I26" s="58">
        <v>821464.17699800013</v>
      </c>
      <c r="J26" s="59"/>
      <c r="K26" s="60">
        <v>1879040.38</v>
      </c>
      <c r="L26" s="61">
        <v>1057576.2030019998</v>
      </c>
      <c r="M26" s="75"/>
    </row>
    <row r="27" spans="1:13" s="40" customFormat="1" ht="15.6" hidden="1">
      <c r="A27" s="77">
        <v>201909</v>
      </c>
      <c r="B27" s="62">
        <v>5.5E-2</v>
      </c>
      <c r="C27" s="57"/>
      <c r="D27" s="63">
        <v>0</v>
      </c>
      <c r="E27" s="84">
        <v>821464.17699800013</v>
      </c>
      <c r="F27" s="63">
        <v>-2896604.7876560003</v>
      </c>
      <c r="G27" s="172">
        <v>823146.913625999</v>
      </c>
      <c r="H27" s="58">
        <v>-986.63</v>
      </c>
      <c r="I27" s="58">
        <v>-1252980.3270320012</v>
      </c>
      <c r="J27" s="59"/>
      <c r="K27" s="60">
        <v>-1257390.06</v>
      </c>
      <c r="L27" s="61">
        <v>-4409.7329679988325</v>
      </c>
      <c r="M27" s="75"/>
    </row>
    <row r="28" spans="1:13" s="40" customFormat="1" ht="15.6" hidden="1">
      <c r="A28" s="77">
        <v>201910</v>
      </c>
      <c r="B28" s="62">
        <v>5.4199999999999998E-2</v>
      </c>
      <c r="C28" s="57"/>
      <c r="D28" s="63">
        <v>0</v>
      </c>
      <c r="E28" s="84">
        <v>-1252980.3270320012</v>
      </c>
      <c r="F28" s="63">
        <v>-678463.68177200016</v>
      </c>
      <c r="G28" s="172">
        <v>-249464.454344</v>
      </c>
      <c r="H28" s="58">
        <v>-7754.87</v>
      </c>
      <c r="I28" s="58">
        <v>-2188663.3331480017</v>
      </c>
      <c r="J28" s="59"/>
      <c r="K28" s="60">
        <v>-2194008.27</v>
      </c>
      <c r="L28" s="61">
        <v>-5344.9368519983254</v>
      </c>
      <c r="M28" s="75"/>
    </row>
    <row r="29" spans="1:13" s="40" customFormat="1" ht="15.6" hidden="1">
      <c r="A29" s="77">
        <v>201911</v>
      </c>
      <c r="B29" s="62">
        <v>5.4199999999999998E-2</v>
      </c>
      <c r="C29" s="57"/>
      <c r="D29" s="173">
        <v>2188663.3331480017</v>
      </c>
      <c r="E29" s="84">
        <v>0</v>
      </c>
      <c r="F29" s="63">
        <v>149111.48603400169</v>
      </c>
      <c r="G29" s="63">
        <v>-807237.82280400023</v>
      </c>
      <c r="H29" s="58">
        <v>-1486.27</v>
      </c>
      <c r="I29" s="58">
        <v>-659612.60676999856</v>
      </c>
      <c r="J29" s="59"/>
      <c r="K29" s="60">
        <v>-659612.62</v>
      </c>
      <c r="L29" s="61">
        <v>-1.3230001437477767E-2</v>
      </c>
      <c r="M29" s="46" t="s">
        <v>79</v>
      </c>
    </row>
    <row r="30" spans="1:13" s="40" customFormat="1" ht="16.2" hidden="1" thickBot="1">
      <c r="A30" s="78">
        <v>201912</v>
      </c>
      <c r="B30" s="64">
        <v>5.4199999999999998E-2</v>
      </c>
      <c r="C30" s="79"/>
      <c r="D30" s="65">
        <v>0</v>
      </c>
      <c r="E30" s="66">
        <v>-659612.60676999856</v>
      </c>
      <c r="F30" s="65">
        <v>821729.84294399898</v>
      </c>
      <c r="G30" s="65">
        <v>-964290.51430800045</v>
      </c>
      <c r="H30" s="66">
        <v>-3301.2</v>
      </c>
      <c r="I30" s="66">
        <v>-805474.47813399998</v>
      </c>
      <c r="J30" s="80"/>
      <c r="K30" s="67">
        <v>-805474.48</v>
      </c>
      <c r="L30" s="68">
        <v>-1.8660000059753656E-3</v>
      </c>
      <c r="M30" s="75"/>
    </row>
    <row r="31" spans="1:13" s="40" customFormat="1" ht="15.6" hidden="1">
      <c r="A31" s="81">
        <v>202001</v>
      </c>
      <c r="B31" s="82">
        <v>4.9599999999999998E-2</v>
      </c>
      <c r="C31" s="57"/>
      <c r="D31" s="168">
        <v>0</v>
      </c>
      <c r="E31" s="84">
        <v>-805474.47813399998</v>
      </c>
      <c r="F31" s="83">
        <v>465507.08934299834</v>
      </c>
      <c r="G31" s="83">
        <v>-1019075.8062920009</v>
      </c>
      <c r="H31" s="164">
        <v>-4473.34</v>
      </c>
      <c r="I31" s="84">
        <v>-1363516.5350830026</v>
      </c>
      <c r="J31" s="59"/>
      <c r="K31" s="85">
        <v>-1363516.54</v>
      </c>
      <c r="L31" s="86">
        <v>-4.9169973935931921E-3</v>
      </c>
      <c r="M31" s="75"/>
    </row>
    <row r="32" spans="1:13" s="40" customFormat="1" ht="15.6" hidden="1">
      <c r="A32" s="77">
        <v>202002</v>
      </c>
      <c r="B32" s="82">
        <v>4.9599999999999998E-2</v>
      </c>
      <c r="C32" s="57"/>
      <c r="D32" s="166">
        <v>0</v>
      </c>
      <c r="E32" s="84">
        <v>-1363516.5350830026</v>
      </c>
      <c r="F32" s="83">
        <v>357241.75332700042</v>
      </c>
      <c r="G32" s="163">
        <v>-930160.93573400006</v>
      </c>
      <c r="H32" s="58">
        <v>-6819.9</v>
      </c>
      <c r="I32" s="109">
        <v>-1943255.6174900022</v>
      </c>
      <c r="J32" s="59"/>
      <c r="K32" s="85">
        <v>-1943255.62</v>
      </c>
      <c r="L32" s="86">
        <v>-2.5099979247897863E-3</v>
      </c>
      <c r="M32" s="75"/>
    </row>
    <row r="33" spans="1:15" s="40" customFormat="1" ht="15.6" hidden="1">
      <c r="A33" s="77">
        <v>202003</v>
      </c>
      <c r="B33" s="82">
        <v>4.9599999999999998E-2</v>
      </c>
      <c r="C33" s="57"/>
      <c r="D33" s="166">
        <v>0</v>
      </c>
      <c r="E33" s="84">
        <v>-1943255.6174900022</v>
      </c>
      <c r="F33" s="83">
        <v>-16044.36190700205</v>
      </c>
      <c r="G33" s="163">
        <v>-702834.43791600014</v>
      </c>
      <c r="H33" s="58">
        <v>-9517.81</v>
      </c>
      <c r="I33" s="109">
        <v>-2671652.2273130044</v>
      </c>
      <c r="J33" s="59"/>
      <c r="K33" s="85">
        <v>-2671652.23</v>
      </c>
      <c r="L33" s="86">
        <v>-2.6869955472648144E-3</v>
      </c>
      <c r="M33" s="75"/>
    </row>
    <row r="34" spans="1:15" s="40" customFormat="1" ht="15.6" hidden="1">
      <c r="A34" s="77">
        <v>202004</v>
      </c>
      <c r="B34" s="82">
        <v>4.7500000000000001E-2</v>
      </c>
      <c r="C34" s="57"/>
      <c r="D34" s="166">
        <v>0</v>
      </c>
      <c r="E34" s="84">
        <v>-2671652.2273130044</v>
      </c>
      <c r="F34" s="83">
        <v>-286572.46695799823</v>
      </c>
      <c r="G34" s="163">
        <v>354965.17556600017</v>
      </c>
      <c r="H34" s="58">
        <v>-10439.93</v>
      </c>
      <c r="I34" s="109">
        <v>-2613699.4487050031</v>
      </c>
      <c r="J34" s="59"/>
      <c r="K34" s="85">
        <v>-2613699.4500000002</v>
      </c>
      <c r="L34" s="86">
        <v>-1.2949970550835133E-3</v>
      </c>
      <c r="M34" s="75"/>
    </row>
    <row r="35" spans="1:15" s="40" customFormat="1" ht="15.6" hidden="1">
      <c r="A35" s="77">
        <v>202005</v>
      </c>
      <c r="B35" s="82">
        <v>4.7500000000000001E-2</v>
      </c>
      <c r="C35" s="57"/>
      <c r="D35" s="166">
        <v>0</v>
      </c>
      <c r="E35" s="84">
        <v>-2613699.4487050031</v>
      </c>
      <c r="F35" s="83">
        <v>-349533.46451799979</v>
      </c>
      <c r="G35" s="163">
        <v>790807.96102399973</v>
      </c>
      <c r="H35" s="58">
        <v>-9472.5400000000009</v>
      </c>
      <c r="I35" s="109">
        <v>-2181897.4921990032</v>
      </c>
      <c r="J35" s="59"/>
      <c r="K35" s="85">
        <v>-2181897.4900000002</v>
      </c>
      <c r="L35" s="86">
        <v>2.1990030072629452E-3</v>
      </c>
      <c r="M35" s="75"/>
    </row>
    <row r="36" spans="1:15" s="40" customFormat="1" ht="15.6" hidden="1">
      <c r="A36" s="77">
        <v>202006</v>
      </c>
      <c r="B36" s="82">
        <v>4.7500000000000001E-2</v>
      </c>
      <c r="C36" s="57"/>
      <c r="D36" s="166">
        <v>0</v>
      </c>
      <c r="E36" s="84">
        <v>-2181897.4921990032</v>
      </c>
      <c r="F36" s="83">
        <v>-221914.22001199971</v>
      </c>
      <c r="G36" s="163">
        <v>995442.01104200003</v>
      </c>
      <c r="H36" s="58">
        <v>-7105.74</v>
      </c>
      <c r="I36" s="109">
        <v>-1415475.441169003</v>
      </c>
      <c r="J36" s="59"/>
      <c r="K36" s="85">
        <v>-1415475.44</v>
      </c>
      <c r="L36" s="86">
        <v>1.1690030805766582E-3</v>
      </c>
      <c r="M36" s="75"/>
    </row>
    <row r="37" spans="1:15" s="40" customFormat="1" ht="15.6" hidden="1">
      <c r="A37" s="77">
        <v>202007</v>
      </c>
      <c r="B37" s="62">
        <v>3.4299999999999997E-2</v>
      </c>
      <c r="C37" s="57"/>
      <c r="D37" s="166">
        <v>0</v>
      </c>
      <c r="E37" s="84">
        <v>-1415475.441169003</v>
      </c>
      <c r="F37" s="83">
        <v>-286329.88624400063</v>
      </c>
      <c r="G37" s="163">
        <v>1119731.3959779998</v>
      </c>
      <c r="H37" s="58">
        <v>-2854.83</v>
      </c>
      <c r="I37" s="109">
        <v>-584928.76143500383</v>
      </c>
      <c r="J37" s="59"/>
      <c r="K37" s="85">
        <v>-584928.76</v>
      </c>
      <c r="L37" s="86">
        <v>1.4350038254633546E-3</v>
      </c>
      <c r="M37" s="75"/>
    </row>
    <row r="38" spans="1:15" s="40" customFormat="1" ht="15.6" hidden="1">
      <c r="A38" s="77">
        <v>202008</v>
      </c>
      <c r="B38" s="62">
        <v>3.4299999999999997E-2</v>
      </c>
      <c r="C38" s="57"/>
      <c r="D38" s="166">
        <v>0</v>
      </c>
      <c r="E38" s="84">
        <v>-584928.76143500383</v>
      </c>
      <c r="F38" s="83">
        <v>-475108.5041119997</v>
      </c>
      <c r="G38" s="163">
        <v>1175024.5782880005</v>
      </c>
      <c r="H38" s="58">
        <v>-671.62</v>
      </c>
      <c r="I38" s="109">
        <v>114315.69274099695</v>
      </c>
      <c r="J38" s="59"/>
      <c r="K38" s="85">
        <v>114315.69</v>
      </c>
      <c r="L38" s="86">
        <v>-2.7409969479776919E-3</v>
      </c>
      <c r="M38" s="75"/>
    </row>
    <row r="39" spans="1:15" s="40" customFormat="1" ht="15.6" hidden="1">
      <c r="A39" s="77">
        <v>202009</v>
      </c>
      <c r="B39" s="62">
        <v>3.4299999999999997E-2</v>
      </c>
      <c r="C39" s="57"/>
      <c r="D39" s="166">
        <v>0</v>
      </c>
      <c r="E39" s="84">
        <v>114315.69274099695</v>
      </c>
      <c r="F39" s="83">
        <v>-412609.49763799895</v>
      </c>
      <c r="G39" s="163">
        <v>1016420.835708</v>
      </c>
      <c r="H39" s="58">
        <v>1189.7</v>
      </c>
      <c r="I39" s="109">
        <v>719316.73081099801</v>
      </c>
      <c r="J39" s="59"/>
      <c r="K39" s="85">
        <v>719316.73</v>
      </c>
      <c r="L39" s="86">
        <v>-8.1099802628159523E-4</v>
      </c>
      <c r="M39" s="75"/>
    </row>
    <row r="40" spans="1:15" s="40" customFormat="1" ht="15.6" hidden="1">
      <c r="A40" s="77">
        <v>202010</v>
      </c>
      <c r="B40" s="62">
        <v>3.2500000000000001E-2</v>
      </c>
      <c r="C40" s="57"/>
      <c r="D40" s="166">
        <v>0</v>
      </c>
      <c r="E40" s="84">
        <v>719316.73081099801</v>
      </c>
      <c r="F40" s="83">
        <v>-164901.39884799952</v>
      </c>
      <c r="G40" s="163">
        <v>260754.5799239995</v>
      </c>
      <c r="H40" s="58">
        <v>2077.9499999999998</v>
      </c>
      <c r="I40" s="109">
        <v>817247.86188699794</v>
      </c>
      <c r="J40" s="59"/>
      <c r="K40" s="85">
        <v>817247.86</v>
      </c>
      <c r="L40" s="86">
        <v>-1.8869979539886117E-3</v>
      </c>
      <c r="M40" s="75"/>
    </row>
    <row r="41" spans="1:15" s="40" customFormat="1" ht="15.6" hidden="1">
      <c r="A41" s="77">
        <v>202011</v>
      </c>
      <c r="B41" s="62">
        <v>3.2500000000000001E-2</v>
      </c>
      <c r="C41" s="57"/>
      <c r="D41" s="63">
        <v>-817247.86188699794</v>
      </c>
      <c r="E41" s="84">
        <v>0</v>
      </c>
      <c r="F41" s="83">
        <v>274531.20816099923</v>
      </c>
      <c r="G41" s="163">
        <v>-636016.65180400014</v>
      </c>
      <c r="H41" s="58">
        <v>-489.51</v>
      </c>
      <c r="I41" s="109">
        <v>-361974.95364300092</v>
      </c>
      <c r="J41" s="59"/>
      <c r="K41" s="85">
        <v>-361974.95</v>
      </c>
      <c r="L41" s="86">
        <v>3.643000905867666E-3</v>
      </c>
      <c r="M41" s="46"/>
    </row>
    <row r="42" spans="1:15" s="40" customFormat="1" ht="16.2" hidden="1" thickBot="1">
      <c r="A42" s="78">
        <v>202012</v>
      </c>
      <c r="B42" s="64">
        <v>3.2500000000000001E-2</v>
      </c>
      <c r="C42" s="79"/>
      <c r="D42" s="167">
        <v>0</v>
      </c>
      <c r="E42" s="66">
        <v>-361974.95364300092</v>
      </c>
      <c r="F42" s="65">
        <v>986052.61182399932</v>
      </c>
      <c r="G42" s="65">
        <v>-1221931.857657</v>
      </c>
      <c r="H42" s="66">
        <v>-1299.77</v>
      </c>
      <c r="I42" s="123">
        <v>-599153.96947600157</v>
      </c>
      <c r="J42" s="80"/>
      <c r="K42" s="67">
        <v>-599153.97</v>
      </c>
      <c r="L42" s="68">
        <v>-5.2399840205907822E-4</v>
      </c>
      <c r="M42" s="75"/>
    </row>
    <row r="43" spans="1:15" s="40" customFormat="1" ht="15.6" hidden="1">
      <c r="A43" s="81">
        <v>202101</v>
      </c>
      <c r="B43" s="82">
        <v>3.2500000000000001E-2</v>
      </c>
      <c r="C43" s="57"/>
      <c r="D43" s="63">
        <v>0</v>
      </c>
      <c r="E43" s="84">
        <f t="shared" ref="E43:E54" si="0">I42+D43</f>
        <v>-599153.96947600157</v>
      </c>
      <c r="F43" s="83">
        <v>759776.25110800192</v>
      </c>
      <c r="G43" s="83">
        <v>-1158080.322801</v>
      </c>
      <c r="H43" s="164">
        <f>ROUND(((E43)*(B43/12))+((SUM(F43:G43)/2)*(B43/12)),2)</f>
        <v>-2162.08</v>
      </c>
      <c r="I43" s="84">
        <f>SUM(E43:H43)</f>
        <v>-999620.12116899958</v>
      </c>
      <c r="J43" s="59"/>
      <c r="K43" s="85">
        <v>-999620.12</v>
      </c>
      <c r="L43" s="86">
        <f t="shared" ref="L43" si="1">K43-I43</f>
        <v>1.1689995881170034E-3</v>
      </c>
      <c r="M43" s="75"/>
    </row>
    <row r="44" spans="1:15" s="40" customFormat="1" ht="15.6" hidden="1">
      <c r="A44" s="77">
        <f>A43+1</f>
        <v>202102</v>
      </c>
      <c r="B44" s="82">
        <v>3.2500000000000001E-2</v>
      </c>
      <c r="C44" s="57"/>
      <c r="D44" s="63">
        <v>0</v>
      </c>
      <c r="E44" s="84">
        <f t="shared" si="0"/>
        <v>-999620.12116899958</v>
      </c>
      <c r="F44" s="83">
        <v>3250005.8152399994</v>
      </c>
      <c r="G44" s="83">
        <v>-1308687.1376409999</v>
      </c>
      <c r="H44" s="58">
        <f t="shared" ref="H44" si="2">ROUND(((E44)*(B44/12))+((SUM(F44:G44)/2)*(B44/12)),2)</f>
        <v>-78.44</v>
      </c>
      <c r="I44" s="109">
        <f t="shared" ref="I44:I48" si="3">SUM(E44:H44)</f>
        <v>941620.11643000017</v>
      </c>
      <c r="J44" s="59"/>
      <c r="K44" s="85">
        <v>941663.63</v>
      </c>
      <c r="L44" s="86">
        <f t="shared" ref="L44" si="4">K44-I44</f>
        <v>43.513569999835454</v>
      </c>
      <c r="M44" s="75"/>
    </row>
    <row r="45" spans="1:15" s="40" customFormat="1" ht="15.6" hidden="1">
      <c r="A45" s="77">
        <f t="shared" ref="A45:A54" si="5">A44+1</f>
        <v>202103</v>
      </c>
      <c r="B45" s="82">
        <v>3.2500000000000001E-2</v>
      </c>
      <c r="C45" s="57"/>
      <c r="D45" s="63">
        <v>0</v>
      </c>
      <c r="E45" s="84">
        <f t="shared" si="0"/>
        <v>941620.11643000017</v>
      </c>
      <c r="F45" s="83">
        <v>-477149.37523399992</v>
      </c>
      <c r="G45" s="83">
        <v>-528059.47194600035</v>
      </c>
      <c r="H45" s="58">
        <f>ROUND(((E45)*(B45/12))+((SUM(F45:G45)/2)*(B45/12)),2)</f>
        <v>1189</v>
      </c>
      <c r="I45" s="109">
        <f t="shared" si="3"/>
        <v>-62399.730750000104</v>
      </c>
      <c r="J45" s="59"/>
      <c r="K45" s="85">
        <v>-62159.9</v>
      </c>
      <c r="L45" s="86">
        <f t="shared" ref="L45" si="6">K45-I45</f>
        <v>239.83075000010285</v>
      </c>
      <c r="M45" s="75"/>
    </row>
    <row r="46" spans="1:15" s="40" customFormat="1" ht="15.6" hidden="1">
      <c r="A46" s="77">
        <f t="shared" si="5"/>
        <v>202104</v>
      </c>
      <c r="B46" s="82">
        <v>3.2500000000000001E-2</v>
      </c>
      <c r="C46" s="57"/>
      <c r="D46" s="63">
        <v>0</v>
      </c>
      <c r="E46" s="84">
        <f t="shared" si="0"/>
        <v>-62399.730750000104</v>
      </c>
      <c r="F46" s="83">
        <v>168916.46053000027</v>
      </c>
      <c r="G46" s="83">
        <v>280833.7815040003</v>
      </c>
      <c r="H46" s="58">
        <f t="shared" ref="H46:H54" si="7">ROUND(((E46)*(B46/12))+((SUM(F46:G46)/2)*(B46/12)),2)</f>
        <v>440.04</v>
      </c>
      <c r="I46" s="109">
        <f t="shared" si="3"/>
        <v>387790.55128400045</v>
      </c>
      <c r="J46" s="59"/>
      <c r="K46" s="85">
        <v>387790.55</v>
      </c>
      <c r="L46" s="86">
        <f t="shared" ref="L46" si="8">K46-I46</f>
        <v>-1.284000463783741E-3</v>
      </c>
      <c r="M46" s="75"/>
      <c r="N46" s="267"/>
      <c r="O46" s="267"/>
    </row>
    <row r="47" spans="1:15" s="40" customFormat="1" ht="15.6" hidden="1">
      <c r="A47" s="77">
        <f t="shared" si="5"/>
        <v>202105</v>
      </c>
      <c r="B47" s="82">
        <v>3.2500000000000001E-2</v>
      </c>
      <c r="C47" s="57"/>
      <c r="D47" s="63">
        <v>0</v>
      </c>
      <c r="E47" s="84">
        <f t="shared" si="0"/>
        <v>387790.55128400045</v>
      </c>
      <c r="F47" s="83">
        <v>167165.72298000008</v>
      </c>
      <c r="G47" s="83">
        <v>846112.27455000009</v>
      </c>
      <c r="H47" s="58">
        <f t="shared" si="7"/>
        <v>2422.41</v>
      </c>
      <c r="I47" s="109">
        <f t="shared" si="3"/>
        <v>1403490.9588140005</v>
      </c>
      <c r="J47" s="59"/>
      <c r="K47" s="85">
        <v>1403490.96</v>
      </c>
      <c r="L47" s="86">
        <f t="shared" ref="L47" si="9">K47-I47</f>
        <v>1.1859994847327471E-3</v>
      </c>
      <c r="M47" s="75"/>
      <c r="N47" s="267"/>
      <c r="O47" s="267"/>
    </row>
    <row r="48" spans="1:15" s="40" customFormat="1" ht="15.6" hidden="1">
      <c r="A48" s="77">
        <f t="shared" si="5"/>
        <v>202106</v>
      </c>
      <c r="B48" s="82">
        <v>3.2500000000000001E-2</v>
      </c>
      <c r="C48" s="57"/>
      <c r="D48" s="63">
        <v>0</v>
      </c>
      <c r="E48" s="84">
        <f t="shared" si="0"/>
        <v>1403490.9588140005</v>
      </c>
      <c r="F48" s="83">
        <v>-54575.778331000824</v>
      </c>
      <c r="G48" s="83">
        <v>1064454.1866520001</v>
      </c>
      <c r="H48" s="58">
        <f t="shared" si="7"/>
        <v>5168.67</v>
      </c>
      <c r="I48" s="109">
        <f t="shared" si="3"/>
        <v>2418538.0371349994</v>
      </c>
      <c r="J48" s="59"/>
      <c r="K48" s="85">
        <v>2418538.04</v>
      </c>
      <c r="L48" s="86">
        <f t="shared" ref="L48" si="10">K48-I48</f>
        <v>2.8650006279349327E-3</v>
      </c>
      <c r="M48" s="75"/>
      <c r="N48" s="267"/>
      <c r="O48" s="267"/>
    </row>
    <row r="49" spans="1:15" s="40" customFormat="1" ht="15.6" hidden="1">
      <c r="A49" s="77">
        <f t="shared" si="5"/>
        <v>202107</v>
      </c>
      <c r="B49" s="82">
        <v>3.2500000000000001E-2</v>
      </c>
      <c r="C49" s="57"/>
      <c r="D49" s="63">
        <v>0</v>
      </c>
      <c r="E49" s="84">
        <f t="shared" si="0"/>
        <v>2418538.0371349994</v>
      </c>
      <c r="F49" s="83">
        <v>201380.80450599967</v>
      </c>
      <c r="G49" s="83">
        <v>1186640.7478760001</v>
      </c>
      <c r="H49" s="58">
        <f t="shared" si="7"/>
        <v>8429.82</v>
      </c>
      <c r="I49" s="109">
        <f>SUM(E49:H49)</f>
        <v>3814989.409516999</v>
      </c>
      <c r="J49" s="59"/>
      <c r="K49" s="85">
        <v>3814989.41</v>
      </c>
      <c r="L49" s="86">
        <f t="shared" ref="L49" si="11">K49-I49</f>
        <v>4.8300111666321754E-4</v>
      </c>
      <c r="M49" s="75"/>
      <c r="N49" s="267"/>
    </row>
    <row r="50" spans="1:15" s="40" customFormat="1" ht="15.6" hidden="1">
      <c r="A50" s="77">
        <f t="shared" si="5"/>
        <v>202108</v>
      </c>
      <c r="B50" s="82">
        <v>3.2500000000000001E-2</v>
      </c>
      <c r="C50" s="57"/>
      <c r="D50" s="63">
        <v>0</v>
      </c>
      <c r="E50" s="84">
        <f t="shared" si="0"/>
        <v>3814989.409516999</v>
      </c>
      <c r="F50" s="83">
        <v>-686888.80716499977</v>
      </c>
      <c r="G50" s="83">
        <v>1088873.9676080004</v>
      </c>
      <c r="H50" s="58">
        <f t="shared" si="7"/>
        <v>10876.62</v>
      </c>
      <c r="I50" s="109">
        <f>SUM(E50:H50)</f>
        <v>4227851.1899600001</v>
      </c>
      <c r="J50" s="59"/>
      <c r="K50" s="85">
        <v>4227851.1900000004</v>
      </c>
      <c r="L50" s="86">
        <f t="shared" ref="L50" si="12">K50-I50</f>
        <v>4.0000304579734802E-5</v>
      </c>
      <c r="M50" s="75"/>
    </row>
    <row r="51" spans="1:15" s="40" customFormat="1" ht="15.6" hidden="1">
      <c r="A51" s="77">
        <f t="shared" si="5"/>
        <v>202109</v>
      </c>
      <c r="B51" s="82">
        <v>3.2500000000000001E-2</v>
      </c>
      <c r="C51" s="57"/>
      <c r="D51" s="63">
        <v>0</v>
      </c>
      <c r="E51" s="84">
        <f t="shared" si="0"/>
        <v>4227851.1899600001</v>
      </c>
      <c r="F51" s="83">
        <v>234914.16278000001</v>
      </c>
      <c r="G51" s="83">
        <v>947319.05468399997</v>
      </c>
      <c r="H51" s="58">
        <f t="shared" si="7"/>
        <v>13051.37</v>
      </c>
      <c r="I51" s="109">
        <f t="shared" ref="I51:I52" si="13">SUM(E51:H51)</f>
        <v>5423135.7774240002</v>
      </c>
      <c r="J51" s="59"/>
      <c r="K51" s="85">
        <v>5423135.7800000003</v>
      </c>
      <c r="L51" s="86">
        <f t="shared" ref="L51" si="14">K51-I51</f>
        <v>2.5760000571608543E-3</v>
      </c>
      <c r="M51" s="75"/>
    </row>
    <row r="52" spans="1:15" s="40" customFormat="1" ht="15.6" hidden="1">
      <c r="A52" s="77">
        <f t="shared" si="5"/>
        <v>202110</v>
      </c>
      <c r="B52" s="82">
        <v>3.2500000000000001E-2</v>
      </c>
      <c r="C52" s="57"/>
      <c r="D52" s="63">
        <v>0</v>
      </c>
      <c r="E52" s="84">
        <f t="shared" si="0"/>
        <v>5423135.7774240002</v>
      </c>
      <c r="F52" s="83">
        <v>1575541.5688560002</v>
      </c>
      <c r="G52" s="83">
        <v>402622.35408799979</v>
      </c>
      <c r="H52" s="58">
        <f t="shared" si="7"/>
        <v>17366.419999999998</v>
      </c>
      <c r="I52" s="277">
        <f t="shared" si="13"/>
        <v>7418666.1203680001</v>
      </c>
      <c r="J52" s="59"/>
      <c r="K52" s="85">
        <v>7418666.1200000001</v>
      </c>
      <c r="L52" s="86">
        <f t="shared" ref="L52" si="15">K52-I52</f>
        <v>-3.6800000816583633E-4</v>
      </c>
      <c r="M52" s="75"/>
    </row>
    <row r="53" spans="1:15" s="40" customFormat="1" ht="15.6" hidden="1">
      <c r="A53" s="77">
        <f t="shared" si="5"/>
        <v>202111</v>
      </c>
      <c r="B53" s="82">
        <v>3.2500000000000001E-2</v>
      </c>
      <c r="C53" s="57"/>
      <c r="D53" s="63">
        <f>-I52</f>
        <v>-7418666.1203680001</v>
      </c>
      <c r="E53" s="84">
        <f t="shared" si="0"/>
        <v>0</v>
      </c>
      <c r="F53" s="83">
        <v>2350542.1530599985</v>
      </c>
      <c r="G53" s="83">
        <v>-142392.52266999986</v>
      </c>
      <c r="H53" s="58">
        <f t="shared" si="7"/>
        <v>2990.2</v>
      </c>
      <c r="I53" s="109">
        <f>SUM(E53:H53)</f>
        <v>2211139.8303899989</v>
      </c>
      <c r="J53" s="59"/>
      <c r="K53" s="85">
        <v>2211139.83</v>
      </c>
      <c r="L53" s="86">
        <f t="shared" ref="L53" si="16">K53-I53</f>
        <v>-3.8999877870082855E-4</v>
      </c>
      <c r="M53" s="46"/>
    </row>
    <row r="54" spans="1:15" s="40" customFormat="1" ht="16.2" hidden="1" thickBot="1">
      <c r="A54" s="78">
        <f t="shared" si="5"/>
        <v>202112</v>
      </c>
      <c r="B54" s="64">
        <v>3.2500000000000001E-2</v>
      </c>
      <c r="C54" s="79"/>
      <c r="D54" s="65">
        <v>0</v>
      </c>
      <c r="E54" s="66">
        <f t="shared" si="0"/>
        <v>2211139.8303899989</v>
      </c>
      <c r="F54" s="65">
        <v>2278910.1743999962</v>
      </c>
      <c r="G54" s="65">
        <v>-1449282.2088959999</v>
      </c>
      <c r="H54" s="66">
        <f t="shared" si="7"/>
        <v>7111.96</v>
      </c>
      <c r="I54" s="123">
        <f t="shared" ref="I54" si="17">SUM(E54:H54)</f>
        <v>3047879.7558939951</v>
      </c>
      <c r="J54" s="80"/>
      <c r="K54" s="182">
        <v>3047879.76</v>
      </c>
      <c r="L54" s="183">
        <f t="shared" ref="L54:L55" si="18">K54-I54</f>
        <v>4.1060047224164009E-3</v>
      </c>
      <c r="M54" s="75"/>
    </row>
    <row r="55" spans="1:15" s="40" customFormat="1" ht="15.6">
      <c r="A55" s="81">
        <v>202201</v>
      </c>
      <c r="B55" s="82">
        <v>3.2500000000000001E-2</v>
      </c>
      <c r="C55" s="57"/>
      <c r="D55" s="83">
        <v>0</v>
      </c>
      <c r="E55" s="84">
        <f t="shared" ref="E55:E65" si="19">I54+D55</f>
        <v>3047879.7558939951</v>
      </c>
      <c r="F55" s="83">
        <v>4404617.2834499981</v>
      </c>
      <c r="G55" s="83">
        <v>-1414616.2167429999</v>
      </c>
      <c r="H55" s="276">
        <f>ROUND(((E55)*(B55/12))+((SUM(F55:G55)/2)*(B55/12)),2)</f>
        <v>12303.63</v>
      </c>
      <c r="I55" s="84">
        <f>SUM(E55:H55)</f>
        <v>6050184.4526009932</v>
      </c>
      <c r="J55" s="59"/>
      <c r="K55" s="85">
        <v>6050182.3399999999</v>
      </c>
      <c r="L55" s="86">
        <f t="shared" si="18"/>
        <v>-2.1126009933650494</v>
      </c>
      <c r="M55" s="75"/>
      <c r="N55" s="132" t="s">
        <v>191</v>
      </c>
    </row>
    <row r="56" spans="1:15" s="40" customFormat="1" ht="15.6">
      <c r="A56" s="77">
        <f>A55+1</f>
        <v>202202</v>
      </c>
      <c r="B56" s="82">
        <v>3.2500000000000001E-2</v>
      </c>
      <c r="C56" s="57"/>
      <c r="D56" s="63">
        <v>0</v>
      </c>
      <c r="E56" s="84">
        <f t="shared" si="19"/>
        <v>6050184.4526009932</v>
      </c>
      <c r="F56" s="83">
        <v>2954218.8408320006</v>
      </c>
      <c r="G56" s="83">
        <v>-1006837.3153379997</v>
      </c>
      <c r="H56" s="58">
        <f t="shared" ref="H56" si="20">ROUND(((E56)*(B56/12))+((SUM(F56:G56)/2)*(B56/12)),2)</f>
        <v>19023</v>
      </c>
      <c r="I56" s="109">
        <f t="shared" ref="I56:I60" si="21">SUM(E56:H56)</f>
        <v>8016588.9780949941</v>
      </c>
      <c r="J56" s="59"/>
      <c r="K56" s="85">
        <v>8016588.9699999997</v>
      </c>
      <c r="L56" s="86">
        <f t="shared" ref="L56" si="22">K56-I56</f>
        <v>-8.0949943512678146E-3</v>
      </c>
      <c r="M56" s="75"/>
    </row>
    <row r="57" spans="1:15" s="40" customFormat="1" ht="15.6">
      <c r="A57" s="77">
        <f t="shared" ref="A57:A66" si="23">A56+1</f>
        <v>202203</v>
      </c>
      <c r="B57" s="82">
        <v>3.2500000000000001E-2</v>
      </c>
      <c r="C57" s="57"/>
      <c r="D57" s="63">
        <v>0</v>
      </c>
      <c r="E57" s="84">
        <f t="shared" si="19"/>
        <v>8016588.9780949941</v>
      </c>
      <c r="F57" s="83">
        <v>1397465.5280680005</v>
      </c>
      <c r="G57" s="83">
        <v>-287194.87563999998</v>
      </c>
      <c r="H57" s="58">
        <f>ROUND(((E57)*(B57/12))+((SUM(F57:G57)/2)*(B57/12)),2)</f>
        <v>23215.09</v>
      </c>
      <c r="I57" s="109">
        <f t="shared" si="21"/>
        <v>9150074.7205229942</v>
      </c>
      <c r="J57" s="59"/>
      <c r="K57" s="85">
        <v>9150074.7100000009</v>
      </c>
      <c r="L57" s="86">
        <f t="shared" ref="L57" si="24">K57-I57</f>
        <v>-1.052299328148365E-2</v>
      </c>
      <c r="M57" s="75"/>
    </row>
    <row r="58" spans="1:15" s="40" customFormat="1" ht="15.6">
      <c r="A58" s="77">
        <f t="shared" si="23"/>
        <v>202204</v>
      </c>
      <c r="B58" s="82">
        <v>3.2500000000000001E-2</v>
      </c>
      <c r="C58" s="57"/>
      <c r="D58" s="63">
        <v>0</v>
      </c>
      <c r="E58" s="84">
        <f t="shared" si="19"/>
        <v>9150074.7205229942</v>
      </c>
      <c r="F58" s="83">
        <v>3922154.6497640009</v>
      </c>
      <c r="G58" s="83">
        <v>-55329.702875999967</v>
      </c>
      <c r="H58" s="58">
        <f t="shared" ref="H58:H66" si="25">ROUND(((E58)*(B58/12))+((SUM(F58:G58)/2)*(B58/12)),2)</f>
        <v>30017.78</v>
      </c>
      <c r="I58" s="109">
        <f t="shared" si="21"/>
        <v>13046917.447410995</v>
      </c>
      <c r="J58" s="59"/>
      <c r="K58" s="85">
        <v>13046917.439999999</v>
      </c>
      <c r="L58" s="86">
        <f t="shared" ref="L58" si="26">K58-I58</f>
        <v>-7.4109956622123718E-3</v>
      </c>
      <c r="M58" s="75"/>
      <c r="N58" s="267"/>
      <c r="O58" s="267"/>
    </row>
    <row r="59" spans="1:15" s="40" customFormat="1" ht="15.6">
      <c r="A59" s="77">
        <f t="shared" si="23"/>
        <v>202205</v>
      </c>
      <c r="B59" s="82">
        <v>3.2500000000000001E-2</v>
      </c>
      <c r="C59" s="57"/>
      <c r="D59" s="63">
        <v>0</v>
      </c>
      <c r="E59" s="84">
        <f t="shared" si="19"/>
        <v>13046917.447410995</v>
      </c>
      <c r="F59" s="83">
        <v>2304917.315699996</v>
      </c>
      <c r="G59" s="83">
        <v>560217.39907500008</v>
      </c>
      <c r="H59" s="58">
        <f t="shared" si="25"/>
        <v>39215.269999999997</v>
      </c>
      <c r="I59" s="109">
        <f t="shared" si="21"/>
        <v>15951267.432185991</v>
      </c>
      <c r="J59" s="59"/>
      <c r="K59" s="85">
        <v>15951267.42</v>
      </c>
      <c r="L59" s="86">
        <f t="shared" ref="L59" si="27">K59-I59</f>
        <v>-1.2185990810394287E-2</v>
      </c>
      <c r="M59" s="75"/>
      <c r="N59" s="267"/>
      <c r="O59" s="267"/>
    </row>
    <row r="60" spans="1:15" s="40" customFormat="1" ht="15.6">
      <c r="A60" s="77">
        <f t="shared" si="23"/>
        <v>202206</v>
      </c>
      <c r="B60" s="82">
        <v>3.2500000000000001E-2</v>
      </c>
      <c r="C60" s="57"/>
      <c r="D60" s="63">
        <v>0</v>
      </c>
      <c r="E60" s="84">
        <f t="shared" si="19"/>
        <v>15951267.432185991</v>
      </c>
      <c r="F60" s="83">
        <v>362036.44918000046</v>
      </c>
      <c r="G60" s="83">
        <v>992540.13287099998</v>
      </c>
      <c r="H60" s="58">
        <f t="shared" si="25"/>
        <v>45035.67</v>
      </c>
      <c r="I60" s="109">
        <f t="shared" si="21"/>
        <v>17350879.684236992</v>
      </c>
      <c r="J60" s="59"/>
      <c r="K60" s="85">
        <v>17350879.670000002</v>
      </c>
      <c r="L60" s="86">
        <f t="shared" ref="L60" si="28">K60-I60</f>
        <v>-1.4236990362405777E-2</v>
      </c>
      <c r="M60" s="75"/>
      <c r="N60" s="267"/>
      <c r="O60" s="267"/>
    </row>
    <row r="61" spans="1:15" s="40" customFormat="1" ht="15.6">
      <c r="A61" s="77">
        <f t="shared" si="23"/>
        <v>202207</v>
      </c>
      <c r="B61" s="82">
        <v>3.5999999999999997E-2</v>
      </c>
      <c r="C61" s="57"/>
      <c r="D61" s="63">
        <v>0</v>
      </c>
      <c r="E61" s="84">
        <f t="shared" si="19"/>
        <v>17350879.684236992</v>
      </c>
      <c r="F61" s="83">
        <v>-993656.17931799591</v>
      </c>
      <c r="G61" s="83">
        <v>1216959.2114270001</v>
      </c>
      <c r="H61" s="58">
        <f t="shared" si="25"/>
        <v>52387.59</v>
      </c>
      <c r="I61" s="109">
        <f>SUM(E61:H61)</f>
        <v>17626570.306345996</v>
      </c>
      <c r="J61" s="59"/>
      <c r="K61" s="85">
        <v>17626570.289999999</v>
      </c>
      <c r="L61" s="86">
        <f t="shared" ref="L61" si="29">K61-I61</f>
        <v>-1.6345996409654617E-2</v>
      </c>
      <c r="M61" s="75"/>
      <c r="N61" s="267"/>
    </row>
    <row r="62" spans="1:15" s="40" customFormat="1" ht="15.6">
      <c r="A62" s="77">
        <f t="shared" si="23"/>
        <v>202208</v>
      </c>
      <c r="B62" s="82">
        <v>3.5999999999999997E-2</v>
      </c>
      <c r="C62" s="57"/>
      <c r="D62" s="63">
        <v>0</v>
      </c>
      <c r="E62" s="84">
        <f t="shared" si="19"/>
        <v>17626570.306345996</v>
      </c>
      <c r="F62" s="83">
        <v>-1367094.4645960005</v>
      </c>
      <c r="G62" s="83">
        <v>1183681.9972710002</v>
      </c>
      <c r="H62" s="58">
        <f t="shared" si="25"/>
        <v>52604.59</v>
      </c>
      <c r="I62" s="109">
        <f>SUM(E62:H62)</f>
        <v>17495762.429020997</v>
      </c>
      <c r="J62" s="59"/>
      <c r="K62" s="85">
        <v>17495762.41</v>
      </c>
      <c r="L62" s="86">
        <f t="shared" ref="L62" si="30">K62-I62</f>
        <v>-1.9020996987819672E-2</v>
      </c>
      <c r="M62" s="75"/>
    </row>
    <row r="63" spans="1:15" s="40" customFormat="1" ht="15.6">
      <c r="A63" s="77">
        <f t="shared" si="23"/>
        <v>202209</v>
      </c>
      <c r="B63" s="82">
        <v>3.5999999999999997E-2</v>
      </c>
      <c r="C63" s="57"/>
      <c r="D63" s="63">
        <v>0</v>
      </c>
      <c r="E63" s="84">
        <f t="shared" si="19"/>
        <v>17495762.429020997</v>
      </c>
      <c r="F63" s="83">
        <v>-1576980.8520129996</v>
      </c>
      <c r="G63" s="83">
        <v>1031870.533733</v>
      </c>
      <c r="H63" s="58">
        <f t="shared" si="25"/>
        <v>51669.62</v>
      </c>
      <c r="I63" s="109">
        <f t="shared" ref="I63:I64" si="31">SUM(E63:H63)</f>
        <v>17002321.730740998</v>
      </c>
      <c r="J63" s="59"/>
      <c r="K63" s="85">
        <v>17002321.710000001</v>
      </c>
      <c r="L63" s="86">
        <f t="shared" ref="L63" si="32">K63-I63</f>
        <v>-2.0740997046232224E-2</v>
      </c>
      <c r="M63" s="75"/>
    </row>
    <row r="64" spans="1:15" s="40" customFormat="1" ht="15.6">
      <c r="A64" s="77">
        <f t="shared" si="23"/>
        <v>202210</v>
      </c>
      <c r="B64" s="82">
        <v>4.9099999999999998E-2</v>
      </c>
      <c r="C64" s="57"/>
      <c r="D64" s="63">
        <v>0</v>
      </c>
      <c r="E64" s="84">
        <f t="shared" si="19"/>
        <v>17002321.730740998</v>
      </c>
      <c r="F64" s="83">
        <v>-1152988.7195379995</v>
      </c>
      <c r="G64" s="83">
        <v>701395.85690899997</v>
      </c>
      <c r="H64" s="58">
        <f t="shared" si="25"/>
        <v>68643.95</v>
      </c>
      <c r="I64" s="109">
        <f t="shared" si="31"/>
        <v>16619372.818111997</v>
      </c>
      <c r="J64" s="59"/>
      <c r="K64" s="85">
        <v>16619372.82</v>
      </c>
      <c r="L64" s="86">
        <f t="shared" ref="L64" si="33">K64-I64</f>
        <v>1.8880032002925873E-3</v>
      </c>
      <c r="M64" s="75"/>
    </row>
    <row r="65" spans="1:23" s="40" customFormat="1" ht="15.6">
      <c r="A65" s="77">
        <f t="shared" si="23"/>
        <v>202211</v>
      </c>
      <c r="B65" s="82">
        <v>4.9099999999999998E-2</v>
      </c>
      <c r="C65" s="57"/>
      <c r="D65" s="63">
        <f>-I64</f>
        <v>-16619372.818111997</v>
      </c>
      <c r="E65" s="84">
        <f t="shared" si="19"/>
        <v>0</v>
      </c>
      <c r="F65" s="83">
        <v>3047676.4409279972</v>
      </c>
      <c r="G65" s="83">
        <v>-1357589.193805</v>
      </c>
      <c r="H65" s="58">
        <f t="shared" si="25"/>
        <v>3457.64</v>
      </c>
      <c r="I65" s="109">
        <f>SUM(E65:H65)</f>
        <v>1693544.8871229971</v>
      </c>
      <c r="J65" s="59"/>
      <c r="K65" s="85">
        <v>1693544.89</v>
      </c>
      <c r="L65" s="86">
        <f t="shared" ref="L65" si="34">K65-I65</f>
        <v>2.877002814784646E-3</v>
      </c>
      <c r="M65" s="46"/>
    </row>
    <row r="66" spans="1:23" s="40" customFormat="1" ht="16.2" thickBot="1">
      <c r="A66" s="78">
        <f t="shared" si="23"/>
        <v>202212</v>
      </c>
      <c r="B66" s="64">
        <v>4.9099999999999998E-2</v>
      </c>
      <c r="C66" s="79"/>
      <c r="D66" s="65">
        <v>0</v>
      </c>
      <c r="E66" s="66">
        <f>I65+D66</f>
        <v>1693544.8871229971</v>
      </c>
      <c r="F66" s="65">
        <v>22030617.912720002</v>
      </c>
      <c r="G66" s="65">
        <v>-6679319.3721549995</v>
      </c>
      <c r="H66" s="66">
        <f t="shared" si="25"/>
        <v>38335.620000000003</v>
      </c>
      <c r="I66" s="123">
        <f t="shared" ref="I66" si="35">SUM(E66:H66)</f>
        <v>17083179.047688</v>
      </c>
      <c r="J66" s="80"/>
      <c r="K66" s="67">
        <v>17083179.050000001</v>
      </c>
      <c r="L66" s="68">
        <f t="shared" ref="L66:L67" si="36">K66-I66</f>
        <v>2.3120008409023285E-3</v>
      </c>
      <c r="M66" s="75"/>
    </row>
    <row r="67" spans="1:23" s="40" customFormat="1" ht="15.6">
      <c r="A67" s="81">
        <v>202301</v>
      </c>
      <c r="B67" s="82">
        <v>6.3100000000000003E-2</v>
      </c>
      <c r="C67" s="57"/>
      <c r="D67" s="83">
        <v>0</v>
      </c>
      <c r="E67" s="84">
        <f t="shared" ref="E67:E77" si="37">I66+D67</f>
        <v>17083179.047688</v>
      </c>
      <c r="F67" s="83">
        <f>'Jan 23'!M$37</f>
        <v>35985521.384848014</v>
      </c>
      <c r="G67" s="83">
        <f>'Jan 23'!L$37</f>
        <v>-1602431.3337900005</v>
      </c>
      <c r="H67" s="276">
        <f>ROUND(((E67)*(B67/12))+((SUM(F67:G67)/2)*(B67/12)),2)</f>
        <v>180227.92</v>
      </c>
      <c r="I67" s="84">
        <f>SUM(E67:H67)</f>
        <v>51646497.018746018</v>
      </c>
      <c r="J67" s="59"/>
      <c r="K67" s="85">
        <v>51646497.020000003</v>
      </c>
      <c r="L67" s="86">
        <f t="shared" si="36"/>
        <v>1.2539848685264587E-3</v>
      </c>
      <c r="M67" s="75"/>
      <c r="N67" s="132"/>
    </row>
    <row r="68" spans="1:23" s="40" customFormat="1" ht="15.6">
      <c r="A68" s="77">
        <f>A67+1</f>
        <v>202302</v>
      </c>
      <c r="B68" s="82">
        <v>6.3100000000000003E-2</v>
      </c>
      <c r="C68" s="57"/>
      <c r="D68" s="63">
        <v>0</v>
      </c>
      <c r="E68" s="84">
        <f t="shared" si="37"/>
        <v>51646497.018746018</v>
      </c>
      <c r="F68" s="83">
        <f>'Feb 23'!M$37</f>
        <v>6803318.2546909992</v>
      </c>
      <c r="G68" s="83">
        <f>'Feb 23'!L$37</f>
        <v>-1254076.7723350003</v>
      </c>
      <c r="H68" s="58">
        <f t="shared" ref="H68" si="38">ROUND(((E68)*(B68/12))+((SUM(F68:G68)/2)*(B68/12)),2)</f>
        <v>286164.38</v>
      </c>
      <c r="I68" s="109">
        <f t="shared" ref="I68:I72" si="39">SUM(E68:H68)</f>
        <v>57481902.881102018</v>
      </c>
      <c r="J68" s="59"/>
      <c r="K68" s="85">
        <v>57481902.880000003</v>
      </c>
      <c r="L68" s="86">
        <f t="shared" ref="L68" si="40">K68-I68</f>
        <v>-1.1020153760910034E-3</v>
      </c>
      <c r="M68" s="75"/>
    </row>
    <row r="69" spans="1:23" s="40" customFormat="1" ht="15.6">
      <c r="A69" s="77">
        <f t="shared" ref="A69:A78" si="41">A68+1</f>
        <v>202303</v>
      </c>
      <c r="B69" s="82">
        <v>6.3100000000000003E-2</v>
      </c>
      <c r="C69" s="57"/>
      <c r="D69" s="63">
        <v>0</v>
      </c>
      <c r="E69" s="84">
        <f t="shared" si="37"/>
        <v>57481902.881102018</v>
      </c>
      <c r="F69" s="83">
        <f>'Mar 23'!M$37</f>
        <v>-178354.56928799674</v>
      </c>
      <c r="G69" s="83">
        <f>'Mar 23'!L$37</f>
        <v>-790332.38802999933</v>
      </c>
      <c r="H69" s="58">
        <f>ROUND(((E69)*(B69/12))+((SUM(F69:G69)/2)*(B69/12)),2)</f>
        <v>299712.17</v>
      </c>
      <c r="I69" s="109">
        <f t="shared" si="39"/>
        <v>56812928.093784027</v>
      </c>
      <c r="J69" s="59"/>
      <c r="K69" s="85">
        <v>56812928.090000004</v>
      </c>
      <c r="L69" s="86">
        <f t="shared" ref="L69" si="42">K69-I69</f>
        <v>-3.7840232253074646E-3</v>
      </c>
      <c r="M69" s="75"/>
    </row>
    <row r="70" spans="1:23" s="40" customFormat="1" ht="15.6">
      <c r="A70" s="77">
        <f t="shared" si="41"/>
        <v>202304</v>
      </c>
      <c r="B70" s="82">
        <v>7.4999999999999997E-2</v>
      </c>
      <c r="C70" s="57"/>
      <c r="D70" s="63">
        <v>0</v>
      </c>
      <c r="E70" s="84">
        <f t="shared" si="37"/>
        <v>56812928.093784027</v>
      </c>
      <c r="F70" s="83">
        <f>'Apr 23'!M$37</f>
        <v>-2286582.3003280023</v>
      </c>
      <c r="G70" s="83">
        <f>'Apr 23'!L$37</f>
        <v>-26289.828085000394</v>
      </c>
      <c r="H70" s="58">
        <f t="shared" ref="H70:H78" si="43">ROUND(((E70)*(B70/12))+((SUM(F70:G70)/2)*(B70/12)),2)</f>
        <v>347853.08</v>
      </c>
      <c r="I70" s="109">
        <f t="shared" si="39"/>
        <v>54847909.045371026</v>
      </c>
      <c r="J70" s="59"/>
      <c r="K70" s="85">
        <v>54847909.039999999</v>
      </c>
      <c r="L70" s="86">
        <f t="shared" ref="L70" si="44">K70-I70</f>
        <v>-5.3710266947746277E-3</v>
      </c>
      <c r="M70" s="75"/>
      <c r="N70" s="267"/>
      <c r="O70" s="267"/>
    </row>
    <row r="71" spans="1:23" s="40" customFormat="1" ht="15.6">
      <c r="A71" s="77">
        <f t="shared" si="41"/>
        <v>202305</v>
      </c>
      <c r="B71" s="82">
        <v>7.4999999999999997E-2</v>
      </c>
      <c r="C71" s="57"/>
      <c r="D71" s="63">
        <v>0</v>
      </c>
      <c r="E71" s="84">
        <f t="shared" si="37"/>
        <v>54847909.045371026</v>
      </c>
      <c r="F71" s="83">
        <f>'May 23'!M$37</f>
        <v>-271078.93448999943</v>
      </c>
      <c r="G71" s="83">
        <f>'May 23'!L$37</f>
        <v>990245.04789500008</v>
      </c>
      <c r="H71" s="58">
        <f t="shared" si="43"/>
        <v>345046.83</v>
      </c>
      <c r="I71" s="109">
        <f t="shared" si="39"/>
        <v>55912121.988776021</v>
      </c>
      <c r="J71" s="59"/>
      <c r="K71" s="85">
        <v>55912121.979999997</v>
      </c>
      <c r="L71" s="86">
        <f t="shared" ref="L71" si="45">K71-I71</f>
        <v>-8.7760239839553833E-3</v>
      </c>
      <c r="M71" s="75"/>
      <c r="N71" s="267"/>
      <c r="O71" s="267"/>
    </row>
    <row r="72" spans="1:23" s="40" customFormat="1" ht="15.6">
      <c r="A72" s="77">
        <f t="shared" si="41"/>
        <v>202306</v>
      </c>
      <c r="B72" s="82">
        <v>7.4999999999999997E-2</v>
      </c>
      <c r="C72" s="57"/>
      <c r="D72" s="63">
        <v>0</v>
      </c>
      <c r="E72" s="84">
        <f t="shared" si="37"/>
        <v>55912121.988776021</v>
      </c>
      <c r="F72" s="83">
        <f>'Jun 23'!M$37</f>
        <v>-466639.96514999913</v>
      </c>
      <c r="G72" s="83">
        <f>'Jun 23'!L$37</f>
        <v>1106231.5332699998</v>
      </c>
      <c r="H72" s="58">
        <f t="shared" si="43"/>
        <v>351449.49</v>
      </c>
      <c r="I72" s="109">
        <f t="shared" si="39"/>
        <v>56903163.046896026</v>
      </c>
      <c r="J72" s="59"/>
      <c r="K72" s="85">
        <v>56903163.039999999</v>
      </c>
      <c r="L72" s="86">
        <f>K72-I72</f>
        <v>-6.8960264325141907E-3</v>
      </c>
      <c r="M72" s="75"/>
      <c r="N72" s="267"/>
      <c r="O72" s="267"/>
    </row>
    <row r="73" spans="1:23" s="40" customFormat="1" ht="15.6">
      <c r="A73" s="77">
        <f t="shared" si="41"/>
        <v>202307</v>
      </c>
      <c r="B73" s="82">
        <v>8.0199999999999994E-2</v>
      </c>
      <c r="C73" s="57"/>
      <c r="D73" s="63">
        <v>0</v>
      </c>
      <c r="E73" s="84">
        <f t="shared" si="37"/>
        <v>56903163.046896026</v>
      </c>
      <c r="F73" s="83">
        <f>'Jul 23'!M$37</f>
        <v>-1562921.3133479997</v>
      </c>
      <c r="G73" s="83">
        <f>'Jul 23'!L$37</f>
        <v>1177863.6372349998</v>
      </c>
      <c r="H73" s="58">
        <f t="shared" si="43"/>
        <v>379016.07</v>
      </c>
      <c r="I73" s="109">
        <f>SUM(E73:H73)</f>
        <v>56897121.440783024</v>
      </c>
      <c r="J73" s="59"/>
      <c r="K73" s="85">
        <v>56897121.43</v>
      </c>
      <c r="L73" s="86">
        <f>K73-I73</f>
        <v>-1.078302413225174E-2</v>
      </c>
      <c r="M73" s="75"/>
      <c r="N73" s="267"/>
    </row>
    <row r="74" spans="1:23" s="40" customFormat="1" ht="15.6">
      <c r="A74" s="77">
        <f t="shared" si="41"/>
        <v>202308</v>
      </c>
      <c r="B74" s="82">
        <v>8.0199999999999994E-2</v>
      </c>
      <c r="C74" s="57"/>
      <c r="D74" s="63">
        <v>0</v>
      </c>
      <c r="E74" s="84">
        <f t="shared" si="37"/>
        <v>56897121.440783024</v>
      </c>
      <c r="F74" s="83">
        <f>'Aug 23'!M$37</f>
        <v>-1581522.9992530001</v>
      </c>
      <c r="G74" s="83">
        <f>'Aug 23'!L$37</f>
        <v>1137193.0285949998</v>
      </c>
      <c r="H74" s="58">
        <f t="shared" si="43"/>
        <v>378777.63</v>
      </c>
      <c r="I74" s="109">
        <f>SUM(E74:H74)</f>
        <v>56831569.10012503</v>
      </c>
      <c r="J74" s="59"/>
      <c r="K74" s="85">
        <v>56897121.43</v>
      </c>
      <c r="L74" s="86">
        <f>K74-I74</f>
        <v>65552.329874970019</v>
      </c>
      <c r="M74" s="75"/>
    </row>
    <row r="75" spans="1:23" s="40" customFormat="1" ht="15.6">
      <c r="A75" s="77">
        <f t="shared" si="41"/>
        <v>202309</v>
      </c>
      <c r="B75" s="82"/>
      <c r="C75" s="57"/>
      <c r="D75" s="63">
        <v>0</v>
      </c>
      <c r="E75" s="84">
        <f t="shared" si="37"/>
        <v>56831569.10012503</v>
      </c>
      <c r="F75" s="83"/>
      <c r="G75" s="83"/>
      <c r="H75" s="58">
        <f t="shared" si="43"/>
        <v>0</v>
      </c>
      <c r="I75" s="109">
        <f t="shared" ref="I75:I76" si="46">SUM(E75:H75)</f>
        <v>56831569.10012503</v>
      </c>
      <c r="J75" s="59"/>
      <c r="K75" s="85"/>
      <c r="L75" s="86"/>
      <c r="M75" s="75"/>
    </row>
    <row r="76" spans="1:23" s="40" customFormat="1" ht="15.6">
      <c r="A76" s="77">
        <f t="shared" si="41"/>
        <v>202310</v>
      </c>
      <c r="B76" s="82"/>
      <c r="C76" s="57"/>
      <c r="D76" s="63">
        <v>0</v>
      </c>
      <c r="E76" s="84">
        <f t="shared" si="37"/>
        <v>56831569.10012503</v>
      </c>
      <c r="F76" s="83"/>
      <c r="G76" s="83"/>
      <c r="H76" s="58">
        <f t="shared" si="43"/>
        <v>0</v>
      </c>
      <c r="I76" s="109">
        <f t="shared" si="46"/>
        <v>56831569.10012503</v>
      </c>
      <c r="J76" s="59"/>
      <c r="K76" s="85"/>
      <c r="L76" s="86"/>
      <c r="M76" s="75"/>
    </row>
    <row r="77" spans="1:23" s="40" customFormat="1" ht="15.6">
      <c r="A77" s="77">
        <f t="shared" si="41"/>
        <v>202311</v>
      </c>
      <c r="B77" s="82"/>
      <c r="C77" s="57"/>
      <c r="D77" s="63"/>
      <c r="E77" s="84">
        <f t="shared" si="37"/>
        <v>56831569.10012503</v>
      </c>
      <c r="F77" s="83"/>
      <c r="G77" s="83"/>
      <c r="H77" s="58">
        <f t="shared" si="43"/>
        <v>0</v>
      </c>
      <c r="I77" s="109">
        <f>SUM(E77:H77)</f>
        <v>56831569.10012503</v>
      </c>
      <c r="J77" s="59"/>
      <c r="K77" s="85"/>
      <c r="L77" s="86"/>
      <c r="M77" s="46"/>
    </row>
    <row r="78" spans="1:23" s="40" customFormat="1" ht="16.2" thickBot="1">
      <c r="A78" s="78">
        <f t="shared" si="41"/>
        <v>202312</v>
      </c>
      <c r="B78" s="64"/>
      <c r="C78" s="79"/>
      <c r="D78" s="65">
        <v>0</v>
      </c>
      <c r="E78" s="66">
        <f>I77+D78</f>
        <v>56831569.10012503</v>
      </c>
      <c r="F78" s="65"/>
      <c r="G78" s="65"/>
      <c r="H78" s="66">
        <f t="shared" si="43"/>
        <v>0</v>
      </c>
      <c r="I78" s="123">
        <f t="shared" ref="I78" si="47">SUM(E78:H78)</f>
        <v>56831569.10012503</v>
      </c>
      <c r="J78" s="59"/>
      <c r="K78" s="67"/>
      <c r="L78" s="68"/>
      <c r="M78" s="75"/>
    </row>
    <row r="79" spans="1:23" ht="15.6">
      <c r="A79" s="55"/>
      <c r="B79" s="55"/>
      <c r="C79" s="56"/>
      <c r="D79" s="69">
        <f>SUMIF($A$19:$A$78,$D82,D$19:D$78)</f>
        <v>0</v>
      </c>
      <c r="E79" s="55"/>
      <c r="F79" s="69">
        <f>SUMIF($A$19:$A$78,$D82,F$19:F$78)</f>
        <v>-1581522.9992530001</v>
      </c>
      <c r="G79" s="69">
        <f>SUMIF($A$19:$A$78,$D82,G$19:G$78)</f>
        <v>1137193.0285949998</v>
      </c>
      <c r="H79" s="69">
        <f>SUMIF($A$19:$A$78,$D82,H$19:H$78)</f>
        <v>378777.63</v>
      </c>
      <c r="I79" s="70" t="s">
        <v>56</v>
      </c>
      <c r="J79" s="56"/>
      <c r="K79" s="55"/>
      <c r="L79" s="55"/>
      <c r="M79" s="74"/>
      <c r="Q79" s="45"/>
      <c r="R79" s="46"/>
      <c r="S79" s="46"/>
      <c r="T79" s="47"/>
      <c r="U79" s="33"/>
      <c r="V79" s="33"/>
      <c r="W79" s="33"/>
    </row>
    <row r="80" spans="1:23" s="128" customFormat="1">
      <c r="A80" s="73"/>
      <c r="B80" s="73"/>
      <c r="C80" s="125"/>
      <c r="D80" s="126" t="s">
        <v>82</v>
      </c>
      <c r="E80" s="73"/>
      <c r="F80" s="126" t="s">
        <v>68</v>
      </c>
      <c r="G80" s="126" t="s">
        <v>69</v>
      </c>
      <c r="H80" s="126" t="s">
        <v>70</v>
      </c>
      <c r="I80" s="73"/>
      <c r="J80" s="125"/>
      <c r="K80" s="73"/>
      <c r="L80" s="73"/>
      <c r="M80" s="127"/>
      <c r="Q80" s="129"/>
      <c r="R80" s="129"/>
      <c r="S80" s="129"/>
      <c r="T80" s="129"/>
      <c r="U80" s="129"/>
      <c r="V80" s="129"/>
      <c r="W80" s="129"/>
    </row>
    <row r="81" spans="1:23">
      <c r="A81" s="55"/>
      <c r="B81" s="55"/>
      <c r="C81" s="56"/>
      <c r="D81" s="55"/>
      <c r="E81" s="55"/>
      <c r="F81" s="55"/>
      <c r="G81" s="55"/>
      <c r="H81" s="55"/>
      <c r="I81" s="55"/>
      <c r="J81" s="56"/>
      <c r="K81" s="55"/>
      <c r="L81" s="55"/>
      <c r="M81" s="74"/>
      <c r="Q81" s="33"/>
      <c r="R81" s="33"/>
      <c r="S81" s="33"/>
      <c r="T81" s="33"/>
      <c r="U81" s="33"/>
      <c r="V81" s="33"/>
      <c r="W81" s="33"/>
    </row>
    <row r="82" spans="1:23">
      <c r="A82" s="55"/>
      <c r="B82" s="55"/>
      <c r="C82" s="56"/>
      <c r="D82" s="48">
        <v>202308</v>
      </c>
      <c r="E82" s="49" t="s">
        <v>57</v>
      </c>
      <c r="F82" s="50"/>
      <c r="G82" s="55"/>
      <c r="H82" s="55"/>
      <c r="I82" s="55"/>
      <c r="J82" s="56"/>
      <c r="K82" s="55"/>
      <c r="L82" s="55"/>
      <c r="M82" s="74"/>
    </row>
    <row r="83" spans="1:23">
      <c r="A83" s="55"/>
      <c r="B83" s="55"/>
      <c r="C83" s="56"/>
      <c r="D83" s="51" t="s">
        <v>58</v>
      </c>
      <c r="E83" s="51" t="s">
        <v>59</v>
      </c>
      <c r="F83" s="51" t="s">
        <v>60</v>
      </c>
      <c r="G83" s="55"/>
      <c r="H83" s="55"/>
      <c r="I83" s="55"/>
      <c r="J83" s="56"/>
      <c r="K83" s="55"/>
      <c r="L83" s="55"/>
      <c r="M83" s="74"/>
    </row>
    <row r="84" spans="1:23">
      <c r="A84" s="55"/>
      <c r="B84" s="55"/>
      <c r="C84" s="71" t="s">
        <v>21</v>
      </c>
      <c r="D84" s="52" t="s">
        <v>61</v>
      </c>
      <c r="E84" s="53"/>
      <c r="F84" s="54">
        <f>IF($H$79&gt;0,ABS($H$79),"")</f>
        <v>378777.63</v>
      </c>
      <c r="G84" s="73" t="s">
        <v>70</v>
      </c>
      <c r="H84" s="55"/>
      <c r="I84" s="71"/>
      <c r="J84" s="71"/>
      <c r="K84" s="284"/>
      <c r="L84" s="284"/>
      <c r="M84" s="285"/>
      <c r="N84" s="286"/>
    </row>
    <row r="85" spans="1:23">
      <c r="A85" s="55"/>
      <c r="B85" s="55"/>
      <c r="C85" s="71" t="s">
        <v>65</v>
      </c>
      <c r="D85" s="52" t="s">
        <v>62</v>
      </c>
      <c r="E85" s="54" t="str">
        <f>IF($H$79&lt;0,ABS($H$79),"")</f>
        <v/>
      </c>
      <c r="F85" s="53"/>
      <c r="G85" s="73" t="s">
        <v>70</v>
      </c>
      <c r="H85" s="55"/>
      <c r="I85" s="71"/>
      <c r="J85" s="71"/>
      <c r="K85" s="284"/>
      <c r="L85" s="284"/>
      <c r="M85" s="285"/>
      <c r="N85" s="286"/>
    </row>
    <row r="86" spans="1:23">
      <c r="A86" s="55"/>
      <c r="B86" s="55"/>
      <c r="C86" s="71" t="s">
        <v>108</v>
      </c>
      <c r="D86" s="52" t="s">
        <v>63</v>
      </c>
      <c r="E86" s="54" t="str">
        <f>IF($F$79+$G$79+H79&gt;0,ABS($F$79+$G$79+H79),"")</f>
        <v/>
      </c>
      <c r="F86" s="54">
        <f>IF($F$79+$G$79+H79&lt;0,ABS($F$79+$G$79+H79),"")</f>
        <v>65552.340658000321</v>
      </c>
      <c r="G86" s="73" t="s">
        <v>71</v>
      </c>
      <c r="H86" s="55"/>
      <c r="I86" s="71"/>
      <c r="J86" s="71"/>
      <c r="K86" s="284"/>
      <c r="L86" s="284"/>
      <c r="M86" s="285"/>
      <c r="N86" s="286"/>
    </row>
    <row r="87" spans="1:23">
      <c r="A87" s="55"/>
      <c r="B87" s="55"/>
      <c r="C87" s="71" t="s">
        <v>66</v>
      </c>
      <c r="D87" s="52" t="s">
        <v>64</v>
      </c>
      <c r="E87" s="54">
        <f>IF($F$79+$G$79&lt;0,ABS($F$79+$G$79),"")</f>
        <v>444329.97065800033</v>
      </c>
      <c r="F87" s="54" t="str">
        <f>IF($F$79+$G$79&gt;0,ABS($F$79+$G$79),"")</f>
        <v/>
      </c>
      <c r="G87" s="73" t="s">
        <v>72</v>
      </c>
      <c r="H87" s="55"/>
      <c r="I87" s="71"/>
      <c r="J87" s="71"/>
      <c r="K87" s="284"/>
      <c r="L87" s="284"/>
      <c r="M87" s="285"/>
      <c r="N87" s="286"/>
    </row>
    <row r="88" spans="1:23">
      <c r="A88" s="55"/>
      <c r="B88" s="55"/>
      <c r="C88" s="56"/>
      <c r="D88" s="55"/>
      <c r="E88" s="55"/>
      <c r="F88" s="55"/>
      <c r="G88" s="73"/>
      <c r="H88" s="55"/>
      <c r="I88" s="55"/>
      <c r="J88" s="56"/>
      <c r="K88" s="55"/>
      <c r="L88" s="55"/>
      <c r="M88" s="74"/>
    </row>
    <row r="89" spans="1:23">
      <c r="A89" s="55"/>
      <c r="B89" s="55"/>
      <c r="C89" s="56"/>
      <c r="D89" s="55"/>
      <c r="E89" s="55"/>
      <c r="F89" s="72">
        <f>SUM(E84:E87)-SUM(F84:F87)</f>
        <v>0</v>
      </c>
      <c r="G89" s="73" t="s">
        <v>73</v>
      </c>
      <c r="H89" s="55"/>
      <c r="I89" s="55"/>
      <c r="J89" s="56"/>
      <c r="K89" s="55"/>
      <c r="L89" s="55"/>
      <c r="M89" s="74"/>
    </row>
    <row r="90" spans="1:23">
      <c r="G90" s="128"/>
    </row>
    <row r="91" spans="1:23" ht="15.6">
      <c r="D91" s="51" t="s">
        <v>81</v>
      </c>
      <c r="E91" s="287"/>
      <c r="F91" s="288"/>
      <c r="G91" s="130"/>
    </row>
    <row r="92" spans="1:23">
      <c r="D92" s="52" t="s">
        <v>63</v>
      </c>
      <c r="E92" s="54"/>
      <c r="F92" s="91"/>
      <c r="G92" s="73" t="s">
        <v>82</v>
      </c>
    </row>
    <row r="93" spans="1:23">
      <c r="D93" s="90" t="s">
        <v>83</v>
      </c>
      <c r="E93" s="91"/>
      <c r="F93" s="54"/>
      <c r="G93" s="92"/>
    </row>
  </sheetData>
  <printOptions horizontalCentered="1"/>
  <pageMargins left="0.25" right="0.25" top="0.5" bottom="0.5" header="0.3" footer="0.3"/>
  <pageSetup scale="74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054EC1887D74429605D7DD4B8E3D51" ma:contentTypeVersion="28" ma:contentTypeDescription="" ma:contentTypeScope="" ma:versionID="e777ddca35cd8986cff22a475a433c2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2022-09-02T07:00:00+00:00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220670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3FD0F1E-E02E-4A29-AD4F-7F8059C21EA1}"/>
</file>

<file path=customXml/itemProps2.xml><?xml version="1.0" encoding="utf-8"?>
<ds:datastoreItem xmlns:ds="http://schemas.openxmlformats.org/officeDocument/2006/customXml" ds:itemID="{BD46C011-5F76-48F7-A3C9-020083A8C14F}"/>
</file>

<file path=customXml/itemProps3.xml><?xml version="1.0" encoding="utf-8"?>
<ds:datastoreItem xmlns:ds="http://schemas.openxmlformats.org/officeDocument/2006/customXml" ds:itemID="{C5E99079-F9A2-4DC8-9B3C-43070032457A}"/>
</file>

<file path=customXml/itemProps4.xml><?xml version="1.0" encoding="utf-8"?>
<ds:datastoreItem xmlns:ds="http://schemas.openxmlformats.org/officeDocument/2006/customXml" ds:itemID="{BEE2B10A-FDBA-4943-957F-F440F43FB6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Jan 23</vt:lpstr>
      <vt:lpstr>Feb 23</vt:lpstr>
      <vt:lpstr>Mar 23</vt:lpstr>
      <vt:lpstr>Apr 23</vt:lpstr>
      <vt:lpstr>May 23</vt:lpstr>
      <vt:lpstr>Jun 23</vt:lpstr>
      <vt:lpstr>Jul 23</vt:lpstr>
      <vt:lpstr>Aug 23</vt:lpstr>
      <vt:lpstr>191010 WA DEF</vt:lpstr>
      <vt:lpstr>191000 WA Amort</vt:lpstr>
      <vt:lpstr>'191000 WA Amort'!Print_Area</vt:lpstr>
      <vt:lpstr>'191010 WA DEF'!Print_Area</vt:lpstr>
      <vt:lpstr>'Apr 23'!Print_Area</vt:lpstr>
      <vt:lpstr>'Aug 23'!Print_Area</vt:lpstr>
      <vt:lpstr>'Feb 23'!Print_Area</vt:lpstr>
      <vt:lpstr>'Jan 23'!Print_Area</vt:lpstr>
      <vt:lpstr>'Jul 23'!Print_Area</vt:lpstr>
      <vt:lpstr>'Jun 23'!Print_Area</vt:lpstr>
      <vt:lpstr>'Mar 23'!Print_Area</vt:lpstr>
      <vt:lpstr>'May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Preferred Customer</dc:creator>
  <cp:lastModifiedBy>Garbarino, Marcus</cp:lastModifiedBy>
  <cp:lastPrinted>2023-06-06T22:17:19Z</cp:lastPrinted>
  <dcterms:created xsi:type="dcterms:W3CDTF">2003-05-01T14:02:57Z</dcterms:created>
  <dcterms:modified xsi:type="dcterms:W3CDTF">2023-09-25T17:49:35Z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0x0101006E56B4D1795A2E4DB2F0B01679ED314A007B054EC1887D74429605D7DD4B8E3D51</vt:lpwstr>
  </property>
  <property fmtid="{D5CDD505-2E9C-101B-9397-08002B2CF9AE}" pid="5" name="_docset_NoMedatataSyncRequired">
    <vt:lpwstr>False</vt:lpwstr>
  </property>
</Properties>
</file>