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19\10-2019\WA\"/>
    </mc:Choice>
  </mc:AlternateContent>
  <xr:revisionPtr revIDLastSave="0" documentId="13_ncr:1_{9440DB49-6B95-4B7D-AC93-647D30ECE43A}" xr6:coauthVersionLast="41" xr6:coauthVersionMax="41" xr10:uidLastSave="{00000000-0000-0000-0000-000000000000}"/>
  <bookViews>
    <workbookView xWindow="28680" yWindow="-120" windowWidth="29040" windowHeight="15840" xr2:uid="{B94C9DF4-5B2A-4D34-A5B9-EE8C8ABB3906}"/>
  </bookViews>
  <sheets>
    <sheet name="DEFERRALS" sheetId="12" r:id="rId1"/>
    <sheet name="WA Rates" sheetId="9" r:id="rId2"/>
    <sheet name="Core Cost Incurred" sheetId="11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_xlnm.Print_Area" localSheetId="2">'Core Cost Incurred'!$B$1:$Z$48</definedName>
    <definedName name="_xlnm.Print_Area" localSheetId="0">DEFERRALS!$B$1:$H$22</definedName>
    <definedName name="_xlnm.Print_Area" localSheetId="1">'WA Rates'!$B$1:$N$50</definedName>
    <definedName name="_xlnm.Print_Titles" localSheetId="2">'Core Cost Incurred'!$B:$F</definedName>
    <definedName name="_xlnm.Print_Titles" localSheetId="1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8" i="11" l="1"/>
  <c r="T48" i="11"/>
  <c r="C2" i="12"/>
  <c r="D8" i="12"/>
  <c r="E8" i="12"/>
  <c r="G8" i="12"/>
  <c r="D9" i="12"/>
  <c r="E9" i="12"/>
  <c r="E18" i="12" s="1"/>
  <c r="F9" i="12"/>
  <c r="G9" i="12"/>
  <c r="G12" i="12" s="1"/>
  <c r="E11" i="12"/>
  <c r="G11" i="12"/>
  <c r="D12" i="12"/>
  <c r="F12" i="12"/>
  <c r="F18" i="12" s="1"/>
  <c r="D18" i="12"/>
  <c r="G18" i="12" l="1"/>
  <c r="E12" i="12"/>
  <c r="AE45" i="11" l="1"/>
  <c r="AC43" i="11"/>
  <c r="AB43" i="11"/>
  <c r="Z43" i="11"/>
  <c r="W43" i="11"/>
  <c r="AC42" i="11"/>
  <c r="AC44" i="11" s="1"/>
  <c r="AB42" i="11"/>
  <c r="AB44" i="11" s="1"/>
  <c r="Z42" i="11"/>
  <c r="Z44" i="11" s="1"/>
  <c r="W42" i="11"/>
  <c r="W44" i="11" s="1"/>
  <c r="Q47" i="11" s="1"/>
  <c r="Q42" i="11"/>
  <c r="W40" i="11"/>
  <c r="V40" i="11"/>
  <c r="AC38" i="11"/>
  <c r="AC40" i="11" s="1"/>
  <c r="AB38" i="11"/>
  <c r="AB40" i="11" s="1"/>
  <c r="Z38" i="11"/>
  <c r="Z40" i="11" s="1"/>
  <c r="W38" i="11"/>
  <c r="T38" i="11"/>
  <c r="Q38" i="11"/>
  <c r="N37" i="11"/>
  <c r="K37" i="11"/>
  <c r="H37" i="11" s="1"/>
  <c r="N36" i="11"/>
  <c r="K36" i="11"/>
  <c r="H36" i="11" s="1"/>
  <c r="N35" i="11"/>
  <c r="H35" i="11" s="1"/>
  <c r="K35" i="11"/>
  <c r="N34" i="11"/>
  <c r="K34" i="11"/>
  <c r="H34" i="11"/>
  <c r="N33" i="11"/>
  <c r="H33" i="11" s="1"/>
  <c r="K33" i="11"/>
  <c r="N32" i="11"/>
  <c r="K32" i="11"/>
  <c r="H32" i="11"/>
  <c r="N31" i="11"/>
  <c r="K31" i="11"/>
  <c r="H31" i="11"/>
  <c r="N30" i="11"/>
  <c r="K30" i="11"/>
  <c r="H30" i="11" s="1"/>
  <c r="N29" i="11"/>
  <c r="K29" i="11"/>
  <c r="H29" i="11" s="1"/>
  <c r="N28" i="11"/>
  <c r="K28" i="11"/>
  <c r="H28" i="11" s="1"/>
  <c r="N27" i="11"/>
  <c r="H27" i="11" s="1"/>
  <c r="K27" i="11"/>
  <c r="N26" i="11"/>
  <c r="K26" i="11"/>
  <c r="H26" i="11"/>
  <c r="N25" i="11"/>
  <c r="H25" i="11" s="1"/>
  <c r="K25" i="11"/>
  <c r="N24" i="11"/>
  <c r="N38" i="11" s="1"/>
  <c r="K24" i="11"/>
  <c r="H24" i="11"/>
  <c r="AC22" i="11"/>
  <c r="AB22" i="11"/>
  <c r="Z22" i="11"/>
  <c r="W22" i="11"/>
  <c r="T22" i="11"/>
  <c r="T21" i="11"/>
  <c r="T43" i="11" s="1"/>
  <c r="Q21" i="11"/>
  <c r="Q43" i="11" s="1"/>
  <c r="N20" i="11"/>
  <c r="K20" i="11"/>
  <c r="H20" i="11" s="1"/>
  <c r="N19" i="11"/>
  <c r="K19" i="11"/>
  <c r="H19" i="11" s="1"/>
  <c r="N18" i="11"/>
  <c r="H18" i="11" s="1"/>
  <c r="K18" i="11"/>
  <c r="T17" i="11"/>
  <c r="Q17" i="11"/>
  <c r="Q22" i="11" s="1"/>
  <c r="N17" i="11"/>
  <c r="K17" i="11"/>
  <c r="AC15" i="11"/>
  <c r="AB15" i="11"/>
  <c r="Z15" i="11"/>
  <c r="Y15" i="11"/>
  <c r="Y40" i="11" s="1"/>
  <c r="W15" i="11"/>
  <c r="V15" i="11"/>
  <c r="Q15" i="11"/>
  <c r="N14" i="11"/>
  <c r="M14" i="11"/>
  <c r="K14" i="11"/>
  <c r="H14" i="11" s="1"/>
  <c r="J14" i="11"/>
  <c r="G14" i="11"/>
  <c r="N13" i="11"/>
  <c r="M13" i="11"/>
  <c r="K13" i="11"/>
  <c r="H13" i="11" s="1"/>
  <c r="J13" i="11"/>
  <c r="G13" i="11"/>
  <c r="N12" i="11"/>
  <c r="M12" i="11"/>
  <c r="K12" i="11"/>
  <c r="J12" i="11"/>
  <c r="G12" i="11" s="1"/>
  <c r="H12" i="11"/>
  <c r="N11" i="11"/>
  <c r="M11" i="11"/>
  <c r="K11" i="11"/>
  <c r="J11" i="11"/>
  <c r="G11" i="11" s="1"/>
  <c r="H11" i="11"/>
  <c r="T10" i="11"/>
  <c r="T15" i="11" s="1"/>
  <c r="S10" i="11"/>
  <c r="S15" i="11" s="1"/>
  <c r="S40" i="11" s="1"/>
  <c r="Q10" i="11"/>
  <c r="P10" i="11"/>
  <c r="P15" i="11" s="1"/>
  <c r="P40" i="11" s="1"/>
  <c r="M10" i="11"/>
  <c r="K10" i="11"/>
  <c r="N9" i="11"/>
  <c r="K9" i="11"/>
  <c r="H9" i="11" s="1"/>
  <c r="Q8" i="11"/>
  <c r="N8" i="11"/>
  <c r="M8" i="11"/>
  <c r="M15" i="11" s="1"/>
  <c r="M40" i="11" s="1"/>
  <c r="K8" i="11"/>
  <c r="H8" i="11" s="1"/>
  <c r="J8" i="11"/>
  <c r="G8" i="11"/>
  <c r="N7" i="11"/>
  <c r="K7" i="11"/>
  <c r="H7" i="11"/>
  <c r="N6" i="11"/>
  <c r="K6" i="11"/>
  <c r="H6" i="11" s="1"/>
  <c r="W3" i="11"/>
  <c r="W1" i="11"/>
  <c r="K44" i="9"/>
  <c r="I44" i="9"/>
  <c r="L44" i="9" s="1"/>
  <c r="H44" i="9"/>
  <c r="G44" i="9"/>
  <c r="G46" i="9" s="1"/>
  <c r="G48" i="9" s="1"/>
  <c r="G71" i="9" s="1"/>
  <c r="K42" i="9"/>
  <c r="I42" i="9"/>
  <c r="L42" i="9" s="1"/>
  <c r="H42" i="9"/>
  <c r="L41" i="9"/>
  <c r="I41" i="9"/>
  <c r="H41" i="9"/>
  <c r="K41" i="9" s="1"/>
  <c r="K40" i="9"/>
  <c r="I40" i="9"/>
  <c r="L40" i="9" s="1"/>
  <c r="H40" i="9"/>
  <c r="I39" i="9"/>
  <c r="L39" i="9" s="1"/>
  <c r="H39" i="9"/>
  <c r="K39" i="9" s="1"/>
  <c r="I38" i="9"/>
  <c r="L38" i="9" s="1"/>
  <c r="H38" i="9"/>
  <c r="K38" i="9" s="1"/>
  <c r="L37" i="9"/>
  <c r="I37" i="9"/>
  <c r="H37" i="9"/>
  <c r="K37" i="9" s="1"/>
  <c r="K35" i="9"/>
  <c r="I35" i="9"/>
  <c r="L35" i="9" s="1"/>
  <c r="H35" i="9"/>
  <c r="K34" i="9"/>
  <c r="I34" i="9"/>
  <c r="L34" i="9" s="1"/>
  <c r="H34" i="9"/>
  <c r="L33" i="9"/>
  <c r="J33" i="9"/>
  <c r="M33" i="9" s="1"/>
  <c r="H33" i="9"/>
  <c r="K33" i="9" s="1"/>
  <c r="N33" i="9" s="1"/>
  <c r="L31" i="9"/>
  <c r="I31" i="9"/>
  <c r="H31" i="9"/>
  <c r="K31" i="9" s="1"/>
  <c r="K30" i="9"/>
  <c r="I30" i="9"/>
  <c r="L30" i="9" s="1"/>
  <c r="H30" i="9"/>
  <c r="I29" i="9"/>
  <c r="L29" i="9" s="1"/>
  <c r="H29" i="9"/>
  <c r="K29" i="9" s="1"/>
  <c r="I27" i="9"/>
  <c r="L27" i="9" s="1"/>
  <c r="H27" i="9"/>
  <c r="K27" i="9" s="1"/>
  <c r="L26" i="9"/>
  <c r="I26" i="9"/>
  <c r="H26" i="9"/>
  <c r="K26" i="9" s="1"/>
  <c r="K25" i="9"/>
  <c r="I25" i="9"/>
  <c r="L25" i="9" s="1"/>
  <c r="H25" i="9"/>
  <c r="L23" i="9"/>
  <c r="J23" i="9"/>
  <c r="M23" i="9" s="1"/>
  <c r="I23" i="9"/>
  <c r="H23" i="9"/>
  <c r="K23" i="9" s="1"/>
  <c r="K22" i="9"/>
  <c r="I22" i="9"/>
  <c r="L22" i="9" s="1"/>
  <c r="H22" i="9"/>
  <c r="L21" i="9"/>
  <c r="I21" i="9"/>
  <c r="H21" i="9"/>
  <c r="K21" i="9" s="1"/>
  <c r="K20" i="9"/>
  <c r="I20" i="9"/>
  <c r="L20" i="9" s="1"/>
  <c r="H20" i="9"/>
  <c r="U19" i="9"/>
  <c r="R19" i="9"/>
  <c r="L19" i="9"/>
  <c r="I19" i="9"/>
  <c r="H19" i="9"/>
  <c r="K19" i="9" s="1"/>
  <c r="U18" i="9"/>
  <c r="L18" i="9"/>
  <c r="K18" i="9"/>
  <c r="H18" i="9"/>
  <c r="I16" i="9"/>
  <c r="L16" i="9" s="1"/>
  <c r="H16" i="9"/>
  <c r="K16" i="9" s="1"/>
  <c r="N16" i="9" s="1"/>
  <c r="U15" i="9"/>
  <c r="R15" i="9"/>
  <c r="I15" i="9"/>
  <c r="L15" i="9" s="1"/>
  <c r="H15" i="9"/>
  <c r="K15" i="9" s="1"/>
  <c r="L14" i="9"/>
  <c r="I14" i="9"/>
  <c r="H14" i="9"/>
  <c r="K14" i="9" s="1"/>
  <c r="L12" i="9"/>
  <c r="K12" i="9"/>
  <c r="N12" i="9" s="1"/>
  <c r="J12" i="9"/>
  <c r="I12" i="9"/>
  <c r="H12" i="9"/>
  <c r="J11" i="9"/>
  <c r="I11" i="9"/>
  <c r="L11" i="9" s="1"/>
  <c r="H11" i="9"/>
  <c r="K11" i="9" s="1"/>
  <c r="N11" i="9" s="1"/>
  <c r="L10" i="9"/>
  <c r="H10" i="9"/>
  <c r="K10" i="9" s="1"/>
  <c r="U9" i="9"/>
  <c r="T9" i="9"/>
  <c r="R9" i="9"/>
  <c r="Q9" i="9"/>
  <c r="L9" i="9"/>
  <c r="K9" i="9"/>
  <c r="J9" i="9"/>
  <c r="J44" i="9" s="1"/>
  <c r="M44" i="9" s="1"/>
  <c r="J8" i="9"/>
  <c r="I8" i="9"/>
  <c r="R7" i="9"/>
  <c r="F3" i="9"/>
  <c r="H38" i="11" l="1"/>
  <c r="Q40" i="11"/>
  <c r="Q44" i="11"/>
  <c r="Q46" i="11" s="1"/>
  <c r="N15" i="11"/>
  <c r="T40" i="11"/>
  <c r="T47" i="11"/>
  <c r="AE44" i="11"/>
  <c r="AE46" i="11" s="1"/>
  <c r="K21" i="11"/>
  <c r="H21" i="11" s="1"/>
  <c r="K38" i="11"/>
  <c r="K42" i="11"/>
  <c r="J10" i="11"/>
  <c r="H17" i="11"/>
  <c r="N21" i="11"/>
  <c r="N22" i="11" s="1"/>
  <c r="N40" i="11" s="1"/>
  <c r="N43" i="11"/>
  <c r="T42" i="11"/>
  <c r="T44" i="11" s="1"/>
  <c r="T46" i="11" s="1"/>
  <c r="N10" i="11"/>
  <c r="H10" i="11" s="1"/>
  <c r="H15" i="11" s="1"/>
  <c r="K15" i="11"/>
  <c r="N20" i="9"/>
  <c r="N19" i="9"/>
  <c r="N35" i="9"/>
  <c r="K46" i="9"/>
  <c r="K48" i="9" s="1"/>
  <c r="L46" i="9"/>
  <c r="L48" i="9" s="1"/>
  <c r="N18" i="9"/>
  <c r="N26" i="9"/>
  <c r="N41" i="9"/>
  <c r="N21" i="9"/>
  <c r="N29" i="9"/>
  <c r="N42" i="9"/>
  <c r="N15" i="9"/>
  <c r="N23" i="9"/>
  <c r="N30" i="9"/>
  <c r="N44" i="9"/>
  <c r="J31" i="9"/>
  <c r="M31" i="9" s="1"/>
  <c r="N31" i="9" s="1"/>
  <c r="J30" i="9"/>
  <c r="M30" i="9" s="1"/>
  <c r="J15" i="9"/>
  <c r="J16" i="9"/>
  <c r="J27" i="9"/>
  <c r="M27" i="9" s="1"/>
  <c r="N27" i="9" s="1"/>
  <c r="J38" i="9"/>
  <c r="M38" i="9" s="1"/>
  <c r="N38" i="9" s="1"/>
  <c r="J19" i="9"/>
  <c r="M19" i="9" s="1"/>
  <c r="J21" i="9"/>
  <c r="M21" i="9" s="1"/>
  <c r="J10" i="9"/>
  <c r="M10" i="9" s="1"/>
  <c r="N10" i="9" s="1"/>
  <c r="M9" i="9"/>
  <c r="J29" i="9"/>
  <c r="M29" i="9" s="1"/>
  <c r="J39" i="9"/>
  <c r="M39" i="9" s="1"/>
  <c r="N39" i="9" s="1"/>
  <c r="N9" i="9"/>
  <c r="J14" i="9"/>
  <c r="M14" i="9" s="1"/>
  <c r="N14" i="9" s="1"/>
  <c r="J26" i="9"/>
  <c r="M26" i="9" s="1"/>
  <c r="J37" i="9"/>
  <c r="M37" i="9" s="1"/>
  <c r="N37" i="9" s="1"/>
  <c r="J18" i="9"/>
  <c r="M18" i="9" s="1"/>
  <c r="J41" i="9"/>
  <c r="M41" i="9" s="1"/>
  <c r="J20" i="9"/>
  <c r="M20" i="9" s="1"/>
  <c r="J40" i="9"/>
  <c r="M40" i="9" s="1"/>
  <c r="N40" i="9" s="1"/>
  <c r="J25" i="9"/>
  <c r="M25" i="9" s="1"/>
  <c r="N25" i="9" s="1"/>
  <c r="J34" i="9"/>
  <c r="M34" i="9" s="1"/>
  <c r="N34" i="9" s="1"/>
  <c r="O34" i="9" s="1"/>
  <c r="J35" i="9"/>
  <c r="M35" i="9" s="1"/>
  <c r="J22" i="9"/>
  <c r="M22" i="9" s="1"/>
  <c r="N22" i="9" s="1"/>
  <c r="J42" i="9"/>
  <c r="M42" i="9" s="1"/>
  <c r="K22" i="11" l="1"/>
  <c r="K40" i="11"/>
  <c r="H22" i="11"/>
  <c r="G10" i="11"/>
  <c r="G15" i="11" s="1"/>
  <c r="G40" i="11" s="1"/>
  <c r="J15" i="11"/>
  <c r="J40" i="11" s="1"/>
  <c r="H40" i="11"/>
  <c r="K43" i="11"/>
  <c r="K44" i="11" s="1"/>
  <c r="K46" i="11" s="1"/>
  <c r="N42" i="11"/>
  <c r="N44" i="11" s="1"/>
  <c r="M46" i="9"/>
  <c r="M48" i="9" s="1"/>
  <c r="N46" i="9"/>
  <c r="N48" i="9" l="1"/>
  <c r="Q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</authors>
  <commentList>
    <comment ref="E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F18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36058D0A-3AB1-425C-9226-D2A4CE190BB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3A712B3A-1CA4-40E0-B913-F7AD0E2D3FD3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F62DA7A6-E5AF-4913-ADBB-95DED41865CA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CCFDD189-7CFA-446A-94BF-16C793B5FF96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CE5D5448-7260-41D3-9872-288AD35BC58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5E7331E3-C1A0-45A8-A290-44BB4E8D34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G11" authorId="0" shapeId="0" xr:uid="{B6C87DFE-E38E-4AD2-987B-00235233099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F7EA29A7-2827-43AF-A264-072FDDC394E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CAE77304-F665-4343-B657-6A72C6DE11A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G15" authorId="0" shapeId="0" xr:uid="{75683C17-C233-416C-BFC1-2913C946AF1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9743FC56-B761-4DBA-8972-CDA46B71B0E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27E0029-52B8-41A1-8CBF-C34E82CDA9A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C68A5A23-AC8E-43C4-B981-6AB1AD1408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A0A18091-C7B2-4455-907A-3291E3D67C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8186F99D-C8C1-4281-AD75-011C13965F2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D99A9486-D655-449B-B517-0D5AB3C837B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3" authorId="0" shapeId="0" xr:uid="{235A55C8-730B-49EE-B9D4-2DF23F43706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5" authorId="0" shapeId="0" xr:uid="{CBCAC971-02C0-4971-B65D-E1FD324EAB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6" authorId="0" shapeId="0" xr:uid="{1AD469FB-8955-468F-80A4-284B596187F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9" authorId="0" shapeId="0" xr:uid="{C92AFBB3-2090-4186-A0E3-3F8CA209EB9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0" authorId="0" shapeId="0" xr:uid="{FB12BEE3-C37F-4DB7-A95A-3DAA7995789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1" authorId="0" shapeId="0" xr:uid="{65156D99-AE52-4351-9245-42DD406660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3" authorId="0" shapeId="0" xr:uid="{C5D43641-4717-45EC-BFFB-C0542D13403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3" authorId="0" shapeId="0" xr:uid="{BD07C599-DAAE-4CF8-93E2-ABB6078C001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4" authorId="0" shapeId="0" xr:uid="{9AA0D22C-75C5-4FE5-B1E7-2ECF0826682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1D68E33E-7838-4280-A528-A9F2A1AC4C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7" authorId="0" shapeId="0" xr:uid="{6EBB1AB5-71D5-4A70-B390-1A0D90FCA25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8" authorId="0" shapeId="0" xr:uid="{A10212B3-E1CE-4858-A24B-DDECCC7533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9" authorId="0" shapeId="0" xr:uid="{DCD5B64D-4FF8-44D2-BBE2-E6D3E9057E2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D1B51820-582A-404F-B22C-3018FBF5FA5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1" authorId="0" shapeId="0" xr:uid="{43AF7C25-F381-43A0-8FD0-08B642FC73C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2" authorId="0" shapeId="0" xr:uid="{1C7D1C9E-9BFB-4AA4-95A2-7FD8EDA264B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6" authorId="2" shapeId="0" xr:uid="{BFBDCAF9-105D-4DC6-BC00-986146D6A989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8" authorId="3" shapeId="0" xr:uid="{D9351E9E-B4D2-4FA1-A1B9-4DB9602EF928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0B9298B8-7F0D-44DC-B4EA-2C411405DF02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3BAE3838-A45C-4D6F-A962-0D142747AE3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32C2A095-611B-4BBC-91D6-D6491298E2B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FF43A090-EB59-41DB-B591-F145E5D8623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B42AB0F3-3676-490A-A9A5-F07492B2A62A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F99E0D8D-E0AB-4784-949C-648F61F5892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6CB4D848-FCAA-4734-A961-0D2361B69681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<sst xmlns="http://schemas.openxmlformats.org/spreadsheetml/2006/main" count="419" uniqueCount="175">
  <si>
    <t>Amount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</si>
  <si>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</si>
  <si>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</si>
  <si>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</si>
  <si>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</si>
  <si>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</si>
  <si>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</si>
  <si>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</si>
  <si>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</si>
  <si>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</si>
  <si>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</si>
  <si>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</si>
  <si>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</si>
  <si>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</si>
  <si>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</si>
  <si>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</si>
  <si>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</si>
  <si>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</si>
  <si>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</si>
  <si>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</si>
  <si>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</si>
  <si>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</si>
  <si>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</si>
  <si>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</si>
  <si>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</si>
  <si>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</si>
  <si>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</si>
  <si>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</si>
  <si>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</si>
  <si>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</si>
  <si>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</si>
  <si>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</si>
  <si>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</si>
  <si>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</si>
  <si>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</si>
  <si>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</si>
  <si>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</si>
  <si>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</si>
  <si>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</si>
  <si>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</si>
  <si>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</si>
  <si>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</si>
  <si>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</si>
  <si>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</si>
  <si>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</si>
  <si>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</si>
  <si>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</si>
  <si>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</si>
  <si>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</si>
  <si>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</si>
  <si>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</si>
  <si>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</si>
  <si>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</si>
  <si>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</si>
  <si>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</si>
  <si>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</si>
  <si>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</si>
  <si>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</si>
  <si>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</si>
  <si>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</si>
  <si>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</si>
  <si>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</si>
  <si>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</si>
  <si>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</si>
  <si>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</si>
  <si>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</si>
  <si>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</si>
  <si>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</si>
  <si>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</si>
  <si>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</si>
  <si>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</si>
  <si>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</si>
  <si>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</si>
  <si>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</si>
  <si>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</si>
  <si>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</si>
  <si>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</si>
  <si>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</si>
  <si>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</si>
  <si>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</si>
  <si>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</si>
  <si>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</si>
  <si>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</si>
  <si>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</si>
  <si>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</si>
  <si>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</si>
  <si>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</si>
  <si>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</si>
  <si>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</si>
  <si>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</si>
  <si>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</si>
  <si>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</si>
  <si>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</si>
  <si>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</si>
  <si>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</si>
  <si>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</si>
  <si>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</si>
  <si>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</si>
  <si>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</si>
  <si>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</si>
  <si>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</si>
  <si>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</si>
  <si>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</si>
  <si>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</si>
  <si>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</si>
  <si>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</si>
  <si>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</si>
  <si>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</si>
  <si>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</si>
  <si>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</si>
  <si>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</si>
  <si>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</si>
  <si>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</si>
  <si>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</si>
  <si>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</si>
  <si>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</si>
  <si>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</si>
  <si>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</si>
  <si>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 xml:space="preserve"> </t>
  </si>
  <si>
    <t>WASHINGTON</t>
  </si>
  <si>
    <t>Apr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</si>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</sst>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0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9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10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1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2" borderId="0" xfId="2" applyNumberFormat="1" applyFill="1"/>
    <xf numFmtId="165" fontId="28" fillId="0" borderId="0" xfId="1" applyNumberFormat="1" applyFont="1" applyFill="1"/>
    <xf numFmtId="165" fontId="29" fillId="11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10" borderId="0" xfId="2" applyNumberFormat="1" applyFont="1" applyFill="1"/>
    <xf numFmtId="166" fontId="1" fillId="0" borderId="0" xfId="2" applyNumberFormat="1"/>
    <xf numFmtId="165" fontId="30" fillId="11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7" borderId="0" xfId="0" applyNumberFormat="1" applyFont="1" applyFill="1" applyBorder="1" applyAlignment="1">
      <alignment horizontal="center"/>
    </xf>
    <xf numFmtId="44" fontId="4" fillId="13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1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165" fontId="5" fillId="0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4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4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44" fontId="9" fillId="16" borderId="0" xfId="2" applyFont="1" applyFill="1"/>
    <xf numFmtId="165" fontId="32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165" fontId="4" fillId="0" borderId="0" xfId="1" applyNumberFormat="1" applyFont="1" applyAlignment="1">
      <alignment horizontal="left" indent="3"/>
    </xf>
    <xf numFmtId="44" fontId="16" fillId="16" borderId="0" xfId="2" applyFont="1" applyFill="1"/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7" borderId="0" xfId="2" applyNumberFormat="1" applyFont="1" applyFill="1"/>
    <xf numFmtId="44" fontId="1" fillId="17" borderId="0" xfId="2" applyFont="1" applyFill="1"/>
    <xf numFmtId="165" fontId="16" fillId="0" borderId="0" xfId="1" applyNumberFormat="1" applyFont="1"/>
    <xf numFmtId="44" fontId="16" fillId="17" borderId="0" xfId="2" applyFont="1" applyFill="1"/>
    <xf numFmtId="165" fontId="40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0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4" borderId="0" xfId="1" applyFont="1" applyFill="1"/>
    <xf numFmtId="44" fontId="16" fillId="17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1" fillId="19" borderId="0" xfId="1" applyNumberFormat="1" applyFont="1" applyFill="1"/>
    <xf numFmtId="44" fontId="16" fillId="19" borderId="0" xfId="2" applyFont="1" applyFill="1"/>
    <xf numFmtId="165" fontId="43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9" fillId="17" borderId="0" xfId="2" applyFont="1" applyFill="1"/>
    <xf numFmtId="44" fontId="16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8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165" fontId="43" fillId="0" borderId="0" xfId="1" applyNumberFormat="1" applyFont="1" applyAlignment="1">
      <alignment horizontal="left"/>
    </xf>
    <xf numFmtId="44" fontId="16" fillId="16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left" indent="3"/>
    </xf>
    <xf numFmtId="44" fontId="16" fillId="16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165" fontId="32" fillId="0" borderId="2" xfId="1" applyNumberFormat="1" applyFont="1" applyBorder="1" applyAlignment="1"/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44" fontId="9" fillId="17" borderId="1" xfId="2" applyFont="1" applyFill="1" applyBorder="1"/>
    <xf numFmtId="165" fontId="32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8" borderId="0" xfId="2" applyFont="1" applyFill="1"/>
    <xf numFmtId="165" fontId="32" fillId="14" borderId="0" xfId="1" applyNumberFormat="1" applyFont="1" applyFill="1"/>
    <xf numFmtId="44" fontId="8" fillId="17" borderId="0" xfId="2" applyFont="1" applyFill="1"/>
    <xf numFmtId="44" fontId="2" fillId="17" borderId="0" xfId="2" applyFont="1" applyFill="1"/>
    <xf numFmtId="44" fontId="5" fillId="18" borderId="0" xfId="2" applyFont="1" applyFill="1"/>
    <xf numFmtId="44" fontId="8" fillId="16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5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5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0" fontId="5" fillId="0" borderId="0" xfId="1" applyNumberFormat="1" applyFont="1"/>
    <xf numFmtId="15" fontId="5" fillId="0" borderId="0" xfId="1" applyNumberFormat="1" applyFont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70" fontId="34" fillId="0" borderId="0" xfId="1" applyNumberFormat="1" applyFont="1"/>
    <xf numFmtId="170" fontId="5" fillId="0" borderId="0" xfId="1" applyNumberFormat="1" applyFont="1"/>
    <xf numFmtId="0" fontId="1" fillId="0" borderId="0" xfId="4"/>
    <xf numFmtId="165" fontId="5" fillId="0" borderId="0" xfId="5" applyNumberFormat="1" applyFont="1"/>
    <xf numFmtId="0" fontId="1" fillId="0" borderId="0" xfId="4" applyAlignment="1">
      <alignment horizontal="center"/>
    </xf>
    <xf numFmtId="44" fontId="1" fillId="0" borderId="0" xfId="4" applyNumberFormat="1"/>
    <xf numFmtId="0" fontId="1" fillId="0" borderId="0" xfId="4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/>
    <xf numFmtId="0" fontId="1" fillId="0" borderId="0" xfId="4" applyFont="1" applyFill="1" applyBorder="1"/>
    <xf numFmtId="0" fontId="9" fillId="0" borderId="0" xfId="4" applyFont="1" applyFill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2" fillId="0" borderId="0" xfId="4" applyFont="1" applyFill="1" applyAlignment="1">
      <alignment horizontal="right"/>
    </xf>
    <xf numFmtId="44" fontId="2" fillId="0" borderId="0" xfId="4" applyNumberFormat="1" applyFont="1" applyFill="1" applyAlignment="1">
      <alignment horizontal="right"/>
    </xf>
    <xf numFmtId="165" fontId="1" fillId="0" borderId="0" xfId="5" applyNumberFormat="1" applyFont="1" applyFill="1"/>
    <xf numFmtId="44" fontId="2" fillId="0" borderId="0" xfId="4" applyNumberFormat="1" applyFont="1" applyFill="1"/>
    <xf numFmtId="44" fontId="2" fillId="0" borderId="4" xfId="4" applyNumberFormat="1" applyFont="1" applyFill="1" applyBorder="1"/>
    <xf numFmtId="0" fontId="2" fillId="0" borderId="0" xfId="4" applyFont="1" applyFill="1"/>
    <xf numFmtId="49" fontId="7" fillId="0" borderId="4" xfId="4" applyNumberFormat="1" applyFont="1" applyFill="1" applyBorder="1" applyAlignment="1">
      <alignment horizontal="center"/>
    </xf>
    <xf numFmtId="49" fontId="7" fillId="0" borderId="0" xfId="4" applyNumberFormat="1" applyFont="1" applyFill="1" applyAlignment="1">
      <alignment horizontal="center"/>
    </xf>
    <xf numFmtId="44" fontId="9" fillId="0" borderId="4" xfId="4" applyNumberFormat="1" applyFont="1" applyFill="1" applyBorder="1" applyAlignment="1">
      <alignment horizontal="center"/>
    </xf>
    <xf numFmtId="44" fontId="2" fillId="0" borderId="8" xfId="4" applyNumberFormat="1" applyFont="1" applyFill="1" applyBorder="1" applyAlignment="1">
      <alignment horizontal="left"/>
    </xf>
    <xf numFmtId="44" fontId="2" fillId="0" borderId="0" xfId="4" applyNumberFormat="1" applyFont="1" applyFill="1" applyAlignment="1">
      <alignment horizontal="center"/>
    </xf>
    <xf numFmtId="0" fontId="2" fillId="0" borderId="4" xfId="4" applyFont="1" applyFill="1" applyBorder="1"/>
    <xf numFmtId="0" fontId="2" fillId="0" borderId="8" xfId="4" applyFont="1" applyFill="1" applyBorder="1"/>
    <xf numFmtId="44" fontId="2" fillId="0" borderId="2" xfId="4" applyNumberFormat="1" applyFont="1" applyFill="1" applyBorder="1"/>
    <xf numFmtId="44" fontId="2" fillId="0" borderId="9" xfId="4" applyNumberFormat="1" applyFont="1" applyFill="1" applyBorder="1"/>
    <xf numFmtId="0" fontId="1" fillId="0" borderId="2" xfId="4" applyFont="1" applyFill="1" applyBorder="1"/>
    <xf numFmtId="0" fontId="2" fillId="0" borderId="2" xfId="4" applyFont="1" applyFill="1" applyBorder="1" applyAlignment="1">
      <alignment horizontal="left" indent="1"/>
    </xf>
    <xf numFmtId="44" fontId="2" fillId="0" borderId="0" xfId="6" applyFont="1" applyFill="1"/>
    <xf numFmtId="44" fontId="2" fillId="0" borderId="4" xfId="6" applyFont="1" applyFill="1" applyBorder="1"/>
    <xf numFmtId="0" fontId="2" fillId="0" borderId="1" xfId="4" applyFont="1" applyFill="1" applyBorder="1"/>
    <xf numFmtId="0" fontId="2" fillId="0" borderId="1" xfId="4" applyFont="1" applyFill="1" applyBorder="1" applyAlignment="1"/>
    <xf numFmtId="44" fontId="2" fillId="0" borderId="0" xfId="6" applyFont="1" applyFill="1" applyBorder="1"/>
    <xf numFmtId="0" fontId="2" fillId="0" borderId="8" xfId="6" applyNumberFormat="1" applyFont="1" applyFill="1" applyBorder="1" applyAlignment="1">
      <alignment horizontal="left"/>
    </xf>
    <xf numFmtId="44" fontId="2" fillId="0" borderId="8" xfId="6" applyFont="1" applyFill="1" applyBorder="1"/>
    <xf numFmtId="0" fontId="2" fillId="0" borderId="0" xfId="4" applyFont="1" applyFill="1" applyAlignment="1"/>
    <xf numFmtId="44" fontId="2" fillId="0" borderId="7" xfId="6" applyFont="1" applyFill="1" applyBorder="1"/>
    <xf numFmtId="44" fontId="2" fillId="0" borderId="1" xfId="4" applyNumberFormat="1" applyFont="1" applyFill="1" applyBorder="1"/>
    <xf numFmtId="44" fontId="2" fillId="0" borderId="5" xfId="6" applyFont="1" applyFill="1" applyBorder="1"/>
    <xf numFmtId="44" fontId="2" fillId="0" borderId="1" xfId="6" applyFont="1" applyFill="1" applyBorder="1"/>
    <xf numFmtId="44" fontId="2" fillId="0" borderId="6" xfId="4" applyNumberFormat="1" applyFont="1" applyFill="1" applyBorder="1" applyAlignment="1">
      <alignment horizontal="center"/>
    </xf>
    <xf numFmtId="44" fontId="2" fillId="0" borderId="4" xfId="4" applyNumberFormat="1" applyFont="1" applyFill="1" applyBorder="1" applyAlignment="1">
      <alignment horizontal="center"/>
    </xf>
    <xf numFmtId="44" fontId="2" fillId="0" borderId="0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8" fillId="0" borderId="1" xfId="4" applyFont="1" applyFill="1" applyBorder="1"/>
    <xf numFmtId="0" fontId="7" fillId="0" borderId="0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4" fillId="0" borderId="0" xfId="4" applyFont="1" applyFill="1" applyBorder="1"/>
    <xf numFmtId="0" fontId="1" fillId="0" borderId="1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164" fontId="6" fillId="0" borderId="0" xfId="4" applyNumberFormat="1" applyFont="1" applyFill="1" applyBorder="1" applyAlignment="1"/>
    <xf numFmtId="164" fontId="6" fillId="0" borderId="0" xfId="4" applyNumberFormat="1" applyFont="1" applyFill="1" applyBorder="1" applyAlignment="1">
      <alignment horizontal="left"/>
    </xf>
    <xf numFmtId="0" fontId="6" fillId="0" borderId="0" xfId="4" applyFont="1" applyFill="1" applyAlignment="1"/>
    <xf numFmtId="0" fontId="4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right"/>
    </xf>
    <xf numFmtId="43" fontId="8" fillId="20" borderId="12" xfId="1" applyNumberFormat="1" applyFont="1" applyFill="1" applyBorder="1" applyAlignment="1">
      <alignment horizontal="left"/>
    </xf>
    <xf numFmtId="165" fontId="5" fillId="0" borderId="0" xfId="1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43" fontId="8" fillId="0" borderId="0" xfId="1" applyFont="1" applyFill="1" applyBorder="1"/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5" fontId="34" fillId="0" borderId="0" xfId="1" applyNumberFormat="1" applyFont="1" applyFill="1" applyBorder="1"/>
    <xf numFmtId="43" fontId="8" fillId="0" borderId="0" xfId="1" applyNumberFormat="1" applyFont="1" applyFill="1" applyBorder="1" applyAlignment="1">
      <alignment horizontal="left"/>
    </xf>
    <xf numFmtId="165" fontId="1" fillId="0" borderId="0" xfId="1" applyNumberFormat="1" applyFont="1" applyFill="1" applyBorder="1"/>
    <xf numFmtId="165" fontId="8" fillId="0" borderId="0" xfId="1" applyNumberFormat="1" applyFont="1" applyFill="1" applyBorder="1"/>
    <xf numFmtId="43" fontId="5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 vertical="top"/>
    </xf>
    <xf numFmtId="165" fontId="2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/>
    <xf numFmtId="165" fontId="32" fillId="0" borderId="0" xfId="1" applyNumberFormat="1" applyFont="1" applyFill="1" applyBorder="1" applyAlignment="1">
      <alignment horizontal="right"/>
    </xf>
    <xf numFmtId="43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43" fontId="8" fillId="0" borderId="0" xfId="1" applyNumberFormat="1" applyFont="1" applyFill="1" applyBorder="1"/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4" fillId="5" borderId="1" xfId="1" applyNumberFormat="1" applyFont="1" applyFill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165" fontId="3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</cellXfs>
  <cellStyles count="7">
    <cellStyle name="Comma" xfId="1" builtinId="3"/>
    <cellStyle name="Comma 3" xfId="5" xr:uid="{B40B7AA5-A5E9-4B40-9A2A-42A54F4841B0}"/>
    <cellStyle name="Currency" xfId="2" builtinId="4"/>
    <cellStyle name="Currency 3" xfId="6" xr:uid="{2B11C81D-5959-4136-9A82-E0F2678B4D8E}"/>
    <cellStyle name="Normal" xfId="0" builtinId="0"/>
    <cellStyle name="Normal 3" xfId="3" xr:uid="{EE92CD51-6117-49B5-84BD-1CB3063EE506}"/>
    <cellStyle name="Normal 4" xfId="4" xr:uid="{AA16472A-87B7-4BF5-AFCF-93AD61A73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190773%20CNGC%20Monthly%20PGA%20Rpt%20October%202019,%2011.2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19/10-2019/Core%20GC%20Allocations%2010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Gas%20Supply%20Analysis/9-2019%20Gas%20Supply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G 2530.01288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Rates Old Rates"/>
      <sheetName val="OR Rates 2015"/>
      <sheetName val="OR Deferrals Incl true-up 2"/>
      <sheetName val="WA Rates - old Rates"/>
      <sheetName val="OR Rates Old Rates"/>
      <sheetName val="WA Rates"/>
      <sheetName val="OR Rates"/>
      <sheetName val="Core Cost Incurred"/>
      <sheetName val="WA Deferr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43763</v>
          </cell>
        </row>
        <row r="42">
          <cell r="K42">
            <v>7420844.4400000013</v>
          </cell>
        </row>
        <row r="43">
          <cell r="K43">
            <v>3674165.5500000007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2518.4484549996341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7788-3641-46E7-A2B4-05AE74916BA0}">
  <dimension ref="A1:H27"/>
  <sheetViews>
    <sheetView showGridLines="0" tabSelected="1" view="pageBreakPreview" zoomScale="60" zoomScaleNormal="100" workbookViewId="0">
      <selection activeCell="J82" sqref="J82"/>
    </sheetView>
  </sheetViews>
  <sheetFormatPr defaultRowHeight="12.75" x14ac:dyDescent="0.2"/>
  <cols>
    <col min="1" max="1" width="1.7109375" style="260" customWidth="1"/>
    <col min="2" max="2" width="10" style="260" customWidth="1"/>
    <col min="3" max="3" width="23.7109375" style="260" customWidth="1"/>
    <col min="4" max="4" width="20.42578125" style="260" customWidth="1"/>
    <col min="5" max="5" width="19" style="260" customWidth="1"/>
    <col min="6" max="6" width="16.42578125" style="260" bestFit="1" customWidth="1"/>
    <col min="7" max="7" width="17.7109375" style="260" bestFit="1" customWidth="1"/>
    <col min="8" max="8" width="3.7109375" style="260" customWidth="1"/>
    <col min="9" max="16384" width="9.140625" style="260"/>
  </cols>
  <sheetData>
    <row r="1" spans="1:8" ht="18" customHeight="1" x14ac:dyDescent="0.2">
      <c r="A1" s="264"/>
      <c r="B1" s="313" t="s">
        <v>8</v>
      </c>
      <c r="C1" s="313"/>
      <c r="D1" s="313"/>
      <c r="E1" s="313"/>
      <c r="F1" s="313"/>
      <c r="G1" s="315"/>
      <c r="H1" s="314"/>
    </row>
    <row r="2" spans="1:8" ht="15" x14ac:dyDescent="0.2">
      <c r="A2" s="264"/>
      <c r="B2" s="313" t="s">
        <v>9</v>
      </c>
      <c r="C2" s="312">
        <f>'[2]Core Cost Incurred'!B2</f>
        <v>43763</v>
      </c>
      <c r="D2" s="311"/>
      <c r="E2" s="311"/>
      <c r="F2" s="311"/>
      <c r="G2" s="311"/>
      <c r="H2" s="264"/>
    </row>
    <row r="3" spans="1:8" x14ac:dyDescent="0.2">
      <c r="A3" s="264"/>
      <c r="B3" s="264"/>
      <c r="C3" s="264"/>
      <c r="D3" s="264"/>
      <c r="E3" s="264"/>
      <c r="F3" s="264"/>
      <c r="G3" s="264"/>
      <c r="H3" s="264"/>
    </row>
    <row r="4" spans="1:8" ht="15" customHeight="1" thickBot="1" x14ac:dyDescent="0.25">
      <c r="A4" s="264"/>
      <c r="B4" s="309"/>
      <c r="C4" s="309"/>
      <c r="D4" s="309"/>
      <c r="E4" s="309"/>
      <c r="F4" s="310"/>
      <c r="G4" s="309"/>
      <c r="H4" s="264"/>
    </row>
    <row r="5" spans="1:8" ht="14.25" x14ac:dyDescent="0.2">
      <c r="A5" s="264"/>
      <c r="B5" s="308"/>
      <c r="C5" s="308"/>
      <c r="D5" s="306" t="s">
        <v>2</v>
      </c>
      <c r="E5" s="306" t="s">
        <v>5</v>
      </c>
      <c r="F5" s="307" t="s">
        <v>10</v>
      </c>
      <c r="G5" s="306" t="s">
        <v>11</v>
      </c>
      <c r="H5" s="264"/>
    </row>
    <row r="6" spans="1:8" ht="15" x14ac:dyDescent="0.25">
      <c r="A6" s="264"/>
      <c r="B6" s="291" t="s">
        <v>12</v>
      </c>
      <c r="C6" s="305"/>
      <c r="D6" s="303">
        <v>692010</v>
      </c>
      <c r="E6" s="303">
        <v>691010</v>
      </c>
      <c r="F6" s="304">
        <v>693010</v>
      </c>
      <c r="G6" s="303"/>
      <c r="H6" s="267"/>
    </row>
    <row r="7" spans="1:8" ht="16.5" customHeight="1" x14ac:dyDescent="0.2">
      <c r="A7" s="264"/>
      <c r="B7" s="295" t="s">
        <v>13</v>
      </c>
      <c r="C7" s="276"/>
      <c r="D7" s="302">
        <v>5649383.3700000001</v>
      </c>
      <c r="E7" s="302">
        <v>4038304.69</v>
      </c>
      <c r="F7" s="301">
        <v>1216136.21</v>
      </c>
      <c r="G7" s="300">
        <v>10903824.27</v>
      </c>
      <c r="H7" s="264"/>
    </row>
    <row r="8" spans="1:8" ht="16.5" customHeight="1" x14ac:dyDescent="0.2">
      <c r="A8" s="264"/>
      <c r="B8" s="295" t="s">
        <v>15</v>
      </c>
      <c r="C8" s="276"/>
      <c r="D8" s="299">
        <f>'[2]Core Cost Incurred'!K42</f>
        <v>7420844.4400000013</v>
      </c>
      <c r="E8" s="299">
        <f>'[2]Core Cost Incurred'!K43</f>
        <v>3674165.5500000007</v>
      </c>
      <c r="F8" s="298">
        <v>0</v>
      </c>
      <c r="G8" s="297">
        <f>SUM(D8:E8)</f>
        <v>11095009.990000002</v>
      </c>
      <c r="H8" s="264"/>
    </row>
    <row r="9" spans="1:8" ht="16.5" customHeight="1" x14ac:dyDescent="0.2">
      <c r="A9" s="264"/>
      <c r="B9" s="295" t="s">
        <v>16</v>
      </c>
      <c r="C9" s="276"/>
      <c r="D9" s="288">
        <f>D7-D8</f>
        <v>-1771461.0700000012</v>
      </c>
      <c r="E9" s="296">
        <f>E7-E8</f>
        <v>364139.1399999992</v>
      </c>
      <c r="F9" s="296">
        <f>F7-F8</f>
        <v>1216136.21</v>
      </c>
      <c r="G9" s="288">
        <f>G7-G8</f>
        <v>-191185.72000000253</v>
      </c>
      <c r="H9" s="264"/>
    </row>
    <row r="10" spans="1:8" ht="16.5" customHeight="1" x14ac:dyDescent="0.2">
      <c r="A10" s="264"/>
      <c r="B10" s="295" t="s">
        <v>17</v>
      </c>
      <c r="C10" s="276"/>
      <c r="D10" s="292">
        <v>13602.19</v>
      </c>
      <c r="E10" s="294"/>
      <c r="F10" s="293"/>
      <c r="G10" s="292">
        <v>13602.19</v>
      </c>
      <c r="H10" s="264"/>
    </row>
    <row r="11" spans="1:8" ht="16.5" customHeight="1" x14ac:dyDescent="0.2">
      <c r="A11" s="264"/>
      <c r="B11" s="291" t="s">
        <v>18</v>
      </c>
      <c r="C11" s="290"/>
      <c r="D11" s="288"/>
      <c r="E11" s="288">
        <f>352350.7</f>
        <v>352350.7</v>
      </c>
      <c r="F11" s="289"/>
      <c r="G11" s="288">
        <f>352350.7</f>
        <v>352350.7</v>
      </c>
      <c r="H11" s="264"/>
    </row>
    <row r="12" spans="1:8" ht="16.5" customHeight="1" x14ac:dyDescent="0.2">
      <c r="A12" s="264"/>
      <c r="B12" s="287" t="s">
        <v>19</v>
      </c>
      <c r="C12" s="286"/>
      <c r="D12" s="284">
        <f>+D7-D8+D10</f>
        <v>-1757858.8800000013</v>
      </c>
      <c r="E12" s="284">
        <f>+E9+E11</f>
        <v>716489.83999999915</v>
      </c>
      <c r="F12" s="285">
        <f>+F7-F8</f>
        <v>1216136.21</v>
      </c>
      <c r="G12" s="284">
        <f>G9+G11+G10</f>
        <v>174767.16999999748</v>
      </c>
      <c r="H12" s="264"/>
    </row>
    <row r="13" spans="1:8" ht="14.25" customHeight="1" x14ac:dyDescent="0.2">
      <c r="A13" s="264"/>
      <c r="B13" s="264"/>
      <c r="C13" s="264"/>
      <c r="D13" s="276"/>
      <c r="E13" s="276"/>
      <c r="F13" s="282"/>
      <c r="G13" s="276"/>
      <c r="H13" s="264"/>
    </row>
    <row r="14" spans="1:8" ht="14.25" customHeight="1" x14ac:dyDescent="0.2">
      <c r="A14" s="264"/>
      <c r="B14" s="264"/>
      <c r="C14" s="264"/>
      <c r="D14" s="276" t="s">
        <v>20</v>
      </c>
      <c r="E14" s="276"/>
      <c r="F14" s="282"/>
      <c r="G14" s="276"/>
      <c r="H14" s="264"/>
    </row>
    <row r="15" spans="1:8" ht="14.25" customHeight="1" x14ac:dyDescent="0.2">
      <c r="A15" s="264"/>
      <c r="B15" s="264"/>
      <c r="C15" s="264"/>
      <c r="D15" s="276"/>
      <c r="E15" s="283"/>
      <c r="F15" s="282"/>
      <c r="G15" s="276"/>
      <c r="H15" s="264"/>
    </row>
    <row r="16" spans="1:8" ht="14.25" customHeight="1" x14ac:dyDescent="0.2">
      <c r="A16" s="264"/>
      <c r="B16" s="273" t="s">
        <v>21</v>
      </c>
      <c r="C16" s="273"/>
      <c r="D16" s="281" t="s">
        <v>3</v>
      </c>
      <c r="E16" s="280" t="s">
        <v>3</v>
      </c>
      <c r="F16" s="279"/>
      <c r="G16" s="269"/>
      <c r="H16" s="264"/>
    </row>
    <row r="17" spans="1:8" ht="14.25" customHeight="1" x14ac:dyDescent="0.2">
      <c r="A17" s="264"/>
      <c r="B17" s="267"/>
      <c r="C17" s="267"/>
      <c r="D17" s="278"/>
      <c r="E17" s="278"/>
      <c r="F17" s="277"/>
      <c r="G17" s="276"/>
      <c r="H17" s="264"/>
    </row>
    <row r="18" spans="1:8" ht="14.25" customHeight="1" x14ac:dyDescent="0.2">
      <c r="A18" s="264"/>
      <c r="B18" s="267"/>
      <c r="C18" s="267"/>
      <c r="D18" s="274">
        <f>-D12</f>
        <v>1757858.8800000013</v>
      </c>
      <c r="E18" s="274">
        <f>-E9-E11</f>
        <v>-716489.83999999915</v>
      </c>
      <c r="F18" s="275">
        <f>-F12</f>
        <v>-1216136.21</v>
      </c>
      <c r="G18" s="274">
        <f>SUM(D18:F18)</f>
        <v>-174767.16999999783</v>
      </c>
      <c r="H18" s="264"/>
    </row>
    <row r="19" spans="1:8" ht="14.25" customHeight="1" thickBot="1" x14ac:dyDescent="0.25">
      <c r="A19" s="264"/>
      <c r="B19" s="273" t="s">
        <v>22</v>
      </c>
      <c r="C19" s="273"/>
      <c r="D19" s="272" t="s">
        <v>4</v>
      </c>
      <c r="E19" s="271" t="s">
        <v>6</v>
      </c>
      <c r="F19" s="270"/>
      <c r="G19" s="269"/>
      <c r="H19" s="264"/>
    </row>
    <row r="20" spans="1:8" x14ac:dyDescent="0.2">
      <c r="A20" s="264"/>
      <c r="B20" s="267"/>
      <c r="C20" s="267"/>
      <c r="D20" s="264"/>
      <c r="E20" s="268"/>
      <c r="F20" s="268"/>
      <c r="G20" s="268"/>
      <c r="H20" s="264"/>
    </row>
    <row r="21" spans="1:8" x14ac:dyDescent="0.2">
      <c r="A21" s="264"/>
      <c r="B21" s="264"/>
      <c r="C21" s="264"/>
      <c r="D21" s="267"/>
      <c r="E21" s="266"/>
      <c r="F21" s="265"/>
      <c r="G21" s="264"/>
      <c r="H21" s="264"/>
    </row>
    <row r="22" spans="1:8" x14ac:dyDescent="0.2">
      <c r="E22" s="263"/>
      <c r="F22" s="262"/>
    </row>
    <row r="23" spans="1:8" x14ac:dyDescent="0.2">
      <c r="E23" s="263"/>
      <c r="F23" s="262"/>
    </row>
    <row r="24" spans="1:8" x14ac:dyDescent="0.2">
      <c r="F24" s="262"/>
    </row>
    <row r="27" spans="1:8" x14ac:dyDescent="0.2">
      <c r="B27" s="261"/>
      <c r="C27" s="261"/>
    </row>
  </sheetData>
  <pageMargins left="0.75" right="0.75" top="0.7" bottom="1" header="0.7" footer="0.5"/>
  <pageSetup scale="75" orientation="portrait" cellComments="asDisplayed" r:id="rId1"/>
  <headerFooter alignWithMargins="0">
    <oddHeader xml:space="preserve">&amp;C&amp;"Arial,Bold"&amp;12&amp;A          </oddHeader>
    <oddFooter>&amp;L&amp;"-,Bold"&amp;10Cascade Natural Gas Corporation&amp;C&amp;"-,Bold"&amp;10 Page &amp;P of &amp;N&amp;R&amp;"-,Bold"&amp;10 Washington Deferral Accounts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5C5D-8FD0-4149-B71D-6C106E52B2EE}">
  <dimension ref="B1:AL110"/>
  <sheetViews>
    <sheetView showGridLines="0" tabSelected="1" view="pageBreakPreview" zoomScale="60" zoomScaleNormal="100" workbookViewId="0">
      <selection activeCell="J82" sqref="J82"/>
    </sheetView>
  </sheetViews>
  <sheetFormatPr defaultRowHeight="12.75" x14ac:dyDescent="0.2"/>
  <cols>
    <col min="1" max="1" width="1.7109375" customWidth="1"/>
    <col min="2" max="2" width="21.7109375" style="2" customWidth="1"/>
    <col min="3" max="3" width="26.140625" style="13" customWidth="1"/>
    <col min="4" max="4" width="3.5703125" style="10" hidden="1" customWidth="1"/>
    <col min="5" max="5" width="4" style="10" bestFit="1" customWidth="1"/>
    <col min="6" max="6" width="13.7109375" style="10" customWidth="1"/>
    <col min="7" max="7" width="17.5703125" style="84" customWidth="1"/>
    <col min="8" max="8" width="12.140625" style="60" customWidth="1"/>
    <col min="9" max="9" width="11.85546875" style="60" bestFit="1" customWidth="1"/>
    <col min="10" max="10" width="14" style="60" bestFit="1" customWidth="1"/>
    <col min="11" max="11" width="20.140625" style="60" customWidth="1"/>
    <col min="12" max="12" width="20.42578125" style="60" customWidth="1"/>
    <col min="13" max="13" width="22.42578125" style="60" customWidth="1"/>
    <col min="14" max="14" width="20.140625" style="60" customWidth="1"/>
    <col min="15" max="15" width="8.28515625" style="60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8" t="s">
        <v>24</v>
      </c>
      <c r="C1" s="9"/>
      <c r="E1" s="336" t="s">
        <v>119</v>
      </c>
      <c r="F1" s="336"/>
      <c r="G1" s="336"/>
      <c r="H1" s="336"/>
      <c r="I1" s="336"/>
      <c r="J1" s="336"/>
      <c r="K1" s="336"/>
      <c r="L1" s="335"/>
      <c r="M1" s="335"/>
      <c r="N1" s="335"/>
      <c r="O1" s="335"/>
      <c r="P1" s="335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2:38" ht="14.25" customHeight="1" x14ac:dyDescent="0.25">
      <c r="B2" s="8" t="s">
        <v>25</v>
      </c>
      <c r="C2" s="9"/>
      <c r="D2" s="11"/>
      <c r="E2" s="336"/>
      <c r="F2" s="336"/>
      <c r="G2" s="336"/>
      <c r="H2" s="336"/>
      <c r="I2" s="336"/>
      <c r="J2" s="336"/>
      <c r="K2" s="336"/>
      <c r="L2" s="337" t="s">
        <v>26</v>
      </c>
      <c r="M2" s="337"/>
      <c r="N2" s="337"/>
      <c r="O2" s="337"/>
      <c r="P2" s="337"/>
    </row>
    <row r="3" spans="2:38" ht="14.25" customHeight="1" x14ac:dyDescent="0.25">
      <c r="B3" s="338" t="s">
        <v>27</v>
      </c>
      <c r="C3" s="338"/>
      <c r="D3" s="11"/>
      <c r="E3" s="12"/>
      <c r="F3" s="339">
        <f>'Core Cost Incurred'!B2</f>
        <v>43763</v>
      </c>
      <c r="G3" s="339"/>
      <c r="H3" s="339"/>
      <c r="I3" s="339"/>
      <c r="J3" s="339"/>
      <c r="K3" s="339"/>
      <c r="L3" s="340" t="s">
        <v>28</v>
      </c>
      <c r="M3" s="340"/>
      <c r="N3" s="340"/>
      <c r="O3" s="340"/>
      <c r="P3" s="340"/>
    </row>
    <row r="4" spans="2:38" ht="14.25" customHeight="1" x14ac:dyDescent="0.25">
      <c r="B4" s="341" t="s">
        <v>29</v>
      </c>
      <c r="C4" s="341"/>
      <c r="D4" s="11"/>
      <c r="E4" s="12"/>
      <c r="F4" s="339"/>
      <c r="G4" s="339"/>
      <c r="H4" s="339"/>
      <c r="I4" s="339"/>
      <c r="J4" s="339"/>
      <c r="K4" s="339"/>
      <c r="L4" s="342" t="s">
        <v>30</v>
      </c>
      <c r="M4" s="342"/>
      <c r="N4" s="342"/>
      <c r="O4" s="342"/>
      <c r="P4" s="342"/>
    </row>
    <row r="5" spans="2:38" ht="14.25" customHeight="1" x14ac:dyDescent="0.2">
      <c r="D5" s="11"/>
      <c r="E5" s="12"/>
      <c r="F5" s="12"/>
      <c r="G5" s="12"/>
      <c r="H5" s="12"/>
      <c r="I5" s="12"/>
      <c r="J5" s="12"/>
      <c r="K5" s="12"/>
      <c r="L5" s="335"/>
      <c r="M5" s="335"/>
      <c r="N5" s="335"/>
      <c r="O5" s="335"/>
      <c r="P5" s="335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2:38" ht="15" x14ac:dyDescent="0.25">
      <c r="B6" s="14"/>
      <c r="C6" s="15"/>
      <c r="D6" s="16"/>
      <c r="E6" s="16"/>
      <c r="F6" s="16"/>
      <c r="G6" s="17" t="s">
        <v>31</v>
      </c>
      <c r="H6" s="18" t="s">
        <v>2</v>
      </c>
      <c r="I6" s="18" t="s">
        <v>5</v>
      </c>
      <c r="J6" s="18" t="s">
        <v>32</v>
      </c>
      <c r="K6" s="18" t="s">
        <v>2</v>
      </c>
      <c r="L6" s="18" t="s">
        <v>5</v>
      </c>
      <c r="M6" s="18"/>
      <c r="N6" s="18" t="s">
        <v>11</v>
      </c>
      <c r="O6" s="19"/>
      <c r="Q6" s="20"/>
      <c r="R6" s="25">
        <v>200294.94</v>
      </c>
      <c r="S6" s="20"/>
      <c r="T6" s="20"/>
      <c r="U6" s="25">
        <v>140046.39000000001</v>
      </c>
      <c r="V6" s="20"/>
      <c r="W6" s="20"/>
      <c r="X6" s="20"/>
      <c r="Y6" s="20"/>
      <c r="Z6" s="20"/>
      <c r="AA6" s="20"/>
      <c r="AB6" s="20"/>
      <c r="AC6" s="20"/>
      <c r="AD6" s="21"/>
    </row>
    <row r="7" spans="2:38" ht="15" x14ac:dyDescent="0.25">
      <c r="B7" s="22"/>
      <c r="C7" s="23"/>
      <c r="D7" s="24"/>
      <c r="E7" s="24"/>
      <c r="F7" s="22" t="s">
        <v>33</v>
      </c>
      <c r="G7" s="17" t="s">
        <v>34</v>
      </c>
      <c r="H7" s="18" t="s">
        <v>35</v>
      </c>
      <c r="I7" s="18" t="s">
        <v>35</v>
      </c>
      <c r="J7" s="18" t="s">
        <v>10</v>
      </c>
      <c r="K7" s="18" t="s">
        <v>36</v>
      </c>
      <c r="L7" s="18" t="s">
        <v>36</v>
      </c>
      <c r="M7" s="18" t="s">
        <v>32</v>
      </c>
      <c r="N7" s="18" t="s">
        <v>32</v>
      </c>
      <c r="O7" s="19"/>
      <c r="Q7" s="25">
        <v>11214374</v>
      </c>
      <c r="R7" s="25">
        <f>2345597.06+78799.97+56688.77</f>
        <v>2481085.8000000003</v>
      </c>
      <c r="S7" s="20"/>
      <c r="T7" s="25">
        <v>2845776</v>
      </c>
      <c r="U7" s="25">
        <v>459339.89</v>
      </c>
      <c r="V7" s="20"/>
      <c r="W7" s="20"/>
      <c r="X7" s="20"/>
      <c r="Y7" s="20"/>
      <c r="Z7" s="20"/>
      <c r="AA7" s="20"/>
      <c r="AB7" s="20"/>
      <c r="AC7" s="20"/>
      <c r="AD7" s="26"/>
      <c r="AE7" s="1"/>
    </row>
    <row r="8" spans="2:38" s="34" customFormat="1" x14ac:dyDescent="0.2">
      <c r="B8" s="27"/>
      <c r="C8" s="28"/>
      <c r="D8" s="27" t="s">
        <v>37</v>
      </c>
      <c r="E8" s="27" t="s">
        <v>38</v>
      </c>
      <c r="F8" s="27" t="s">
        <v>38</v>
      </c>
      <c r="G8" s="29" t="s">
        <v>39</v>
      </c>
      <c r="H8" s="30" t="s">
        <v>120</v>
      </c>
      <c r="I8" s="30" t="str">
        <f>+H8</f>
        <v>Apr 1 2019</v>
      </c>
      <c r="J8" s="30" t="str">
        <f>I8</f>
        <v>Apr 1 2019</v>
      </c>
      <c r="K8" s="31" t="s">
        <v>40</v>
      </c>
      <c r="L8" s="31" t="s">
        <v>40</v>
      </c>
      <c r="M8" s="31" t="s">
        <v>10</v>
      </c>
      <c r="N8" s="31" t="s">
        <v>40</v>
      </c>
      <c r="O8" s="19"/>
      <c r="P8"/>
      <c r="V8" s="20"/>
      <c r="W8" s="20"/>
      <c r="X8" s="20"/>
      <c r="Y8" s="20"/>
      <c r="Z8" s="20"/>
      <c r="AA8" s="20"/>
      <c r="AB8" s="20"/>
      <c r="AC8" s="20"/>
      <c r="AD8" s="32"/>
      <c r="AE8" s="1" t="s">
        <v>41</v>
      </c>
      <c r="AF8" s="1" t="s">
        <v>42</v>
      </c>
      <c r="AG8" s="1" t="s">
        <v>43</v>
      </c>
      <c r="AH8" s="33" t="s">
        <v>0</v>
      </c>
      <c r="AI8" s="1" t="s">
        <v>44</v>
      </c>
      <c r="AJ8" s="1" t="s">
        <v>45</v>
      </c>
      <c r="AK8" s="1" t="s">
        <v>46</v>
      </c>
      <c r="AL8" s="1" t="s">
        <v>47</v>
      </c>
    </row>
    <row r="9" spans="2:38" ht="15.75" x14ac:dyDescent="0.25">
      <c r="B9" s="35" t="s">
        <v>48</v>
      </c>
      <c r="C9" s="13" t="s">
        <v>51</v>
      </c>
      <c r="D9" s="36">
        <v>1</v>
      </c>
      <c r="E9" s="10" t="s">
        <v>52</v>
      </c>
      <c r="F9" s="37" t="s">
        <v>53</v>
      </c>
      <c r="G9" s="38">
        <v>0</v>
      </c>
      <c r="H9" s="39">
        <v>0.2424</v>
      </c>
      <c r="I9" s="39">
        <v>0.1736</v>
      </c>
      <c r="J9" s="39">
        <f>0.0074+0.07276</f>
        <v>8.0160000000000009E-2</v>
      </c>
      <c r="K9" s="40">
        <f>ROUND(H9*G9,2)</f>
        <v>0</v>
      </c>
      <c r="L9" s="40">
        <f>ROUND(G9*I9,2)</f>
        <v>0</v>
      </c>
      <c r="M9" s="45">
        <f>ROUND(G9*J9,2)</f>
        <v>0</v>
      </c>
      <c r="N9" s="40">
        <f>SUM(K9:M9)</f>
        <v>0</v>
      </c>
      <c r="O9" s="42"/>
      <c r="Q9" s="46">
        <f>+-1529533-194708</f>
        <v>-1724241</v>
      </c>
      <c r="R9" s="46">
        <f>+-304369.99-70364.48</f>
        <v>-374734.47</v>
      </c>
      <c r="S9" s="43"/>
      <c r="T9" s="47">
        <f>+-505447-64182</f>
        <v>-569629</v>
      </c>
      <c r="U9" s="47">
        <f>+-100581.61-23194.4</f>
        <v>-123776.01000000001</v>
      </c>
      <c r="V9" s="43"/>
      <c r="W9" s="43"/>
      <c r="X9" s="43"/>
      <c r="Y9" s="43"/>
      <c r="Z9" s="43"/>
      <c r="AA9" s="43"/>
      <c r="AB9" s="43"/>
      <c r="AC9" s="43"/>
      <c r="AD9" s="20"/>
      <c r="AE9" t="s">
        <v>50</v>
      </c>
      <c r="AH9" s="20">
        <v>0</v>
      </c>
      <c r="AL9" t="s">
        <v>54</v>
      </c>
    </row>
    <row r="10" spans="2:38" ht="15.75" x14ac:dyDescent="0.25">
      <c r="B10" s="35" t="s">
        <v>48</v>
      </c>
      <c r="C10" s="13" t="s">
        <v>55</v>
      </c>
      <c r="D10" s="36">
        <v>1</v>
      </c>
      <c r="E10" s="10" t="s">
        <v>56</v>
      </c>
      <c r="F10" s="37" t="s">
        <v>57</v>
      </c>
      <c r="G10" s="48">
        <v>6366467</v>
      </c>
      <c r="H10" s="44">
        <f>$H$9</f>
        <v>0.2424</v>
      </c>
      <c r="I10" s="39">
        <v>0.17624999999999999</v>
      </c>
      <c r="J10" s="44">
        <f>+$J$9</f>
        <v>8.0160000000000009E-2</v>
      </c>
      <c r="K10" s="40">
        <f>ROUND(H10*G10,2)</f>
        <v>1543231.6</v>
      </c>
      <c r="L10" s="40">
        <f>ROUND(G10*I10,2)</f>
        <v>1122089.81</v>
      </c>
      <c r="M10" s="45">
        <f>ROUND(G10*J10,2)</f>
        <v>510335.99</v>
      </c>
      <c r="N10" s="41">
        <f>SUM(K10:M10)</f>
        <v>3175657.4000000004</v>
      </c>
      <c r="O10" s="42"/>
      <c r="Q10" s="47"/>
      <c r="R10" s="47"/>
      <c r="S10" s="47"/>
      <c r="T10" s="47"/>
      <c r="U10" s="47"/>
      <c r="V10" s="43"/>
      <c r="W10" s="43"/>
      <c r="X10" s="43"/>
      <c r="Y10" s="43"/>
      <c r="Z10" s="43"/>
      <c r="AA10" s="43"/>
      <c r="AB10" s="43"/>
      <c r="AC10" s="43"/>
      <c r="AD10" s="20"/>
      <c r="AE10" t="s">
        <v>50</v>
      </c>
      <c r="AH10" s="20">
        <v>0</v>
      </c>
      <c r="AL10" t="s">
        <v>58</v>
      </c>
    </row>
    <row r="11" spans="2:38" ht="15.75" x14ac:dyDescent="0.25">
      <c r="B11" s="35" t="s">
        <v>59</v>
      </c>
      <c r="C11" s="13" t="s">
        <v>60</v>
      </c>
      <c r="D11" s="36">
        <v>1</v>
      </c>
      <c r="E11" s="10" t="s">
        <v>56</v>
      </c>
      <c r="F11" s="37" t="s">
        <v>57</v>
      </c>
      <c r="G11" s="49">
        <v>-2696601</v>
      </c>
      <c r="H11" s="44">
        <f>$H$9</f>
        <v>0.2424</v>
      </c>
      <c r="I11" s="44">
        <f>$I$10</f>
        <v>0.17624999999999999</v>
      </c>
      <c r="J11" s="44">
        <f>+$J$9</f>
        <v>8.0160000000000009E-2</v>
      </c>
      <c r="K11" s="40">
        <f>ROUND(H11*G11,2)</f>
        <v>-653656.07999999996</v>
      </c>
      <c r="L11" s="40">
        <f>ROUND(G11*I11,2)</f>
        <v>-475275.93</v>
      </c>
      <c r="M11" s="45"/>
      <c r="N11" s="41">
        <f>SUM(K11:M11)</f>
        <v>-1128932.01</v>
      </c>
      <c r="O11" s="42"/>
      <c r="Q11" s="50"/>
      <c r="R11" s="50"/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20"/>
      <c r="AE11" t="s">
        <v>50</v>
      </c>
      <c r="AH11" s="20">
        <v>0</v>
      </c>
      <c r="AL11" t="s">
        <v>58</v>
      </c>
    </row>
    <row r="12" spans="2:38" ht="15.75" x14ac:dyDescent="0.25">
      <c r="B12" s="35" t="s">
        <v>59</v>
      </c>
      <c r="C12" s="13" t="s">
        <v>61</v>
      </c>
      <c r="D12" s="36">
        <v>1</v>
      </c>
      <c r="E12" s="10" t="s">
        <v>56</v>
      </c>
      <c r="F12" s="37" t="s">
        <v>57</v>
      </c>
      <c r="G12" s="49">
        <v>7415550</v>
      </c>
      <c r="H12" s="44">
        <f>$H$9</f>
        <v>0.2424</v>
      </c>
      <c r="I12" s="44">
        <f>$I$10</f>
        <v>0.17624999999999999</v>
      </c>
      <c r="J12" s="44">
        <f>+$J$9</f>
        <v>8.0160000000000009E-2</v>
      </c>
      <c r="K12" s="40">
        <f>ROUND(H12*G12,2)</f>
        <v>1797529.32</v>
      </c>
      <c r="L12" s="40">
        <f>ROUND(G12*I12,2)</f>
        <v>1306990.69</v>
      </c>
      <c r="M12" s="45"/>
      <c r="N12" s="41">
        <f>SUM(K12:M12)</f>
        <v>3104520.01</v>
      </c>
      <c r="O12" s="42"/>
      <c r="Q12" s="50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20"/>
      <c r="AE12" t="s">
        <v>50</v>
      </c>
      <c r="AH12" s="20">
        <v>0</v>
      </c>
      <c r="AL12" t="s">
        <v>58</v>
      </c>
    </row>
    <row r="13" spans="2:38" ht="12.2" customHeight="1" x14ac:dyDescent="0.2">
      <c r="B13" s="35"/>
      <c r="D13" s="36"/>
      <c r="F13" s="37"/>
      <c r="G13" s="38"/>
      <c r="H13" s="44"/>
      <c r="I13" s="44"/>
      <c r="J13" s="44"/>
      <c r="K13" s="40"/>
      <c r="L13" s="40"/>
      <c r="M13" s="45"/>
      <c r="N13" s="40"/>
      <c r="O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20"/>
      <c r="AH13" s="20"/>
    </row>
    <row r="14" spans="2:38" ht="15.75" x14ac:dyDescent="0.25">
      <c r="B14" s="35" t="s">
        <v>62</v>
      </c>
      <c r="C14" s="13" t="s">
        <v>63</v>
      </c>
      <c r="D14" s="36">
        <v>2</v>
      </c>
      <c r="E14" s="10" t="s">
        <v>64</v>
      </c>
      <c r="F14" s="37" t="s">
        <v>65</v>
      </c>
      <c r="G14" s="48">
        <v>4853452</v>
      </c>
      <c r="H14" s="44">
        <f>$H$9</f>
        <v>0.2424</v>
      </c>
      <c r="I14" s="44">
        <f>+$I$9</f>
        <v>0.1736</v>
      </c>
      <c r="J14" s="44">
        <f>+$J$9</f>
        <v>8.0160000000000009E-2</v>
      </c>
      <c r="K14" s="40">
        <f>ROUND(H14*G14,2)</f>
        <v>1176476.76</v>
      </c>
      <c r="L14" s="40">
        <f>ROUND(G14*I14,2)</f>
        <v>842559.27</v>
      </c>
      <c r="M14" s="45">
        <f>ROUND(G14*J14,2)</f>
        <v>389052.71</v>
      </c>
      <c r="N14" s="52">
        <f>SUM(K14:M14)</f>
        <v>2408088.7400000002</v>
      </c>
      <c r="O14" s="53">
        <v>-0.02</v>
      </c>
      <c r="Q14" s="43" t="s">
        <v>49</v>
      </c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20"/>
      <c r="AE14" t="s">
        <v>50</v>
      </c>
      <c r="AH14" s="20">
        <v>0</v>
      </c>
      <c r="AL14" t="s">
        <v>66</v>
      </c>
    </row>
    <row r="15" spans="2:38" ht="15.75" x14ac:dyDescent="0.25">
      <c r="B15" s="35" t="s">
        <v>67</v>
      </c>
      <c r="C15" s="13" t="s">
        <v>68</v>
      </c>
      <c r="D15" s="36">
        <v>2</v>
      </c>
      <c r="E15" s="10" t="s">
        <v>64</v>
      </c>
      <c r="F15" s="37" t="s">
        <v>65</v>
      </c>
      <c r="G15" s="49">
        <v>-2978172</v>
      </c>
      <c r="H15" s="44">
        <f>$H$9</f>
        <v>0.2424</v>
      </c>
      <c r="I15" s="44">
        <f>+$I$9</f>
        <v>0.1736</v>
      </c>
      <c r="J15" s="44">
        <f>+$J$9</f>
        <v>8.0160000000000009E-2</v>
      </c>
      <c r="K15" s="40">
        <f>ROUND(H15*G15,2)</f>
        <v>-721908.89</v>
      </c>
      <c r="L15" s="40">
        <f>ROUND(G15*I15,2)</f>
        <v>-517010.66</v>
      </c>
      <c r="M15" s="45"/>
      <c r="N15" s="52">
        <f>SUM(K15:M15)</f>
        <v>-1238919.55</v>
      </c>
      <c r="O15" s="53"/>
      <c r="Q15" s="51" t="s">
        <v>69</v>
      </c>
      <c r="R15" s="51">
        <f>101807.82+3135667.8</f>
        <v>3237475.6199999996</v>
      </c>
      <c r="S15" s="51"/>
      <c r="T15" s="51"/>
      <c r="U15" s="50">
        <f>242253.38+412186.68</f>
        <v>654440.06000000006</v>
      </c>
      <c r="V15" s="51"/>
      <c r="W15" s="51"/>
      <c r="X15" s="51"/>
      <c r="Y15" s="51"/>
      <c r="Z15" s="51"/>
      <c r="AA15" s="51"/>
      <c r="AB15" s="51"/>
      <c r="AC15" s="51"/>
      <c r="AD15" s="20"/>
      <c r="AE15" t="s">
        <v>50</v>
      </c>
      <c r="AH15" s="20">
        <v>0</v>
      </c>
      <c r="AL15" t="s">
        <v>66</v>
      </c>
    </row>
    <row r="16" spans="2:38" ht="15.75" x14ac:dyDescent="0.25">
      <c r="B16" s="35" t="s">
        <v>67</v>
      </c>
      <c r="C16" s="13" t="s">
        <v>70</v>
      </c>
      <c r="D16" s="36">
        <v>2</v>
      </c>
      <c r="E16" s="10" t="s">
        <v>64</v>
      </c>
      <c r="F16" s="37" t="s">
        <v>65</v>
      </c>
      <c r="G16" s="49">
        <v>6393900</v>
      </c>
      <c r="H16" s="44">
        <f>$H$9</f>
        <v>0.2424</v>
      </c>
      <c r="I16" s="44">
        <f>+$I$9</f>
        <v>0.1736</v>
      </c>
      <c r="J16" s="44">
        <f>+$J$9</f>
        <v>8.0160000000000009E-2</v>
      </c>
      <c r="K16" s="40">
        <f>ROUND(H16*G16,2)</f>
        <v>1549881.36</v>
      </c>
      <c r="L16" s="40">
        <f>ROUND(G16*I16,2)</f>
        <v>1109981.04</v>
      </c>
      <c r="M16" s="45"/>
      <c r="N16" s="41">
        <f>SUM(K16:M16)</f>
        <v>2659862.4000000004</v>
      </c>
      <c r="O16" s="42"/>
      <c r="Q16" s="51" t="s">
        <v>69</v>
      </c>
      <c r="R16" s="51">
        <v>55387.57</v>
      </c>
      <c r="S16" s="51"/>
      <c r="T16" s="51"/>
      <c r="U16" s="50">
        <v>7182.43</v>
      </c>
      <c r="V16" s="51"/>
      <c r="W16" s="51"/>
      <c r="X16" s="51"/>
      <c r="Y16" s="51"/>
      <c r="Z16" s="51"/>
      <c r="AA16" s="51"/>
      <c r="AB16" s="51"/>
      <c r="AC16" s="51"/>
      <c r="AD16" s="20"/>
      <c r="AE16" t="s">
        <v>50</v>
      </c>
      <c r="AH16" s="20">
        <v>0</v>
      </c>
      <c r="AL16" t="s">
        <v>66</v>
      </c>
    </row>
    <row r="17" spans="2:38" ht="12.2" customHeight="1" x14ac:dyDescent="0.2">
      <c r="B17" s="35"/>
      <c r="D17" s="36"/>
      <c r="F17" s="37"/>
      <c r="G17" s="38"/>
      <c r="H17" s="44"/>
      <c r="I17" s="44"/>
      <c r="J17" s="44"/>
      <c r="K17" s="40"/>
      <c r="L17" s="40"/>
      <c r="M17" s="45"/>
      <c r="N17" s="40"/>
      <c r="O17" s="42"/>
      <c r="Q17" s="3"/>
      <c r="R17" s="3"/>
      <c r="S17" s="3"/>
      <c r="T17" s="3"/>
      <c r="U17" s="47"/>
      <c r="V17" s="3"/>
      <c r="W17" s="3"/>
      <c r="X17" s="3"/>
      <c r="Y17" s="3"/>
      <c r="Z17" s="3"/>
      <c r="AA17" s="3"/>
      <c r="AB17" s="3"/>
      <c r="AC17" s="3"/>
      <c r="AD17" s="20"/>
      <c r="AH17" s="20"/>
    </row>
    <row r="18" spans="2:38" ht="15.75" x14ac:dyDescent="0.25">
      <c r="B18" s="35" t="s">
        <v>62</v>
      </c>
      <c r="C18" s="13" t="s">
        <v>71</v>
      </c>
      <c r="D18" s="36">
        <v>2</v>
      </c>
      <c r="E18" s="10" t="s">
        <v>72</v>
      </c>
      <c r="F18" s="37" t="s">
        <v>73</v>
      </c>
      <c r="G18" s="48">
        <v>680358</v>
      </c>
      <c r="H18" s="44">
        <f>$H$9</f>
        <v>0.2424</v>
      </c>
      <c r="I18" s="39">
        <v>0.16053999999999999</v>
      </c>
      <c r="J18" s="44">
        <f t="shared" ref="J18:J23" si="0">+$J$9</f>
        <v>8.0160000000000009E-2</v>
      </c>
      <c r="K18" s="40">
        <f t="shared" ref="K18:K23" si="1">ROUND(H18*G18,2)</f>
        <v>164918.78</v>
      </c>
      <c r="L18" s="40">
        <f t="shared" ref="L18:L23" si="2">ROUND(G18*I18,2)</f>
        <v>109224.67</v>
      </c>
      <c r="M18" s="45">
        <f t="shared" ref="M18:M23" si="3">ROUND(G18*J18,2)</f>
        <v>54537.5</v>
      </c>
      <c r="N18" s="54">
        <f t="shared" ref="N18:N23" si="4">SUM(K18:M18)</f>
        <v>328680.95</v>
      </c>
      <c r="O18" s="53">
        <v>2.0699999999999998</v>
      </c>
      <c r="Q18" s="43" t="s">
        <v>49</v>
      </c>
      <c r="R18" s="43">
        <v>625208.07999999996</v>
      </c>
      <c r="S18" s="43"/>
      <c r="T18" s="43"/>
      <c r="U18" s="47">
        <f>44136.69+5300</f>
        <v>49436.69</v>
      </c>
      <c r="V18" s="43"/>
      <c r="W18" s="43"/>
      <c r="X18" s="43"/>
      <c r="Y18" s="43"/>
      <c r="Z18" s="43"/>
      <c r="AA18" s="43"/>
      <c r="AB18" s="43"/>
      <c r="AC18" s="43"/>
      <c r="AD18" s="20"/>
      <c r="AE18" t="s">
        <v>50</v>
      </c>
      <c r="AH18" s="20">
        <v>0</v>
      </c>
      <c r="AL18" t="s">
        <v>74</v>
      </c>
    </row>
    <row r="19" spans="2:38" ht="15" x14ac:dyDescent="0.2">
      <c r="B19" s="35" t="s">
        <v>62</v>
      </c>
      <c r="C19" s="13" t="s">
        <v>75</v>
      </c>
      <c r="D19" s="36">
        <v>2</v>
      </c>
      <c r="E19" s="10" t="s">
        <v>76</v>
      </c>
      <c r="F19" s="37" t="s">
        <v>77</v>
      </c>
      <c r="G19" s="38"/>
      <c r="H19" s="44">
        <f t="shared" ref="H19:H23" si="5">$H$9</f>
        <v>0.2424</v>
      </c>
      <c r="I19" s="44">
        <f>+$I$9</f>
        <v>0.1736</v>
      </c>
      <c r="J19" s="44">
        <f t="shared" si="0"/>
        <v>8.0160000000000009E-2</v>
      </c>
      <c r="K19" s="40">
        <f t="shared" si="1"/>
        <v>0</v>
      </c>
      <c r="L19" s="40">
        <f t="shared" si="2"/>
        <v>0</v>
      </c>
      <c r="M19" s="45">
        <f t="shared" si="3"/>
        <v>0</v>
      </c>
      <c r="N19" s="41">
        <f>SUM(K19:M19)</f>
        <v>0</v>
      </c>
      <c r="O19" s="42">
        <v>0.01</v>
      </c>
      <c r="Q19" s="43" t="s">
        <v>49</v>
      </c>
      <c r="R19" s="43">
        <f>+-128.04-565547.01</f>
        <v>-565675.05000000005</v>
      </c>
      <c r="S19" s="43"/>
      <c r="T19" s="43"/>
      <c r="U19" s="47">
        <f>+-193.7-79036.58</f>
        <v>-79230.28</v>
      </c>
      <c r="V19" s="43"/>
      <c r="W19" s="43"/>
      <c r="X19" s="43"/>
      <c r="Y19" s="43"/>
      <c r="Z19" s="43"/>
      <c r="AA19" s="43"/>
      <c r="AB19" s="43"/>
      <c r="AC19" s="43"/>
      <c r="AD19" s="55"/>
      <c r="AE19" t="s">
        <v>50</v>
      </c>
      <c r="AH19" s="20">
        <v>0</v>
      </c>
      <c r="AL19" t="s">
        <v>78</v>
      </c>
    </row>
    <row r="20" spans="2:38" ht="15" x14ac:dyDescent="0.2">
      <c r="B20" s="35" t="s">
        <v>62</v>
      </c>
      <c r="C20" s="13" t="s">
        <v>79</v>
      </c>
      <c r="D20" s="36">
        <v>2</v>
      </c>
      <c r="E20" s="10" t="s">
        <v>52</v>
      </c>
      <c r="F20" s="37" t="s">
        <v>53</v>
      </c>
      <c r="G20" s="38">
        <v>0</v>
      </c>
      <c r="H20" s="44">
        <f t="shared" si="5"/>
        <v>0.2424</v>
      </c>
      <c r="I20" s="44">
        <f>+$I$9</f>
        <v>0.1736</v>
      </c>
      <c r="J20" s="44">
        <f t="shared" si="0"/>
        <v>8.0160000000000009E-2</v>
      </c>
      <c r="K20" s="40">
        <f t="shared" si="1"/>
        <v>0</v>
      </c>
      <c r="L20" s="40">
        <f t="shared" si="2"/>
        <v>0</v>
      </c>
      <c r="M20" s="45">
        <f t="shared" si="3"/>
        <v>0</v>
      </c>
      <c r="N20" s="40">
        <f t="shared" si="4"/>
        <v>0</v>
      </c>
      <c r="O20" s="42"/>
      <c r="Q20" s="43" t="s">
        <v>49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55"/>
      <c r="AE20" t="s">
        <v>50</v>
      </c>
      <c r="AH20" s="20">
        <v>0</v>
      </c>
      <c r="AL20" t="s">
        <v>80</v>
      </c>
    </row>
    <row r="21" spans="2:38" ht="15.75" x14ac:dyDescent="0.25">
      <c r="B21" s="35" t="s">
        <v>62</v>
      </c>
      <c r="C21" s="13" t="s">
        <v>71</v>
      </c>
      <c r="D21" s="36">
        <v>2</v>
      </c>
      <c r="E21" s="10" t="s">
        <v>72</v>
      </c>
      <c r="F21" s="37" t="s">
        <v>82</v>
      </c>
      <c r="G21" s="48">
        <v>619</v>
      </c>
      <c r="H21" s="44">
        <f t="shared" si="5"/>
        <v>0.2424</v>
      </c>
      <c r="I21" s="44">
        <f>+$I$9</f>
        <v>0.1736</v>
      </c>
      <c r="J21" s="44">
        <f t="shared" si="0"/>
        <v>8.0160000000000009E-2</v>
      </c>
      <c r="K21" s="40">
        <f t="shared" si="1"/>
        <v>150.05000000000001</v>
      </c>
      <c r="L21" s="40">
        <f t="shared" si="2"/>
        <v>107.46</v>
      </c>
      <c r="M21" s="45">
        <f t="shared" si="3"/>
        <v>49.62</v>
      </c>
      <c r="N21" s="52">
        <f t="shared" si="4"/>
        <v>307.13</v>
      </c>
      <c r="O21" s="53"/>
      <c r="Q21" s="43" t="s">
        <v>49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20"/>
      <c r="AE21" t="s">
        <v>50</v>
      </c>
      <c r="AH21" s="20">
        <v>0</v>
      </c>
      <c r="AL21" t="s">
        <v>74</v>
      </c>
    </row>
    <row r="22" spans="2:38" ht="15.75" x14ac:dyDescent="0.25">
      <c r="B22" s="35" t="s">
        <v>67</v>
      </c>
      <c r="C22" s="13" t="s">
        <v>81</v>
      </c>
      <c r="D22" s="36">
        <v>2</v>
      </c>
      <c r="E22" s="10" t="s">
        <v>72</v>
      </c>
      <c r="F22" s="37" t="s">
        <v>82</v>
      </c>
      <c r="G22" s="56">
        <v>-619</v>
      </c>
      <c r="H22" s="44">
        <f t="shared" si="5"/>
        <v>0.2424</v>
      </c>
      <c r="I22" s="44">
        <f>+$I$9</f>
        <v>0.1736</v>
      </c>
      <c r="J22" s="44">
        <f t="shared" si="0"/>
        <v>8.0160000000000009E-2</v>
      </c>
      <c r="K22" s="40">
        <f t="shared" si="1"/>
        <v>-150.05000000000001</v>
      </c>
      <c r="L22" s="40">
        <f t="shared" si="2"/>
        <v>-107.46</v>
      </c>
      <c r="M22" s="45">
        <f t="shared" si="3"/>
        <v>-49.62</v>
      </c>
      <c r="N22" s="52">
        <f t="shared" si="4"/>
        <v>-307.13</v>
      </c>
      <c r="O22" s="53"/>
      <c r="Q22" s="3"/>
      <c r="R22" s="3">
        <v>57899.56</v>
      </c>
      <c r="S22" s="3"/>
      <c r="T22" s="3"/>
      <c r="U22" s="47">
        <v>8091.98</v>
      </c>
      <c r="V22" s="3"/>
      <c r="W22" s="3"/>
      <c r="X22" s="3"/>
      <c r="Y22" s="3"/>
      <c r="Z22" s="3"/>
      <c r="AA22" s="3"/>
      <c r="AB22" s="3"/>
      <c r="AC22" s="3"/>
      <c r="AD22" s="57"/>
      <c r="AE22" t="s">
        <v>50</v>
      </c>
      <c r="AH22" s="20">
        <v>0</v>
      </c>
      <c r="AL22" t="s">
        <v>74</v>
      </c>
    </row>
    <row r="23" spans="2:38" ht="15.75" x14ac:dyDescent="0.25">
      <c r="B23" s="35" t="s">
        <v>67</v>
      </c>
      <c r="C23" s="13" t="s">
        <v>83</v>
      </c>
      <c r="D23" s="36">
        <v>2</v>
      </c>
      <c r="E23" s="10" t="s">
        <v>72</v>
      </c>
      <c r="F23" s="37" t="s">
        <v>82</v>
      </c>
      <c r="G23" s="56">
        <v>1350316</v>
      </c>
      <c r="H23" s="44">
        <f t="shared" si="5"/>
        <v>0.2424</v>
      </c>
      <c r="I23" s="44">
        <f>+$I$9</f>
        <v>0.1736</v>
      </c>
      <c r="J23" s="44">
        <f t="shared" si="0"/>
        <v>8.0160000000000009E-2</v>
      </c>
      <c r="K23" s="40">
        <f t="shared" si="1"/>
        <v>327316.59999999998</v>
      </c>
      <c r="L23" s="40">
        <f t="shared" si="2"/>
        <v>234414.86</v>
      </c>
      <c r="M23" s="45">
        <f t="shared" si="3"/>
        <v>108241.33</v>
      </c>
      <c r="N23" s="41">
        <f t="shared" si="4"/>
        <v>669972.78999999992</v>
      </c>
      <c r="O23" s="42"/>
      <c r="Q23" s="3"/>
      <c r="R23" s="3">
        <v>61282.61</v>
      </c>
      <c r="S23" s="3"/>
      <c r="T23" s="3"/>
      <c r="U23" s="47">
        <v>6665.73</v>
      </c>
      <c r="V23" s="3"/>
      <c r="W23" s="3"/>
      <c r="X23" s="3"/>
      <c r="Y23" s="3"/>
      <c r="Z23" s="3"/>
      <c r="AA23" s="3"/>
      <c r="AB23" s="3"/>
      <c r="AC23" s="3"/>
      <c r="AD23" s="57"/>
      <c r="AE23" t="s">
        <v>50</v>
      </c>
      <c r="AH23" s="20">
        <v>0</v>
      </c>
      <c r="AL23" t="s">
        <v>74</v>
      </c>
    </row>
    <row r="24" spans="2:38" ht="12.2" customHeight="1" x14ac:dyDescent="0.2">
      <c r="B24" s="35"/>
      <c r="D24" s="36"/>
      <c r="F24" s="37"/>
      <c r="G24" s="58"/>
      <c r="H24" s="59"/>
      <c r="I24" s="44"/>
      <c r="J24" s="44"/>
      <c r="K24" s="40"/>
      <c r="L24" s="40"/>
      <c r="M24" s="45"/>
      <c r="N24" s="40"/>
      <c r="O24" s="42"/>
      <c r="Q24" s="3"/>
      <c r="R24" s="3"/>
      <c r="S24" s="3"/>
      <c r="T24" s="3"/>
      <c r="U24" s="47"/>
      <c r="V24" s="3"/>
      <c r="W24" s="3"/>
      <c r="X24" s="3"/>
      <c r="Y24" s="3"/>
      <c r="Z24" s="3"/>
      <c r="AA24" s="3"/>
      <c r="AB24" s="3"/>
      <c r="AC24" s="3"/>
      <c r="AD24" s="57"/>
      <c r="AH24" s="20"/>
    </row>
    <row r="25" spans="2:38" ht="15.75" x14ac:dyDescent="0.25">
      <c r="B25" s="35" t="s">
        <v>84</v>
      </c>
      <c r="C25" s="13" t="s">
        <v>85</v>
      </c>
      <c r="D25" s="36">
        <v>3</v>
      </c>
      <c r="E25" s="10" t="s">
        <v>86</v>
      </c>
      <c r="F25" s="37" t="s">
        <v>87</v>
      </c>
      <c r="G25" s="48">
        <v>1274354</v>
      </c>
      <c r="H25" s="44">
        <f t="shared" ref="H25:H44" si="6">$H$9</f>
        <v>0.2424</v>
      </c>
      <c r="I25" s="44">
        <f>$I$18</f>
        <v>0.16053999999999999</v>
      </c>
      <c r="J25" s="44">
        <f t="shared" ref="J25:J44" si="7">+$J$9</f>
        <v>8.0160000000000009E-2</v>
      </c>
      <c r="K25" s="40">
        <f>ROUND(H25*G25,2)</f>
        <v>308903.40999999997</v>
      </c>
      <c r="L25" s="40">
        <f>ROUND(G25*I25,2)</f>
        <v>204584.79</v>
      </c>
      <c r="M25" s="45">
        <f>ROUND(G25*J25,2)</f>
        <v>102152.22</v>
      </c>
      <c r="N25" s="41">
        <f>SUM(K25:M25)</f>
        <v>615640.41999999993</v>
      </c>
      <c r="O25" s="42">
        <v>-0.01</v>
      </c>
      <c r="Q25" s="43" t="s">
        <v>49</v>
      </c>
      <c r="R25" s="43">
        <v>49965.85</v>
      </c>
      <c r="S25" s="43"/>
      <c r="T25" s="43"/>
      <c r="U25" s="47">
        <v>5434.8</v>
      </c>
      <c r="V25" s="43"/>
      <c r="W25" s="43"/>
      <c r="X25" s="43"/>
      <c r="Y25" s="43"/>
      <c r="Z25" s="43"/>
      <c r="AA25" s="43"/>
      <c r="AB25" s="43"/>
      <c r="AC25" s="43"/>
      <c r="AD25" s="55"/>
      <c r="AE25" t="s">
        <v>50</v>
      </c>
      <c r="AH25" s="20">
        <v>0</v>
      </c>
      <c r="AL25" t="s">
        <v>88</v>
      </c>
    </row>
    <row r="26" spans="2:38" ht="15.75" x14ac:dyDescent="0.25">
      <c r="B26" s="35" t="s">
        <v>84</v>
      </c>
      <c r="C26" s="13" t="s">
        <v>89</v>
      </c>
      <c r="D26" s="36">
        <v>3</v>
      </c>
      <c r="E26" s="10" t="s">
        <v>72</v>
      </c>
      <c r="F26" s="37" t="s">
        <v>73</v>
      </c>
      <c r="G26" s="48">
        <v>413276</v>
      </c>
      <c r="H26" s="44">
        <f t="shared" si="6"/>
        <v>0.2424</v>
      </c>
      <c r="I26" s="44">
        <f>$I$18</f>
        <v>0.16053999999999999</v>
      </c>
      <c r="J26" s="44">
        <f t="shared" si="7"/>
        <v>8.0160000000000009E-2</v>
      </c>
      <c r="K26" s="40">
        <f>ROUND(H26*G26,2)</f>
        <v>100178.1</v>
      </c>
      <c r="L26" s="40">
        <f>ROUND(G26*I26,2)</f>
        <v>66347.33</v>
      </c>
      <c r="M26" s="45">
        <f>ROUND(G26*J26,2)</f>
        <v>33128.199999999997</v>
      </c>
      <c r="N26" s="41">
        <f>SUM(K26:M26)</f>
        <v>199653.63</v>
      </c>
      <c r="O26" s="42"/>
      <c r="Q26" s="43" t="s">
        <v>49</v>
      </c>
      <c r="R26" s="43"/>
      <c r="S26" s="43"/>
      <c r="T26" s="43"/>
      <c r="U26" s="47"/>
      <c r="V26" s="43"/>
      <c r="W26" s="43"/>
      <c r="X26" s="43"/>
      <c r="Y26" s="43"/>
      <c r="Z26" s="43"/>
      <c r="AA26" s="43"/>
      <c r="AB26" s="43"/>
      <c r="AC26" s="43"/>
      <c r="AD26" s="55"/>
      <c r="AE26" t="s">
        <v>50</v>
      </c>
      <c r="AH26" s="20">
        <v>0</v>
      </c>
      <c r="AL26" t="s">
        <v>90</v>
      </c>
    </row>
    <row r="27" spans="2:38" ht="15" x14ac:dyDescent="0.2">
      <c r="B27" s="35" t="s">
        <v>84</v>
      </c>
      <c r="C27" s="13" t="s">
        <v>91</v>
      </c>
      <c r="D27" s="36">
        <v>3</v>
      </c>
      <c r="E27" s="10" t="s">
        <v>76</v>
      </c>
      <c r="F27" s="37" t="s">
        <v>77</v>
      </c>
      <c r="G27" s="38">
        <v>0</v>
      </c>
      <c r="H27" s="44">
        <f t="shared" si="6"/>
        <v>0.2424</v>
      </c>
      <c r="I27" s="44">
        <f>+$I$9</f>
        <v>0.1736</v>
      </c>
      <c r="J27" s="44">
        <f t="shared" si="7"/>
        <v>8.0160000000000009E-2</v>
      </c>
      <c r="K27" s="40">
        <f>ROUND(H27*G27,2)</f>
        <v>0</v>
      </c>
      <c r="L27" s="40">
        <f>ROUND(G27*I27,2)</f>
        <v>0</v>
      </c>
      <c r="M27" s="45">
        <f>ROUND(G27*J27,2)</f>
        <v>0</v>
      </c>
      <c r="N27" s="40">
        <f>SUM(K27:M27)</f>
        <v>0</v>
      </c>
      <c r="O27" s="42"/>
      <c r="Q27" s="3"/>
      <c r="R27" s="3"/>
      <c r="S27" s="3"/>
      <c r="T27" s="3"/>
      <c r="U27" s="47"/>
      <c r="V27" s="3"/>
      <c r="W27" s="3"/>
      <c r="X27" s="3"/>
      <c r="Y27" s="3"/>
      <c r="Z27" s="3"/>
      <c r="AA27" s="3"/>
      <c r="AB27" s="3"/>
      <c r="AC27" s="3"/>
      <c r="AD27" s="20"/>
      <c r="AE27" t="s">
        <v>50</v>
      </c>
      <c r="AH27" s="20">
        <v>0</v>
      </c>
      <c r="AL27" t="s">
        <v>92</v>
      </c>
    </row>
    <row r="28" spans="2:38" ht="12.2" customHeight="1" x14ac:dyDescent="0.2">
      <c r="B28" s="35"/>
      <c r="D28" s="36"/>
      <c r="F28" s="37"/>
      <c r="G28" s="38"/>
      <c r="H28" s="44"/>
      <c r="I28" s="44"/>
      <c r="J28" s="44"/>
      <c r="K28" s="40"/>
      <c r="L28" s="40"/>
      <c r="M28" s="45"/>
      <c r="N28" s="40"/>
      <c r="O28" s="42"/>
      <c r="Q28" s="3"/>
      <c r="R28" s="3">
        <v>17029.240000000002</v>
      </c>
      <c r="S28" s="3"/>
      <c r="T28" s="3"/>
      <c r="U28" s="47">
        <v>1729.72</v>
      </c>
      <c r="V28" s="3"/>
      <c r="W28" s="3"/>
      <c r="X28" s="3"/>
      <c r="Y28" s="3"/>
      <c r="Z28" s="3"/>
      <c r="AA28" s="3"/>
      <c r="AB28" s="3"/>
      <c r="AC28" s="3"/>
      <c r="AD28" s="20"/>
      <c r="AH28" s="20"/>
    </row>
    <row r="29" spans="2:38" ht="15.75" x14ac:dyDescent="0.25">
      <c r="B29" s="35" t="s">
        <v>93</v>
      </c>
      <c r="C29" s="13" t="s">
        <v>94</v>
      </c>
      <c r="D29" s="36">
        <v>3</v>
      </c>
      <c r="E29" s="10" t="s">
        <v>86</v>
      </c>
      <c r="F29" s="37" t="s">
        <v>95</v>
      </c>
      <c r="G29" s="48">
        <v>411</v>
      </c>
      <c r="H29" s="44">
        <f t="shared" si="6"/>
        <v>0.2424</v>
      </c>
      <c r="I29" s="44">
        <f>$I$18</f>
        <v>0.16053999999999999</v>
      </c>
      <c r="J29" s="44">
        <f t="shared" si="7"/>
        <v>8.0160000000000009E-2</v>
      </c>
      <c r="K29" s="40">
        <f t="shared" ref="K29:K31" si="8">ROUND(H29*G29,2)</f>
        <v>99.63</v>
      </c>
      <c r="L29" s="40">
        <f t="shared" ref="L29:L31" si="9">ROUND(G29*I29,2)</f>
        <v>65.98</v>
      </c>
      <c r="M29" s="45">
        <f t="shared" ref="M29:M31" si="10">ROUND(G29*J29,2)</f>
        <v>32.950000000000003</v>
      </c>
      <c r="N29" s="40">
        <f t="shared" ref="N29:N31" si="11">SUM(K29:M29)</f>
        <v>198.56</v>
      </c>
      <c r="O29" s="42"/>
      <c r="Q29" s="43" t="s">
        <v>49</v>
      </c>
      <c r="R29" s="43"/>
      <c r="S29" s="43"/>
      <c r="T29" s="43"/>
      <c r="U29" s="47"/>
      <c r="V29" s="43"/>
      <c r="W29" s="43"/>
      <c r="X29" s="43"/>
      <c r="Y29" s="43"/>
      <c r="Z29" s="43"/>
      <c r="AA29" s="43"/>
      <c r="AB29" s="43"/>
      <c r="AC29" s="43"/>
      <c r="AD29" s="55"/>
      <c r="AE29" t="s">
        <v>50</v>
      </c>
      <c r="AH29" s="20">
        <v>0</v>
      </c>
      <c r="AL29" t="s">
        <v>88</v>
      </c>
    </row>
    <row r="30" spans="2:38" ht="15.75" x14ac:dyDescent="0.25">
      <c r="B30" s="35" t="s">
        <v>96</v>
      </c>
      <c r="C30" s="13" t="s">
        <v>81</v>
      </c>
      <c r="D30" s="36">
        <v>3</v>
      </c>
      <c r="E30" s="10" t="s">
        <v>86</v>
      </c>
      <c r="F30" s="37" t="s">
        <v>95</v>
      </c>
      <c r="G30" s="56">
        <v>-411</v>
      </c>
      <c r="H30" s="44">
        <f t="shared" si="6"/>
        <v>0.2424</v>
      </c>
      <c r="I30" s="44">
        <f>$I$18</f>
        <v>0.16053999999999999</v>
      </c>
      <c r="J30" s="44">
        <f t="shared" si="7"/>
        <v>8.0160000000000009E-2</v>
      </c>
      <c r="K30" s="40">
        <f t="shared" si="8"/>
        <v>-99.63</v>
      </c>
      <c r="L30" s="40">
        <f t="shared" si="9"/>
        <v>-65.98</v>
      </c>
      <c r="M30" s="45">
        <f t="shared" si="10"/>
        <v>-32.950000000000003</v>
      </c>
      <c r="N30" s="40">
        <f t="shared" si="11"/>
        <v>-198.56</v>
      </c>
      <c r="O30" s="42"/>
      <c r="Q30" s="3"/>
      <c r="R30" s="3">
        <v>128505.68</v>
      </c>
      <c r="S30" s="3"/>
      <c r="T30" s="3"/>
      <c r="U30" s="47">
        <v>17959.87</v>
      </c>
      <c r="V30" s="3"/>
      <c r="W30" s="3"/>
      <c r="X30" s="3"/>
      <c r="Y30" s="3"/>
      <c r="Z30" s="3"/>
      <c r="AA30" s="3"/>
      <c r="AB30" s="3"/>
      <c r="AC30" s="3"/>
      <c r="AD30" s="57"/>
      <c r="AE30" t="s">
        <v>50</v>
      </c>
      <c r="AH30" s="20">
        <v>0</v>
      </c>
      <c r="AL30" t="s">
        <v>88</v>
      </c>
    </row>
    <row r="31" spans="2:38" ht="15.75" x14ac:dyDescent="0.25">
      <c r="B31" s="35" t="s">
        <v>96</v>
      </c>
      <c r="C31" s="13" t="s">
        <v>83</v>
      </c>
      <c r="D31" s="36">
        <v>3</v>
      </c>
      <c r="E31" s="10" t="s">
        <v>86</v>
      </c>
      <c r="F31" s="37" t="s">
        <v>95</v>
      </c>
      <c r="G31" s="56">
        <v>317</v>
      </c>
      <c r="H31" s="44">
        <f t="shared" si="6"/>
        <v>0.2424</v>
      </c>
      <c r="I31" s="44">
        <f>$I$18</f>
        <v>0.16053999999999999</v>
      </c>
      <c r="J31" s="44">
        <f t="shared" si="7"/>
        <v>8.0160000000000009E-2</v>
      </c>
      <c r="K31" s="40">
        <f t="shared" si="8"/>
        <v>76.84</v>
      </c>
      <c r="L31" s="40">
        <f t="shared" si="9"/>
        <v>50.89</v>
      </c>
      <c r="M31" s="45">
        <f t="shared" si="10"/>
        <v>25.41</v>
      </c>
      <c r="N31" s="40">
        <f t="shared" si="11"/>
        <v>153.14000000000001</v>
      </c>
      <c r="O31" s="40"/>
      <c r="Q31" s="3"/>
      <c r="R31" s="3">
        <v>97.86</v>
      </c>
      <c r="S31" s="3"/>
      <c r="T31" s="3"/>
      <c r="U31" s="47">
        <v>10.64</v>
      </c>
      <c r="V31" s="3"/>
      <c r="W31" s="3"/>
      <c r="X31" s="3"/>
      <c r="Y31" s="3"/>
      <c r="Z31" s="3"/>
      <c r="AA31" s="3"/>
      <c r="AB31" s="3"/>
      <c r="AC31" s="3"/>
      <c r="AD31" s="57"/>
      <c r="AE31" t="s">
        <v>50</v>
      </c>
      <c r="AH31" s="20">
        <v>0</v>
      </c>
      <c r="AL31" t="s">
        <v>88</v>
      </c>
    </row>
    <row r="32" spans="2:38" ht="12.2" customHeight="1" x14ac:dyDescent="0.2">
      <c r="B32" s="35"/>
      <c r="D32" s="36"/>
      <c r="F32" s="37"/>
      <c r="G32" s="38"/>
      <c r="H32" s="44"/>
      <c r="I32" s="44"/>
      <c r="J32" s="44"/>
      <c r="K32" s="40"/>
      <c r="L32" s="40"/>
      <c r="M32" s="45"/>
      <c r="N32" s="40"/>
      <c r="O32" s="40"/>
      <c r="Q32" s="3"/>
      <c r="R32" s="3"/>
      <c r="S32" s="3"/>
      <c r="T32" s="3"/>
      <c r="U32" s="47"/>
      <c r="V32" s="3"/>
      <c r="W32" s="3"/>
      <c r="X32" s="3"/>
      <c r="Y32" s="3"/>
      <c r="Z32" s="3"/>
      <c r="AA32" s="3"/>
      <c r="AB32" s="3"/>
      <c r="AC32" s="3"/>
      <c r="AD32" s="55"/>
      <c r="AH32" s="20"/>
    </row>
    <row r="33" spans="2:38" ht="15" x14ac:dyDescent="0.2">
      <c r="B33" s="35" t="s">
        <v>93</v>
      </c>
      <c r="C33" s="13" t="s">
        <v>97</v>
      </c>
      <c r="D33" s="36" t="s">
        <v>14</v>
      </c>
      <c r="E33" s="10" t="s">
        <v>98</v>
      </c>
      <c r="F33" s="37" t="s">
        <v>99</v>
      </c>
      <c r="G33" s="38">
        <v>0</v>
      </c>
      <c r="H33" s="44">
        <f t="shared" si="6"/>
        <v>0.2424</v>
      </c>
      <c r="I33" s="39">
        <v>0.14752999999999999</v>
      </c>
      <c r="J33" s="44">
        <f t="shared" si="7"/>
        <v>8.0160000000000009E-2</v>
      </c>
      <c r="K33" s="40">
        <f>ROUND(H33*G33,2)</f>
        <v>0</v>
      </c>
      <c r="L33" s="40">
        <f>ROUND(G33*I33,2)</f>
        <v>0</v>
      </c>
      <c r="M33" s="45">
        <f>ROUND(G33*J33,2)</f>
        <v>0</v>
      </c>
      <c r="N33" s="54">
        <f>SUM(K33:M33)</f>
        <v>0</v>
      </c>
      <c r="Q33" s="3"/>
      <c r="R33" s="3"/>
      <c r="S33" s="3"/>
      <c r="T33" s="3"/>
      <c r="U33" s="47"/>
      <c r="V33" s="3"/>
      <c r="W33" s="3"/>
      <c r="X33" s="3"/>
      <c r="Y33" s="3"/>
      <c r="Z33" s="3"/>
      <c r="AA33" s="3"/>
      <c r="AB33" s="3"/>
      <c r="AC33" s="3"/>
      <c r="AD33" s="20"/>
      <c r="AE33" t="s">
        <v>50</v>
      </c>
      <c r="AH33" s="20">
        <v>0</v>
      </c>
      <c r="AL33" t="s">
        <v>100</v>
      </c>
    </row>
    <row r="34" spans="2:38" ht="15" x14ac:dyDescent="0.2">
      <c r="B34" s="35" t="s">
        <v>96</v>
      </c>
      <c r="C34" s="13" t="s">
        <v>81</v>
      </c>
      <c r="D34" s="36">
        <v>4</v>
      </c>
      <c r="E34" s="10" t="s">
        <v>98</v>
      </c>
      <c r="F34" s="37" t="s">
        <v>99</v>
      </c>
      <c r="G34" s="61">
        <v>0</v>
      </c>
      <c r="H34" s="44">
        <f t="shared" si="6"/>
        <v>0.2424</v>
      </c>
      <c r="I34" s="44">
        <f>$I$33</f>
        <v>0.14752999999999999</v>
      </c>
      <c r="J34" s="44">
        <f t="shared" si="7"/>
        <v>8.0160000000000009E-2</v>
      </c>
      <c r="K34" s="40">
        <f>ROUND(H34*G34,2)</f>
        <v>0</v>
      </c>
      <c r="L34" s="40">
        <f>ROUND(G34*I34,2)</f>
        <v>0</v>
      </c>
      <c r="M34" s="45">
        <f>ROUND(G34*J34,2)</f>
        <v>0</v>
      </c>
      <c r="N34" s="41">
        <f>SUM(K34:M34)</f>
        <v>0</v>
      </c>
      <c r="O34" s="40">
        <f>-N34-80.06</f>
        <v>-80.06</v>
      </c>
      <c r="Q34" s="3"/>
      <c r="R34" s="3">
        <v>18307.25</v>
      </c>
      <c r="S34" s="3"/>
      <c r="T34" s="3"/>
      <c r="U34" s="47">
        <v>1859.59</v>
      </c>
      <c r="V34" s="3"/>
      <c r="W34" s="3"/>
      <c r="X34" s="3"/>
      <c r="Y34" s="3"/>
      <c r="Z34" s="3"/>
      <c r="AA34" s="3"/>
      <c r="AB34" s="3"/>
      <c r="AC34" s="3"/>
      <c r="AD34" s="57"/>
      <c r="AE34" t="s">
        <v>50</v>
      </c>
      <c r="AH34" s="20">
        <v>0</v>
      </c>
      <c r="AL34" t="s">
        <v>101</v>
      </c>
    </row>
    <row r="35" spans="2:38" ht="15" x14ac:dyDescent="0.2">
      <c r="B35" s="35" t="s">
        <v>96</v>
      </c>
      <c r="C35" s="13" t="s">
        <v>83</v>
      </c>
      <c r="D35" s="36">
        <v>4</v>
      </c>
      <c r="E35" s="10" t="s">
        <v>98</v>
      </c>
      <c r="F35" s="37" t="s">
        <v>99</v>
      </c>
      <c r="G35" s="61">
        <v>0</v>
      </c>
      <c r="H35" s="44">
        <f t="shared" si="6"/>
        <v>0.2424</v>
      </c>
      <c r="I35" s="44">
        <f>$I$33</f>
        <v>0.14752999999999999</v>
      </c>
      <c r="J35" s="44">
        <f t="shared" si="7"/>
        <v>8.0160000000000009E-2</v>
      </c>
      <c r="K35" s="40">
        <f>ROUND(H35*G35,2)</f>
        <v>0</v>
      </c>
      <c r="L35" s="40">
        <f>ROUND(G35*I35,2)</f>
        <v>0</v>
      </c>
      <c r="M35" s="45">
        <f>ROUND(G35*J35,2)</f>
        <v>0</v>
      </c>
      <c r="N35" s="40">
        <f>SUM(K35:M35)</f>
        <v>0</v>
      </c>
      <c r="O35" s="40"/>
      <c r="Q35" s="3"/>
      <c r="R35" s="3"/>
      <c r="S35" s="3"/>
      <c r="T35" s="3"/>
      <c r="U35" s="47"/>
      <c r="V35" s="3"/>
      <c r="W35" s="3"/>
      <c r="X35" s="3"/>
      <c r="Y35" s="3"/>
      <c r="Z35" s="3"/>
      <c r="AA35" s="3"/>
      <c r="AB35" s="3"/>
      <c r="AC35" s="3"/>
      <c r="AD35" s="57"/>
      <c r="AE35" t="s">
        <v>50</v>
      </c>
      <c r="AH35" s="20">
        <v>0</v>
      </c>
      <c r="AL35" t="s">
        <v>101</v>
      </c>
    </row>
    <row r="36" spans="2:38" ht="12.2" customHeight="1" x14ac:dyDescent="0.2">
      <c r="B36" s="35"/>
      <c r="D36" s="36"/>
      <c r="F36" s="37"/>
      <c r="G36" s="38"/>
      <c r="H36" s="44"/>
      <c r="I36" s="44"/>
      <c r="J36" s="44"/>
      <c r="M36" s="4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20"/>
      <c r="AH36" s="20"/>
    </row>
    <row r="37" spans="2:38" ht="15.75" x14ac:dyDescent="0.25">
      <c r="B37" s="35" t="s">
        <v>102</v>
      </c>
      <c r="C37" s="13" t="s">
        <v>103</v>
      </c>
      <c r="D37" s="36" t="s">
        <v>23</v>
      </c>
      <c r="E37" s="10" t="s">
        <v>98</v>
      </c>
      <c r="F37" s="37" t="s">
        <v>99</v>
      </c>
      <c r="G37" s="48">
        <v>111442</v>
      </c>
      <c r="H37" s="44">
        <f t="shared" si="6"/>
        <v>0.2424</v>
      </c>
      <c r="I37" s="44">
        <f t="shared" ref="I37:I42" si="12">$I$33</f>
        <v>0.14752999999999999</v>
      </c>
      <c r="J37" s="44">
        <f t="shared" si="7"/>
        <v>8.0160000000000009E-2</v>
      </c>
      <c r="K37" s="40">
        <f t="shared" ref="K37:K42" si="13">ROUND(H37*G37,2)</f>
        <v>27013.54</v>
      </c>
      <c r="L37" s="40">
        <f t="shared" ref="L37:L42" si="14">ROUND(G37*I37,2)</f>
        <v>16441.04</v>
      </c>
      <c r="M37" s="45">
        <f t="shared" ref="M37:M41" si="15">ROUND(G37*J37,2)</f>
        <v>8933.19</v>
      </c>
      <c r="N37" s="41">
        <f>SUM(K37:M37)</f>
        <v>52387.770000000004</v>
      </c>
      <c r="O37" s="40">
        <v>0.01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0"/>
      <c r="AE37" t="s">
        <v>50</v>
      </c>
      <c r="AH37" s="20">
        <v>0</v>
      </c>
      <c r="AL37" t="s">
        <v>101</v>
      </c>
    </row>
    <row r="38" spans="2:38" ht="15.75" x14ac:dyDescent="0.25">
      <c r="B38" s="35" t="s">
        <v>102</v>
      </c>
      <c r="C38" s="13" t="s">
        <v>81</v>
      </c>
      <c r="D38" s="36">
        <v>5</v>
      </c>
      <c r="E38" s="10" t="s">
        <v>98</v>
      </c>
      <c r="F38" s="37" t="s">
        <v>99</v>
      </c>
      <c r="G38" s="56">
        <v>-111442</v>
      </c>
      <c r="H38" s="44">
        <f t="shared" si="6"/>
        <v>0.2424</v>
      </c>
      <c r="I38" s="44">
        <f t="shared" si="12"/>
        <v>0.14752999999999999</v>
      </c>
      <c r="J38" s="44">
        <f t="shared" si="7"/>
        <v>8.0160000000000009E-2</v>
      </c>
      <c r="K38" s="40">
        <f t="shared" si="13"/>
        <v>-27013.54</v>
      </c>
      <c r="L38" s="40">
        <f t="shared" si="14"/>
        <v>-16441.04</v>
      </c>
      <c r="M38" s="45">
        <f t="shared" si="15"/>
        <v>-8933.19</v>
      </c>
      <c r="N38" s="41">
        <f t="shared" ref="N38:N42" si="16">SUM(K38:M38)</f>
        <v>-52387.770000000004</v>
      </c>
      <c r="O38" s="4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7"/>
      <c r="AE38" t="s">
        <v>50</v>
      </c>
      <c r="AH38" s="20">
        <v>0</v>
      </c>
      <c r="AL38" t="s">
        <v>100</v>
      </c>
    </row>
    <row r="39" spans="2:38" ht="15.75" x14ac:dyDescent="0.25">
      <c r="B39" s="35" t="s">
        <v>102</v>
      </c>
      <c r="C39" s="13" t="s">
        <v>104</v>
      </c>
      <c r="D39" s="36">
        <v>5</v>
      </c>
      <c r="E39" s="10" t="s">
        <v>98</v>
      </c>
      <c r="F39" s="37" t="s">
        <v>99</v>
      </c>
      <c r="G39" s="56">
        <v>232820</v>
      </c>
      <c r="H39" s="44">
        <f t="shared" si="6"/>
        <v>0.2424</v>
      </c>
      <c r="I39" s="44">
        <f t="shared" si="12"/>
        <v>0.14752999999999999</v>
      </c>
      <c r="J39" s="44">
        <f t="shared" si="7"/>
        <v>8.0160000000000009E-2</v>
      </c>
      <c r="K39" s="40">
        <f t="shared" si="13"/>
        <v>56435.57</v>
      </c>
      <c r="L39" s="40">
        <f t="shared" si="14"/>
        <v>34347.93</v>
      </c>
      <c r="M39" s="45">
        <f t="shared" si="15"/>
        <v>18662.849999999999</v>
      </c>
      <c r="N39" s="41">
        <f t="shared" si="16"/>
        <v>109446.35</v>
      </c>
      <c r="O39" s="4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7"/>
      <c r="AE39" t="s">
        <v>50</v>
      </c>
      <c r="AH39" s="20">
        <v>0</v>
      </c>
      <c r="AL39" t="s">
        <v>100</v>
      </c>
    </row>
    <row r="40" spans="2:38" ht="15" x14ac:dyDescent="0.2">
      <c r="B40" s="35" t="s">
        <v>105</v>
      </c>
      <c r="C40" s="13" t="s">
        <v>106</v>
      </c>
      <c r="D40" s="36">
        <v>5</v>
      </c>
      <c r="E40" s="10" t="s">
        <v>107</v>
      </c>
      <c r="F40" s="37" t="s">
        <v>108</v>
      </c>
      <c r="G40" s="38"/>
      <c r="H40" s="44">
        <f t="shared" si="6"/>
        <v>0.2424</v>
      </c>
      <c r="I40" s="44">
        <f t="shared" si="12"/>
        <v>0.14752999999999999</v>
      </c>
      <c r="J40" s="44">
        <f t="shared" si="7"/>
        <v>8.0160000000000009E-2</v>
      </c>
      <c r="K40" s="40">
        <f t="shared" si="13"/>
        <v>0</v>
      </c>
      <c r="L40" s="40">
        <f t="shared" si="14"/>
        <v>0</v>
      </c>
      <c r="M40" s="45">
        <f t="shared" si="15"/>
        <v>0</v>
      </c>
      <c r="N40" s="41">
        <f t="shared" si="16"/>
        <v>0</v>
      </c>
      <c r="O40" s="40">
        <v>-0.01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0"/>
      <c r="AE40" t="s">
        <v>50</v>
      </c>
      <c r="AH40" s="20">
        <v>0</v>
      </c>
      <c r="AL40" t="s">
        <v>109</v>
      </c>
    </row>
    <row r="41" spans="2:38" ht="15" x14ac:dyDescent="0.2">
      <c r="B41" s="35" t="s">
        <v>102</v>
      </c>
      <c r="C41" s="13" t="s">
        <v>81</v>
      </c>
      <c r="D41" s="36">
        <v>5</v>
      </c>
      <c r="E41" s="10" t="s">
        <v>107</v>
      </c>
      <c r="F41" s="37" t="s">
        <v>108</v>
      </c>
      <c r="G41" s="61">
        <v>0</v>
      </c>
      <c r="H41" s="44">
        <f t="shared" si="6"/>
        <v>0.2424</v>
      </c>
      <c r="I41" s="44">
        <f t="shared" si="12"/>
        <v>0.14752999999999999</v>
      </c>
      <c r="J41" s="44">
        <f t="shared" si="7"/>
        <v>8.0160000000000009E-2</v>
      </c>
      <c r="K41" s="40">
        <f>ROUND(H41*G41,2)</f>
        <v>0</v>
      </c>
      <c r="L41" s="40">
        <f t="shared" si="14"/>
        <v>0</v>
      </c>
      <c r="M41" s="45">
        <f t="shared" si="15"/>
        <v>0</v>
      </c>
      <c r="N41" s="41">
        <f t="shared" si="16"/>
        <v>0</v>
      </c>
      <c r="O41" s="40">
        <v>-0.01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7"/>
      <c r="AE41" t="s">
        <v>50</v>
      </c>
      <c r="AH41" s="20">
        <v>0</v>
      </c>
      <c r="AL41" t="s">
        <v>100</v>
      </c>
    </row>
    <row r="42" spans="2:38" ht="15" x14ac:dyDescent="0.2">
      <c r="B42" s="35" t="s">
        <v>102</v>
      </c>
      <c r="C42" s="13" t="s">
        <v>104</v>
      </c>
      <c r="D42" s="36">
        <v>5</v>
      </c>
      <c r="E42" s="10" t="s">
        <v>107</v>
      </c>
      <c r="F42" s="37" t="s">
        <v>108</v>
      </c>
      <c r="G42" s="61">
        <v>0</v>
      </c>
      <c r="H42" s="44">
        <f t="shared" si="6"/>
        <v>0.2424</v>
      </c>
      <c r="I42" s="44">
        <f t="shared" si="12"/>
        <v>0.14752999999999999</v>
      </c>
      <c r="J42" s="44">
        <f t="shared" si="7"/>
        <v>8.0160000000000009E-2</v>
      </c>
      <c r="K42" s="40">
        <f t="shared" si="13"/>
        <v>0</v>
      </c>
      <c r="L42" s="40">
        <f t="shared" si="14"/>
        <v>0</v>
      </c>
      <c r="M42" s="45">
        <f>ROUND(G42*J42,2)</f>
        <v>0</v>
      </c>
      <c r="N42" s="41">
        <f t="shared" si="16"/>
        <v>0</v>
      </c>
      <c r="O42" s="40">
        <v>0.01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7"/>
      <c r="AE42" t="s">
        <v>50</v>
      </c>
      <c r="AH42" s="20">
        <v>0</v>
      </c>
      <c r="AL42" t="s">
        <v>100</v>
      </c>
    </row>
    <row r="43" spans="2:38" ht="12.2" customHeight="1" x14ac:dyDescent="0.2">
      <c r="B43" s="35"/>
      <c r="D43" s="36"/>
      <c r="F43" s="37"/>
      <c r="G43" s="62"/>
      <c r="H43" s="44"/>
      <c r="I43" s="44"/>
      <c r="J43" s="44"/>
      <c r="K43" s="40"/>
      <c r="L43" s="40"/>
      <c r="M43" s="45"/>
      <c r="N43" s="40"/>
      <c r="O43" s="4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7"/>
      <c r="AH43" s="20"/>
    </row>
    <row r="44" spans="2:38" ht="14.25" x14ac:dyDescent="0.2">
      <c r="B44" s="35" t="s">
        <v>105</v>
      </c>
      <c r="C44" s="13" t="s">
        <v>110</v>
      </c>
      <c r="D44" s="36">
        <v>6</v>
      </c>
      <c r="E44" s="10" t="s">
        <v>98</v>
      </c>
      <c r="F44" s="37"/>
      <c r="G44" s="63">
        <f>'[3]Core Billed Therms '!$J$88</f>
        <v>0</v>
      </c>
      <c r="H44" s="44">
        <f t="shared" si="6"/>
        <v>0.2424</v>
      </c>
      <c r="I44" s="44">
        <f>$I$33</f>
        <v>0.14752999999999999</v>
      </c>
      <c r="J44" s="44">
        <f t="shared" si="7"/>
        <v>8.0160000000000009E-2</v>
      </c>
      <c r="K44" s="40">
        <f>ROUND(H44*G44,2)</f>
        <v>0</v>
      </c>
      <c r="L44" s="40">
        <f>ROUND(G44*I44,2)</f>
        <v>0</v>
      </c>
      <c r="M44" s="45">
        <f>ROUND(G44*J44,2)</f>
        <v>0</v>
      </c>
      <c r="N44" s="40">
        <f>SUM(K44:M44)</f>
        <v>0</v>
      </c>
      <c r="O44" s="4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20"/>
      <c r="AE44" t="s">
        <v>50</v>
      </c>
      <c r="AH44" s="20">
        <v>0</v>
      </c>
      <c r="AL44" t="s">
        <v>111</v>
      </c>
    </row>
    <row r="45" spans="2:38" ht="12.2" customHeight="1" x14ac:dyDescent="0.2">
      <c r="B45" s="35"/>
      <c r="D45" s="36"/>
      <c r="G45" s="63"/>
      <c r="J45" s="64"/>
      <c r="K45" s="40"/>
      <c r="L45" s="40"/>
      <c r="M45" s="45"/>
      <c r="N45" s="40"/>
      <c r="O45" s="40"/>
      <c r="AD45" s="20"/>
      <c r="AH45" s="20"/>
    </row>
    <row r="46" spans="2:38" ht="15" x14ac:dyDescent="0.25">
      <c r="B46" s="65"/>
      <c r="D46" s="66"/>
      <c r="E46" s="67"/>
      <c r="F46" s="10" t="s">
        <v>114</v>
      </c>
      <c r="G46" s="68">
        <f>SUM(G9:G45)</f>
        <v>23306037</v>
      </c>
      <c r="H46" s="69" t="s">
        <v>113</v>
      </c>
      <c r="K46" s="70">
        <f>SUM(K9:K45)</f>
        <v>5649383.3700000001</v>
      </c>
      <c r="L46" s="71">
        <f>SUM(L9:L45)</f>
        <v>4038304.69</v>
      </c>
      <c r="M46" s="72">
        <f>SUM(M9:M45)</f>
        <v>1216136.21</v>
      </c>
      <c r="N46" s="73">
        <f>SUM(N9:N45)</f>
        <v>10903824.270000001</v>
      </c>
      <c r="O46" s="74">
        <v>0.03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20"/>
      <c r="AH46" s="20"/>
    </row>
    <row r="47" spans="2:38" ht="14.25" x14ac:dyDescent="0.2">
      <c r="C47" s="2"/>
      <c r="D47" s="66"/>
      <c r="F47" s="10" t="s">
        <v>112</v>
      </c>
      <c r="G47" s="68"/>
      <c r="K47" s="73"/>
      <c r="L47" s="73"/>
      <c r="M47" s="73"/>
      <c r="N47" s="73"/>
      <c r="O47" s="73"/>
      <c r="Q47" s="73">
        <f>-N46</f>
        <v>-10903824.270000001</v>
      </c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2" t="s">
        <v>115</v>
      </c>
      <c r="AE47" t="s">
        <v>50</v>
      </c>
      <c r="AH47" s="20">
        <v>0</v>
      </c>
      <c r="AL47" t="s">
        <v>116</v>
      </c>
    </row>
    <row r="48" spans="2:38" ht="15" x14ac:dyDescent="0.25">
      <c r="F48" s="75" t="s">
        <v>117</v>
      </c>
      <c r="G48" s="76">
        <f>+G46+G47</f>
        <v>23306037</v>
      </c>
      <c r="H48" s="77"/>
      <c r="K48" s="73">
        <f>SUM(K46:K47)</f>
        <v>5649383.3700000001</v>
      </c>
      <c r="L48" s="73">
        <f>SUM(L46:L47)</f>
        <v>4038304.69</v>
      </c>
      <c r="M48" s="73">
        <f>SUM(M46:M47)</f>
        <v>1216136.21</v>
      </c>
      <c r="N48" s="73">
        <f>SUM(N46:N47)</f>
        <v>10903824.270000001</v>
      </c>
      <c r="O48" s="73"/>
      <c r="P48" s="40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F48" s="20"/>
    </row>
    <row r="49" spans="6:15" ht="21.75" customHeight="1" x14ac:dyDescent="0.25">
      <c r="G49" s="79"/>
      <c r="K49" s="73"/>
      <c r="L49" s="80"/>
      <c r="M49" s="73"/>
      <c r="N49" s="73"/>
      <c r="O49" s="73"/>
    </row>
    <row r="50" spans="6:15" ht="21.75" customHeight="1" x14ac:dyDescent="0.2">
      <c r="G50" s="81"/>
      <c r="H50" s="82"/>
      <c r="L50" s="83"/>
      <c r="M50" s="40"/>
      <c r="N50" s="40"/>
      <c r="O50" s="40"/>
    </row>
    <row r="51" spans="6:15" x14ac:dyDescent="0.2">
      <c r="H51" s="82"/>
      <c r="L51" s="85"/>
      <c r="N51" s="80"/>
      <c r="O51" s="80"/>
    </row>
    <row r="52" spans="6:15" x14ac:dyDescent="0.2">
      <c r="F52" s="10" t="s">
        <v>118</v>
      </c>
      <c r="L52" s="86"/>
      <c r="N52" s="87"/>
      <c r="O52" s="87"/>
    </row>
    <row r="53" spans="6:15" x14ac:dyDescent="0.2">
      <c r="L53" s="86"/>
      <c r="M53" s="88"/>
    </row>
    <row r="54" spans="6:15" x14ac:dyDescent="0.2">
      <c r="L54" s="86"/>
      <c r="M54" s="88"/>
      <c r="N54" s="4"/>
      <c r="O54" s="4"/>
    </row>
    <row r="55" spans="6:15" x14ac:dyDescent="0.2">
      <c r="L55" s="86"/>
      <c r="M55" s="88"/>
      <c r="N55" s="89"/>
      <c r="O55" s="89"/>
    </row>
    <row r="56" spans="6:15" x14ac:dyDescent="0.2">
      <c r="L56" s="86"/>
      <c r="M56" s="88"/>
      <c r="N56" s="89"/>
      <c r="O56" s="89"/>
    </row>
    <row r="57" spans="6:15" x14ac:dyDescent="0.2">
      <c r="L57" s="86"/>
      <c r="M57" s="89"/>
      <c r="N57" s="88"/>
      <c r="O57" s="88"/>
    </row>
    <row r="58" spans="6:15" x14ac:dyDescent="0.2">
      <c r="L58" s="90"/>
      <c r="N58" s="91"/>
      <c r="O58" s="91"/>
    </row>
    <row r="59" spans="6:15" x14ac:dyDescent="0.2">
      <c r="L59" s="85"/>
      <c r="N59" s="92"/>
      <c r="O59" s="92"/>
    </row>
    <row r="71" spans="2:38" s="60" customFormat="1" x14ac:dyDescent="0.2">
      <c r="B71" s="2"/>
      <c r="C71" s="13"/>
      <c r="D71" s="10"/>
      <c r="E71" s="10"/>
      <c r="F71" s="10"/>
      <c r="G71" s="84" t="e">
        <f>+G48+#REF!</f>
        <v>#REF!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106" spans="2:29" x14ac:dyDescent="0.2">
      <c r="B106" s="6"/>
      <c r="D106" s="66"/>
    </row>
    <row r="107" spans="2:29" x14ac:dyDescent="0.2">
      <c r="B107" s="6"/>
      <c r="D107" s="66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</row>
    <row r="108" spans="2:29" x14ac:dyDescent="0.2"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</row>
    <row r="109" spans="2:29" x14ac:dyDescent="0.2">
      <c r="D109" s="66"/>
    </row>
    <row r="110" spans="2:29" x14ac:dyDescent="0.2">
      <c r="D110" s="66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67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FF828-2086-4CAB-A628-092BE58B554A}">
  <dimension ref="B1:AG71"/>
  <sheetViews>
    <sheetView showGridLines="0" tabSelected="1" view="pageBreakPreview" zoomScale="80" zoomScaleNormal="70" zoomScaleSheetLayoutView="80" workbookViewId="0">
      <pane xSplit="6" topLeftCell="G1" activePane="topRight" state="frozen"/>
      <selection activeCell="J82" sqref="J82"/>
      <selection pane="topRight" activeCell="J82" sqref="J82"/>
    </sheetView>
  </sheetViews>
  <sheetFormatPr defaultColWidth="9.140625" defaultRowHeight="14.1" customHeight="1" x14ac:dyDescent="0.25"/>
  <cols>
    <col min="1" max="1" width="1.7109375" style="7" customWidth="1"/>
    <col min="2" max="2" width="3.42578125" style="100" customWidth="1"/>
    <col min="3" max="3" width="5.5703125" style="100" customWidth="1"/>
    <col min="4" max="4" width="6.42578125" style="100" customWidth="1"/>
    <col min="5" max="5" width="8.85546875" style="214" customWidth="1"/>
    <col min="6" max="6" width="29.5703125" style="7" customWidth="1"/>
    <col min="7" max="7" width="16.28515625" style="7" customWidth="1"/>
    <col min="8" max="8" width="18.7109375" style="103" customWidth="1"/>
    <col min="9" max="9" width="2.7109375" style="7" customWidth="1"/>
    <col min="10" max="10" width="17.5703125" style="7" customWidth="1"/>
    <col min="11" max="11" width="21.140625" style="103" customWidth="1"/>
    <col min="12" max="12" width="2.7109375" style="7" customWidth="1"/>
    <col min="13" max="13" width="13.42578125" style="7" bestFit="1" customWidth="1"/>
    <col min="14" max="14" width="19.7109375" style="103" customWidth="1"/>
    <col min="15" max="15" width="3" style="7" customWidth="1"/>
    <col min="16" max="16" width="15.85546875" style="110" customWidth="1"/>
    <col min="17" max="17" width="20.85546875" style="110" customWidth="1"/>
    <col min="18" max="18" width="3.7109375" style="110" customWidth="1"/>
    <col min="19" max="19" width="16.5703125" style="110" customWidth="1"/>
    <col min="20" max="20" width="23" style="110" customWidth="1"/>
    <col min="21" max="21" width="3.5703125" style="7" customWidth="1"/>
    <col min="22" max="22" width="9.5703125" style="7" bestFit="1" customWidth="1"/>
    <col min="23" max="23" width="16" style="7" bestFit="1" customWidth="1"/>
    <col min="24" max="24" width="1.7109375" style="7" hidden="1" customWidth="1"/>
    <col min="25" max="25" width="10.85546875" style="7" bestFit="1" customWidth="1"/>
    <col min="26" max="26" width="19.85546875" style="7" customWidth="1"/>
    <col min="27" max="27" width="1.7109375" style="7" hidden="1" customWidth="1"/>
    <col min="28" max="29" width="15.7109375" style="7" hidden="1" customWidth="1"/>
    <col min="30" max="30" width="2.140625" style="7" customWidth="1"/>
    <col min="31" max="31" width="14.85546875" style="7" bestFit="1" customWidth="1"/>
    <col min="32" max="32" width="10.7109375" style="7" bestFit="1" customWidth="1"/>
    <col min="33" max="33" width="13.7109375" style="7" bestFit="1" customWidth="1"/>
    <col min="34" max="16384" width="9.140625" style="7"/>
  </cols>
  <sheetData>
    <row r="1" spans="2:33" ht="17.45" customHeight="1" x14ac:dyDescent="0.25">
      <c r="B1" s="99" t="s">
        <v>121</v>
      </c>
      <c r="D1" s="101"/>
      <c r="E1" s="101"/>
      <c r="F1" s="101"/>
      <c r="G1" s="102"/>
      <c r="I1" s="104"/>
      <c r="K1" s="105"/>
      <c r="O1" s="104"/>
      <c r="P1" s="106"/>
      <c r="Q1" s="107"/>
      <c r="R1" s="106"/>
      <c r="S1" s="106"/>
      <c r="T1" s="106"/>
      <c r="U1" s="104"/>
      <c r="W1" s="344">
        <f>B2-31</f>
        <v>43732</v>
      </c>
      <c r="X1" s="344"/>
      <c r="Y1" s="344"/>
    </row>
    <row r="2" spans="2:33" ht="15" customHeight="1" x14ac:dyDescent="0.25">
      <c r="B2" s="348">
        <v>43763</v>
      </c>
      <c r="C2" s="348"/>
      <c r="D2" s="348"/>
      <c r="E2" s="348"/>
      <c r="G2" s="349" t="s">
        <v>11</v>
      </c>
      <c r="H2" s="349"/>
      <c r="I2" s="104"/>
      <c r="J2" s="350" t="s">
        <v>122</v>
      </c>
      <c r="K2" s="350"/>
      <c r="L2" s="350"/>
      <c r="M2" s="350"/>
      <c r="N2" s="350"/>
      <c r="O2" s="104"/>
      <c r="P2" s="351" t="s">
        <v>123</v>
      </c>
      <c r="Q2" s="351"/>
      <c r="R2" s="351"/>
      <c r="S2" s="351"/>
      <c r="T2" s="351"/>
      <c r="U2" s="104"/>
      <c r="W2" s="352" t="s">
        <v>124</v>
      </c>
      <c r="X2" s="352"/>
      <c r="Y2" s="352"/>
    </row>
    <row r="3" spans="2:33" ht="15" x14ac:dyDescent="0.25">
      <c r="E3" s="108"/>
      <c r="H3" s="109"/>
      <c r="I3" s="104"/>
      <c r="K3" s="105"/>
      <c r="O3" s="104"/>
      <c r="U3" s="111"/>
      <c r="W3" s="344">
        <f>B2</f>
        <v>43763</v>
      </c>
      <c r="X3" s="344"/>
      <c r="Y3" s="344"/>
      <c r="Z3" s="112"/>
      <c r="AB3" s="345" t="s">
        <v>125</v>
      </c>
      <c r="AC3" s="345"/>
      <c r="AD3" s="113"/>
    </row>
    <row r="4" spans="2:33" ht="16.5" customHeight="1" x14ac:dyDescent="0.25">
      <c r="B4" s="114"/>
      <c r="C4" s="114"/>
      <c r="D4" s="114"/>
      <c r="E4" s="115"/>
      <c r="F4" s="116" t="s">
        <v>126</v>
      </c>
      <c r="I4" s="104"/>
      <c r="J4" s="346" t="s">
        <v>127</v>
      </c>
      <c r="K4" s="346"/>
      <c r="L4" s="117"/>
      <c r="M4" s="346" t="s">
        <v>128</v>
      </c>
      <c r="N4" s="346"/>
      <c r="O4" s="118"/>
      <c r="P4" s="347" t="s">
        <v>127</v>
      </c>
      <c r="Q4" s="347"/>
      <c r="R4" s="119"/>
      <c r="S4" s="347" t="s">
        <v>128</v>
      </c>
      <c r="T4" s="347"/>
      <c r="U4" s="118"/>
      <c r="V4" s="346" t="s">
        <v>127</v>
      </c>
      <c r="W4" s="346"/>
      <c r="X4" s="117"/>
      <c r="Y4" s="346" t="s">
        <v>128</v>
      </c>
      <c r="Z4" s="346"/>
      <c r="AB4" s="120" t="s">
        <v>1</v>
      </c>
      <c r="AC4" s="120" t="s">
        <v>7</v>
      </c>
      <c r="AD4" s="120"/>
    </row>
    <row r="5" spans="2:33" s="6" customFormat="1" ht="15.75" customHeight="1" x14ac:dyDescent="0.2">
      <c r="B5" s="343" t="s">
        <v>129</v>
      </c>
      <c r="C5" s="343"/>
      <c r="D5" s="343"/>
      <c r="E5" s="343"/>
      <c r="F5" s="121"/>
      <c r="G5" s="122" t="s">
        <v>34</v>
      </c>
      <c r="H5" s="123" t="s">
        <v>130</v>
      </c>
      <c r="I5" s="104"/>
      <c r="J5" s="124" t="s">
        <v>34</v>
      </c>
      <c r="K5" s="125" t="s">
        <v>130</v>
      </c>
      <c r="L5" s="126"/>
      <c r="M5" s="124" t="s">
        <v>34</v>
      </c>
      <c r="N5" s="125" t="s">
        <v>130</v>
      </c>
      <c r="O5" s="104"/>
      <c r="P5" s="127" t="s">
        <v>34</v>
      </c>
      <c r="Q5" s="128" t="s">
        <v>130</v>
      </c>
      <c r="R5" s="126"/>
      <c r="S5" s="126" t="s">
        <v>34</v>
      </c>
      <c r="T5" s="129" t="s">
        <v>130</v>
      </c>
      <c r="U5" s="104"/>
      <c r="V5" s="124" t="s">
        <v>131</v>
      </c>
      <c r="W5" s="129" t="s">
        <v>130</v>
      </c>
      <c r="X5" s="126"/>
      <c r="Y5" s="130" t="s">
        <v>131</v>
      </c>
      <c r="Z5" s="129" t="s">
        <v>130</v>
      </c>
      <c r="AB5" s="131" t="s">
        <v>130</v>
      </c>
      <c r="AC5" s="131" t="s">
        <v>130</v>
      </c>
      <c r="AD5" s="131"/>
    </row>
    <row r="6" spans="2:33" ht="14.25" customHeight="1" x14ac:dyDescent="0.25">
      <c r="B6" s="132" t="s">
        <v>132</v>
      </c>
      <c r="C6" s="133">
        <v>6011</v>
      </c>
      <c r="D6" s="133">
        <v>28040</v>
      </c>
      <c r="E6" s="134">
        <v>671010</v>
      </c>
      <c r="F6" s="6" t="s">
        <v>133</v>
      </c>
      <c r="G6" s="135" t="s">
        <v>134</v>
      </c>
      <c r="H6" s="136">
        <f>K6+N6</f>
        <v>0</v>
      </c>
      <c r="I6" s="104"/>
      <c r="J6" s="137"/>
      <c r="K6" s="138">
        <f>+Q6+W6</f>
        <v>0</v>
      </c>
      <c r="L6" s="139" t="s">
        <v>135</v>
      </c>
      <c r="M6" s="137"/>
      <c r="N6" s="138">
        <f>+T6+Z6</f>
        <v>0</v>
      </c>
      <c r="O6" s="104" t="s">
        <v>135</v>
      </c>
      <c r="P6" s="137"/>
      <c r="Q6" s="140"/>
      <c r="R6" s="6"/>
      <c r="S6" s="137"/>
      <c r="T6" s="140"/>
      <c r="U6" s="104"/>
      <c r="V6" s="141"/>
      <c r="W6" s="140"/>
      <c r="Y6" s="102"/>
      <c r="Z6" s="140"/>
      <c r="AE6" s="142">
        <v>671010</v>
      </c>
    </row>
    <row r="7" spans="2:33" ht="14.25" customHeight="1" x14ac:dyDescent="0.25">
      <c r="B7" s="132" t="s">
        <v>132</v>
      </c>
      <c r="C7" s="133">
        <v>6011</v>
      </c>
      <c r="D7" s="133">
        <v>28040</v>
      </c>
      <c r="E7" s="134">
        <v>671030</v>
      </c>
      <c r="F7" s="6" t="s">
        <v>136</v>
      </c>
      <c r="G7" s="135" t="s">
        <v>134</v>
      </c>
      <c r="H7" s="136">
        <f t="shared" ref="H7:H13" si="0">+K7+N7</f>
        <v>410861.69</v>
      </c>
      <c r="I7" s="104"/>
      <c r="J7" s="137"/>
      <c r="K7" s="138">
        <f>+Q7+W7</f>
        <v>250224.89</v>
      </c>
      <c r="L7" s="139" t="s">
        <v>135</v>
      </c>
      <c r="M7" s="137"/>
      <c r="N7" s="138">
        <f>+T7+Z7</f>
        <v>160636.79999999999</v>
      </c>
      <c r="O7" s="104" t="s">
        <v>135</v>
      </c>
      <c r="P7" s="143"/>
      <c r="Q7" s="144">
        <v>248275.22</v>
      </c>
      <c r="R7" s="6"/>
      <c r="S7" s="143"/>
      <c r="T7" s="144">
        <v>161398.01999999999</v>
      </c>
      <c r="U7" s="104"/>
      <c r="V7" s="141"/>
      <c r="W7" s="144">
        <v>1949.67</v>
      </c>
      <c r="X7" s="110"/>
      <c r="Y7" s="145"/>
      <c r="Z7" s="144">
        <v>-761.22</v>
      </c>
      <c r="AE7" s="142">
        <v>671030</v>
      </c>
    </row>
    <row r="8" spans="2:33" ht="14.25" customHeight="1" x14ac:dyDescent="0.25">
      <c r="B8" s="132" t="s">
        <v>132</v>
      </c>
      <c r="C8" s="133">
        <v>6011</v>
      </c>
      <c r="D8" s="133">
        <v>28040</v>
      </c>
      <c r="E8" s="134">
        <v>671050</v>
      </c>
      <c r="F8" s="6" t="s">
        <v>137</v>
      </c>
      <c r="G8" s="146">
        <f t="shared" ref="G8:G14" si="1">+J8+M8</f>
        <v>32593290</v>
      </c>
      <c r="H8" s="136">
        <f t="shared" si="0"/>
        <v>9089501.1700000018</v>
      </c>
      <c r="I8" s="104"/>
      <c r="J8" s="147">
        <f>+P8+V8</f>
        <v>23573597</v>
      </c>
      <c r="K8" s="148">
        <f>+Q8+W8</f>
        <v>6862038.6300000008</v>
      </c>
      <c r="L8" s="139" t="s">
        <v>138</v>
      </c>
      <c r="M8" s="6">
        <f>+S8+Y8</f>
        <v>9019693</v>
      </c>
      <c r="N8" s="149">
        <f>+T8+Z8</f>
        <v>2227462.54</v>
      </c>
      <c r="O8" s="104" t="s">
        <v>138</v>
      </c>
      <c r="P8" s="150">
        <v>23573597</v>
      </c>
      <c r="Q8" s="151">
        <f>6844761.94+507.5+4785+12000</f>
        <v>6862054.4400000004</v>
      </c>
      <c r="R8" s="6"/>
      <c r="S8" s="150">
        <v>9019693</v>
      </c>
      <c r="T8" s="151">
        <v>2227448.73</v>
      </c>
      <c r="U8" s="104"/>
      <c r="V8" s="152"/>
      <c r="W8" s="151">
        <v>-15.81</v>
      </c>
      <c r="X8" s="110"/>
      <c r="Y8" s="153"/>
      <c r="Z8" s="151">
        <v>13.81</v>
      </c>
      <c r="AB8" s="154">
        <v>0</v>
      </c>
      <c r="AC8" s="154">
        <v>0</v>
      </c>
      <c r="AE8" s="155">
        <v>671050</v>
      </c>
    </row>
    <row r="9" spans="2:33" ht="14.25" customHeight="1" x14ac:dyDescent="0.25">
      <c r="B9" s="132" t="s">
        <v>132</v>
      </c>
      <c r="C9" s="133">
        <v>6011</v>
      </c>
      <c r="D9" s="133">
        <v>28040</v>
      </c>
      <c r="E9" s="134">
        <v>671051</v>
      </c>
      <c r="F9" s="6" t="s">
        <v>139</v>
      </c>
      <c r="G9" s="135" t="s">
        <v>134</v>
      </c>
      <c r="H9" s="136">
        <f t="shared" si="0"/>
        <v>0</v>
      </c>
      <c r="I9" s="104"/>
      <c r="J9" s="156"/>
      <c r="K9" s="149">
        <f t="shared" ref="J9:K14" si="2">+Q9+W9</f>
        <v>0</v>
      </c>
      <c r="L9" s="139" t="s">
        <v>138</v>
      </c>
      <c r="M9" s="157"/>
      <c r="N9" s="149">
        <f>+T9+Z9</f>
        <v>0</v>
      </c>
      <c r="O9" s="104" t="s">
        <v>138</v>
      </c>
      <c r="P9" s="143"/>
      <c r="Q9" s="151"/>
      <c r="R9" s="6"/>
      <c r="S9" s="143"/>
      <c r="T9" s="151"/>
      <c r="U9" s="104"/>
      <c r="V9" s="158"/>
      <c r="W9" s="151"/>
      <c r="X9" s="145"/>
      <c r="Y9" s="159"/>
      <c r="Z9" s="151"/>
      <c r="AE9" s="155">
        <v>671051</v>
      </c>
    </row>
    <row r="10" spans="2:33" ht="14.25" customHeight="1" x14ac:dyDescent="0.25">
      <c r="B10" s="132" t="s">
        <v>132</v>
      </c>
      <c r="C10" s="133">
        <v>6011</v>
      </c>
      <c r="D10" s="133">
        <v>28040</v>
      </c>
      <c r="E10" s="134">
        <v>671070</v>
      </c>
      <c r="F10" s="6" t="s">
        <v>140</v>
      </c>
      <c r="G10" s="146">
        <f t="shared" si="1"/>
        <v>218430</v>
      </c>
      <c r="H10" s="136">
        <f>+K10+N10</f>
        <v>214751.18999999997</v>
      </c>
      <c r="I10" s="104"/>
      <c r="J10" s="147">
        <f t="shared" si="2"/>
        <v>106956</v>
      </c>
      <c r="K10" s="149">
        <f t="shared" si="2"/>
        <v>145280.62999999998</v>
      </c>
      <c r="L10" s="139" t="s">
        <v>138</v>
      </c>
      <c r="M10" s="6">
        <f>+S10+Y10</f>
        <v>111474</v>
      </c>
      <c r="N10" s="149">
        <f>+T10+Z10</f>
        <v>69470.559999999998</v>
      </c>
      <c r="O10" s="160" t="s">
        <v>138</v>
      </c>
      <c r="P10" s="150">
        <f>1356250-1249294</f>
        <v>106956</v>
      </c>
      <c r="Q10" s="161">
        <f>374882.36-229601.73</f>
        <v>145280.62999999998</v>
      </c>
      <c r="R10" s="6"/>
      <c r="S10" s="150">
        <f>528830-417356</f>
        <v>111474</v>
      </c>
      <c r="T10" s="151">
        <f>146174.41-76703.85</f>
        <v>69470.559999999998</v>
      </c>
      <c r="U10" s="104"/>
      <c r="V10" s="158"/>
      <c r="W10" s="151"/>
      <c r="X10" s="145">
        <v>0</v>
      </c>
      <c r="Y10" s="159"/>
      <c r="Z10" s="151"/>
      <c r="AE10" s="155">
        <v>671070</v>
      </c>
    </row>
    <row r="11" spans="2:33" ht="14.25" customHeight="1" x14ac:dyDescent="0.25">
      <c r="B11" s="162" t="s">
        <v>132</v>
      </c>
      <c r="C11" s="163">
        <v>6011</v>
      </c>
      <c r="D11" s="163">
        <v>28081</v>
      </c>
      <c r="E11" s="164">
        <v>671050</v>
      </c>
      <c r="F11" s="165" t="s">
        <v>141</v>
      </c>
      <c r="G11" s="146">
        <f t="shared" si="1"/>
        <v>1087240</v>
      </c>
      <c r="H11" s="136">
        <f t="shared" si="0"/>
        <v>560104.47</v>
      </c>
      <c r="I11" s="104"/>
      <c r="J11" s="147">
        <f t="shared" si="2"/>
        <v>955140</v>
      </c>
      <c r="K11" s="149">
        <f t="shared" si="2"/>
        <v>492051.78</v>
      </c>
      <c r="L11" s="139" t="s">
        <v>138</v>
      </c>
      <c r="M11" s="6">
        <f t="shared" ref="M11:N14" si="3">+S11+Y11</f>
        <v>132100</v>
      </c>
      <c r="N11" s="149">
        <f t="shared" si="3"/>
        <v>68052.69</v>
      </c>
      <c r="O11" s="104" t="s">
        <v>138</v>
      </c>
      <c r="P11" s="150">
        <v>955140</v>
      </c>
      <c r="Q11" s="166">
        <v>492051.78</v>
      </c>
      <c r="R11" s="167">
        <v>-1</v>
      </c>
      <c r="S11" s="150">
        <v>132100</v>
      </c>
      <c r="T11" s="166">
        <v>68052.69</v>
      </c>
      <c r="U11" s="168">
        <v>-4</v>
      </c>
      <c r="V11" s="158"/>
      <c r="W11" s="151"/>
      <c r="X11" s="145"/>
      <c r="Y11" s="159"/>
      <c r="Z11" s="151"/>
      <c r="AE11" s="164">
        <v>671050</v>
      </c>
      <c r="AF11" s="110"/>
    </row>
    <row r="12" spans="2:33" ht="14.25" customHeight="1" x14ac:dyDescent="0.25">
      <c r="B12" s="162" t="s">
        <v>132</v>
      </c>
      <c r="C12" s="163">
        <v>6011</v>
      </c>
      <c r="D12" s="163">
        <v>28082</v>
      </c>
      <c r="E12" s="164">
        <v>671050</v>
      </c>
      <c r="F12" s="165" t="s">
        <v>142</v>
      </c>
      <c r="G12" s="146">
        <f t="shared" si="1"/>
        <v>-868370</v>
      </c>
      <c r="H12" s="136">
        <f t="shared" si="0"/>
        <v>-315598.77</v>
      </c>
      <c r="I12" s="104"/>
      <c r="J12" s="147">
        <f t="shared" si="2"/>
        <v>-868370</v>
      </c>
      <c r="K12" s="149">
        <f t="shared" si="2"/>
        <v>-315598.77</v>
      </c>
      <c r="L12" s="139" t="s">
        <v>138</v>
      </c>
      <c r="M12" s="84">
        <f t="shared" si="3"/>
        <v>0</v>
      </c>
      <c r="N12" s="149">
        <f t="shared" si="3"/>
        <v>0</v>
      </c>
      <c r="O12" s="104" t="s">
        <v>138</v>
      </c>
      <c r="P12" s="150">
        <v>-868370</v>
      </c>
      <c r="Q12" s="166">
        <v>-315598.77</v>
      </c>
      <c r="R12" s="167">
        <v>-2</v>
      </c>
      <c r="S12" s="169"/>
      <c r="T12" s="166"/>
      <c r="U12" s="168"/>
      <c r="V12" s="152"/>
      <c r="W12" s="151"/>
      <c r="X12" s="145"/>
      <c r="Y12" s="159"/>
      <c r="Z12" s="151"/>
      <c r="AE12" s="164">
        <v>671050</v>
      </c>
      <c r="AF12" s="110"/>
      <c r="AG12" s="150"/>
    </row>
    <row r="13" spans="2:33" ht="14.25" customHeight="1" x14ac:dyDescent="0.25">
      <c r="B13" s="162" t="s">
        <v>132</v>
      </c>
      <c r="C13" s="163">
        <v>6011</v>
      </c>
      <c r="D13" s="163">
        <v>28120</v>
      </c>
      <c r="E13" s="164">
        <v>671070</v>
      </c>
      <c r="F13" s="165" t="s">
        <v>143</v>
      </c>
      <c r="G13" s="146">
        <f t="shared" si="1"/>
        <v>-41421</v>
      </c>
      <c r="H13" s="136">
        <f t="shared" si="0"/>
        <v>-9592.9500000000007</v>
      </c>
      <c r="I13" s="104"/>
      <c r="J13" s="147">
        <f t="shared" si="2"/>
        <v>-33212</v>
      </c>
      <c r="K13" s="149">
        <f>+Q13+W13</f>
        <v>-8050.63</v>
      </c>
      <c r="L13" s="139" t="s">
        <v>138</v>
      </c>
      <c r="M13" s="6">
        <f t="shared" si="3"/>
        <v>-8209</v>
      </c>
      <c r="N13" s="149">
        <f t="shared" si="3"/>
        <v>-1542.32</v>
      </c>
      <c r="O13" s="104" t="s">
        <v>138</v>
      </c>
      <c r="P13" s="150">
        <v>-33212</v>
      </c>
      <c r="Q13" s="166">
        <v>-8050.63</v>
      </c>
      <c r="R13" s="167">
        <v>-3</v>
      </c>
      <c r="S13" s="170">
        <v>-8209</v>
      </c>
      <c r="T13" s="166">
        <v>-1542.32</v>
      </c>
      <c r="U13" s="168">
        <v>-5</v>
      </c>
      <c r="V13" s="158"/>
      <c r="W13" s="151"/>
      <c r="X13" s="145"/>
      <c r="Y13" s="159">
        <v>0</v>
      </c>
      <c r="Z13" s="151"/>
      <c r="AE13" s="164">
        <v>671070</v>
      </c>
    </row>
    <row r="14" spans="2:33" ht="14.25" customHeight="1" x14ac:dyDescent="0.25">
      <c r="B14" s="132" t="s">
        <v>132</v>
      </c>
      <c r="C14" s="133">
        <v>6011</v>
      </c>
      <c r="D14" s="133">
        <v>28040</v>
      </c>
      <c r="E14" s="134">
        <v>671100</v>
      </c>
      <c r="F14" s="6" t="s">
        <v>144</v>
      </c>
      <c r="G14" s="146">
        <f t="shared" si="1"/>
        <v>0</v>
      </c>
      <c r="H14" s="136">
        <f>+K14+N14</f>
        <v>0</v>
      </c>
      <c r="I14" s="104"/>
      <c r="J14" s="147">
        <f>+P14+V14</f>
        <v>0</v>
      </c>
      <c r="K14" s="149">
        <f t="shared" si="2"/>
        <v>0</v>
      </c>
      <c r="L14" s="139" t="s">
        <v>138</v>
      </c>
      <c r="M14" s="171">
        <f t="shared" si="3"/>
        <v>0</v>
      </c>
      <c r="N14" s="172">
        <f t="shared" si="3"/>
        <v>0</v>
      </c>
      <c r="O14" s="104" t="s">
        <v>138</v>
      </c>
      <c r="P14" s="173"/>
      <c r="Q14" s="174"/>
      <c r="R14" s="6"/>
      <c r="S14" s="173"/>
      <c r="T14" s="175"/>
      <c r="U14" s="104"/>
      <c r="V14" s="158"/>
      <c r="W14" s="151"/>
      <c r="X14" s="145"/>
      <c r="Y14" s="159"/>
      <c r="Z14" s="176"/>
      <c r="AE14" s="155">
        <v>671100</v>
      </c>
    </row>
    <row r="15" spans="2:33" ht="14.25" customHeight="1" x14ac:dyDescent="0.25">
      <c r="B15" s="132"/>
      <c r="C15" s="177"/>
      <c r="D15" s="177"/>
      <c r="E15" s="178"/>
      <c r="F15" s="179" t="s">
        <v>145</v>
      </c>
      <c r="G15" s="180">
        <f>SUM(G6:G14)</f>
        <v>32989169</v>
      </c>
      <c r="H15" s="181">
        <f>SUM(H6:H14)</f>
        <v>9950026.8000000026</v>
      </c>
      <c r="I15" s="104"/>
      <c r="J15" s="182">
        <f>SUM(J6:J14)</f>
        <v>23734111</v>
      </c>
      <c r="K15" s="94">
        <f>SUM(K6:K14)</f>
        <v>7425946.5300000003</v>
      </c>
      <c r="L15" s="139"/>
      <c r="M15" s="6">
        <f>SUM(M6:M14)</f>
        <v>9255058</v>
      </c>
      <c r="N15" s="96">
        <f>SUM(N6:N14)</f>
        <v>2524080.27</v>
      </c>
      <c r="O15" s="104"/>
      <c r="P15" s="6">
        <f>SUM(P6:P14)</f>
        <v>23734111</v>
      </c>
      <c r="Q15" s="183">
        <f>SUM(Q6:Q14)</f>
        <v>7424012.6700000009</v>
      </c>
      <c r="R15" s="6"/>
      <c r="S15" s="6">
        <f>SUM(S6:S14)</f>
        <v>9255058</v>
      </c>
      <c r="T15" s="183">
        <f>SUM(T6:T14)</f>
        <v>2524827.6800000002</v>
      </c>
      <c r="U15" s="104"/>
      <c r="V15" s="184">
        <f>+SUM(V6:V14)</f>
        <v>0</v>
      </c>
      <c r="W15" s="185">
        <f>SUM(W6:W14)</f>
        <v>1933.8600000000001</v>
      </c>
      <c r="X15" s="145"/>
      <c r="Y15" s="186">
        <f>SUM(Y6:Y14)</f>
        <v>0</v>
      </c>
      <c r="Z15" s="185">
        <f>SUM(Z6:Z14)</f>
        <v>-747.41000000000008</v>
      </c>
      <c r="AB15" s="187">
        <f>SUM(AB6:AB14)</f>
        <v>0</v>
      </c>
      <c r="AC15" s="187">
        <f>SUM(AC6:AC14)</f>
        <v>0</v>
      </c>
      <c r="AD15" s="187"/>
      <c r="AE15" s="178"/>
    </row>
    <row r="16" spans="2:33" ht="14.25" customHeight="1" x14ac:dyDescent="0.25">
      <c r="B16" s="132"/>
      <c r="C16" s="177"/>
      <c r="D16" s="177"/>
      <c r="E16" s="178"/>
      <c r="G16" s="180"/>
      <c r="H16" s="188"/>
      <c r="I16" s="104"/>
      <c r="J16" s="180"/>
      <c r="K16" s="188"/>
      <c r="L16" s="189"/>
      <c r="M16" s="180"/>
      <c r="N16" s="190"/>
      <c r="O16" s="104"/>
      <c r="P16" s="182"/>
      <c r="Q16" s="4"/>
      <c r="R16" s="6"/>
      <c r="S16" s="182"/>
      <c r="T16" s="4"/>
      <c r="U16" s="104"/>
      <c r="V16" s="191"/>
      <c r="W16" s="93"/>
      <c r="X16" s="145"/>
      <c r="Y16" s="145"/>
      <c r="Z16" s="93"/>
      <c r="AE16" s="178"/>
    </row>
    <row r="17" spans="2:33" ht="14.25" customHeight="1" x14ac:dyDescent="0.25">
      <c r="B17" s="132" t="s">
        <v>132</v>
      </c>
      <c r="C17" s="133">
        <v>6011</v>
      </c>
      <c r="D17" s="133">
        <v>28040</v>
      </c>
      <c r="E17" s="134">
        <v>672010</v>
      </c>
      <c r="F17" s="6" t="s">
        <v>146</v>
      </c>
      <c r="G17" s="135"/>
      <c r="H17" s="136">
        <f>K17+N17</f>
        <v>4759607.55</v>
      </c>
      <c r="I17" s="104"/>
      <c r="J17" s="192"/>
      <c r="K17" s="138">
        <f>+Q17+W17</f>
        <v>3905361.84</v>
      </c>
      <c r="L17" s="139" t="s">
        <v>135</v>
      </c>
      <c r="M17" s="137"/>
      <c r="N17" s="138">
        <f>+T17+Z17</f>
        <v>854245.71</v>
      </c>
      <c r="O17" s="104" t="s">
        <v>135</v>
      </c>
      <c r="P17" s="137"/>
      <c r="Q17" s="144">
        <f>91693.04+3813668.8</f>
        <v>3905361.84</v>
      </c>
      <c r="R17" s="6"/>
      <c r="S17" s="137"/>
      <c r="T17" s="144">
        <f>218224.34+636021.37</f>
        <v>854245.71</v>
      </c>
      <c r="U17" s="104"/>
      <c r="V17" s="193"/>
      <c r="W17" s="144"/>
      <c r="X17" s="145"/>
      <c r="Y17" s="194"/>
      <c r="Z17" s="195"/>
      <c r="AE17" s="142">
        <v>672010</v>
      </c>
    </row>
    <row r="18" spans="2:33" ht="14.25" customHeight="1" x14ac:dyDescent="0.25">
      <c r="B18" s="132" t="s">
        <v>132</v>
      </c>
      <c r="C18" s="133">
        <v>6011</v>
      </c>
      <c r="D18" s="133">
        <v>28040</v>
      </c>
      <c r="E18" s="134">
        <v>672020</v>
      </c>
      <c r="F18" s="6" t="s">
        <v>147</v>
      </c>
      <c r="G18" s="135"/>
      <c r="H18" s="136">
        <f>K18+N18</f>
        <v>242157</v>
      </c>
      <c r="I18" s="104"/>
      <c r="J18" s="192"/>
      <c r="K18" s="149">
        <f>+Q18+W18</f>
        <v>213545.59</v>
      </c>
      <c r="L18" s="139" t="s">
        <v>138</v>
      </c>
      <c r="M18" s="137"/>
      <c r="N18" s="149">
        <f>+T18+Z18</f>
        <v>28611.41</v>
      </c>
      <c r="O18" s="104" t="s">
        <v>138</v>
      </c>
      <c r="P18" s="137"/>
      <c r="Q18" s="151">
        <v>210957.82</v>
      </c>
      <c r="R18" s="6"/>
      <c r="S18" s="7"/>
      <c r="T18" s="151">
        <v>29867.18</v>
      </c>
      <c r="U18" s="104"/>
      <c r="V18" s="193"/>
      <c r="W18" s="151">
        <v>2587.77</v>
      </c>
      <c r="X18" s="145"/>
      <c r="Y18" s="194"/>
      <c r="Z18" s="151">
        <v>-1255.77</v>
      </c>
      <c r="AE18" s="155">
        <v>672020</v>
      </c>
      <c r="AF18" s="196"/>
    </row>
    <row r="19" spans="2:33" ht="14.25" customHeight="1" x14ac:dyDescent="0.25">
      <c r="B19" s="132" t="s">
        <v>132</v>
      </c>
      <c r="C19" s="133">
        <v>6011</v>
      </c>
      <c r="D19" s="133">
        <v>28040</v>
      </c>
      <c r="E19" s="134">
        <v>672030</v>
      </c>
      <c r="F19" s="6" t="s">
        <v>148</v>
      </c>
      <c r="G19" s="135"/>
      <c r="H19" s="136">
        <f>K19+N19</f>
        <v>0</v>
      </c>
      <c r="I19" s="104"/>
      <c r="J19" s="192"/>
      <c r="K19" s="138">
        <f>+Q19+W19</f>
        <v>0</v>
      </c>
      <c r="L19" s="139" t="s">
        <v>135</v>
      </c>
      <c r="M19" s="137"/>
      <c r="N19" s="138">
        <f>+T19+Z19</f>
        <v>0</v>
      </c>
      <c r="O19" s="104" t="s">
        <v>135</v>
      </c>
      <c r="P19" s="137"/>
      <c r="Q19" s="144"/>
      <c r="R19" s="6"/>
      <c r="S19" s="137"/>
      <c r="T19" s="144"/>
      <c r="U19" s="104"/>
      <c r="V19" s="193"/>
      <c r="W19" s="144"/>
      <c r="X19" s="145"/>
      <c r="Y19" s="194"/>
      <c r="Z19" s="144"/>
      <c r="AE19" s="142">
        <v>672030</v>
      </c>
      <c r="AF19" s="196"/>
    </row>
    <row r="20" spans="2:33" ht="14.25" customHeight="1" x14ac:dyDescent="0.25">
      <c r="B20" s="132" t="s">
        <v>132</v>
      </c>
      <c r="C20" s="133">
        <v>6011</v>
      </c>
      <c r="D20" s="133">
        <v>28040</v>
      </c>
      <c r="E20" s="134">
        <v>672040</v>
      </c>
      <c r="F20" s="6" t="s">
        <v>149</v>
      </c>
      <c r="G20" s="135"/>
      <c r="H20" s="136">
        <f>K20+N20</f>
        <v>344087.17000000004</v>
      </c>
      <c r="I20" s="104"/>
      <c r="J20" s="192"/>
      <c r="K20" s="138">
        <f>+Q20+W20</f>
        <v>302280.58</v>
      </c>
      <c r="L20" s="139" t="s">
        <v>135</v>
      </c>
      <c r="M20" s="137"/>
      <c r="N20" s="138">
        <f>+T20+Z20</f>
        <v>41806.589999999997</v>
      </c>
      <c r="O20" s="104" t="s">
        <v>135</v>
      </c>
      <c r="P20" s="137"/>
      <c r="Q20" s="144">
        <v>302280.58</v>
      </c>
      <c r="R20" s="6"/>
      <c r="S20" s="137"/>
      <c r="T20" s="144">
        <v>41806.589999999997</v>
      </c>
      <c r="U20" s="104"/>
      <c r="V20" s="193"/>
      <c r="W20" s="144"/>
      <c r="X20" s="145"/>
      <c r="Y20" s="194"/>
      <c r="Z20" s="144"/>
      <c r="AD20" s="7">
        <v>-64.13</v>
      </c>
      <c r="AE20" s="142">
        <v>672040</v>
      </c>
      <c r="AF20" s="196"/>
      <c r="AG20" s="196"/>
    </row>
    <row r="21" spans="2:33" ht="14.25" customHeight="1" x14ac:dyDescent="0.25">
      <c r="B21" s="132" t="s">
        <v>132</v>
      </c>
      <c r="C21" s="133">
        <v>6011</v>
      </c>
      <c r="D21" s="133">
        <v>28040</v>
      </c>
      <c r="E21" s="134">
        <v>672050</v>
      </c>
      <c r="F21" s="6" t="s">
        <v>150</v>
      </c>
      <c r="G21" s="135"/>
      <c r="H21" s="136">
        <f>K21+N21</f>
        <v>-1217641.05</v>
      </c>
      <c r="I21" s="104"/>
      <c r="J21" s="197"/>
      <c r="K21" s="138">
        <f>+Q21+W21</f>
        <v>-1069587.47</v>
      </c>
      <c r="L21" s="139" t="s">
        <v>135</v>
      </c>
      <c r="M21" s="137"/>
      <c r="N21" s="198">
        <f>+T21+Z21</f>
        <v>-148053.58000000002</v>
      </c>
      <c r="O21" s="104" t="s">
        <v>135</v>
      </c>
      <c r="P21" s="137"/>
      <c r="Q21" s="144">
        <f>+-79.7-1069507.24</f>
        <v>-1069586.94</v>
      </c>
      <c r="R21" s="199"/>
      <c r="S21" s="200"/>
      <c r="T21" s="201">
        <f>+-94.95-147959.16</f>
        <v>-148054.11000000002</v>
      </c>
      <c r="U21" s="104"/>
      <c r="V21" s="193"/>
      <c r="W21" s="144">
        <v>-0.53</v>
      </c>
      <c r="X21" s="145"/>
      <c r="Y21" s="194"/>
      <c r="Z21" s="144">
        <v>0.53</v>
      </c>
      <c r="AE21" s="142">
        <v>672050</v>
      </c>
      <c r="AF21" s="196"/>
      <c r="AG21" s="196"/>
    </row>
    <row r="22" spans="2:33" ht="14.25" customHeight="1" x14ac:dyDescent="0.25">
      <c r="B22" s="132"/>
      <c r="C22" s="177"/>
      <c r="D22" s="177"/>
      <c r="E22" s="178"/>
      <c r="F22" s="182" t="s">
        <v>151</v>
      </c>
      <c r="G22" s="202"/>
      <c r="H22" s="203">
        <f>SUM(H17:H21)</f>
        <v>4128210.67</v>
      </c>
      <c r="I22" s="104"/>
      <c r="J22" s="204"/>
      <c r="K22" s="96">
        <f>SUM(K17:K21)</f>
        <v>3351600.54</v>
      </c>
      <c r="L22" s="139"/>
      <c r="M22" s="205"/>
      <c r="N22" s="96">
        <f>SUM(N17:N21)</f>
        <v>776610.12999999989</v>
      </c>
      <c r="O22" s="104"/>
      <c r="P22" s="182"/>
      <c r="Q22" s="185">
        <f>SUM(Q17:Q21)</f>
        <v>3349013.2999999993</v>
      </c>
      <c r="R22" s="139"/>
      <c r="S22" s="95"/>
      <c r="T22" s="185">
        <f>SUM(T17:T21)</f>
        <v>777865.37</v>
      </c>
      <c r="U22" s="104"/>
      <c r="V22" s="206"/>
      <c r="W22" s="207">
        <f>SUM(W17:W21)</f>
        <v>2587.2399999999998</v>
      </c>
      <c r="X22" s="102"/>
      <c r="Y22" s="141"/>
      <c r="Z22" s="183">
        <f>SUM(Z17:Z21)</f>
        <v>-1255.24</v>
      </c>
      <c r="AB22" s="187">
        <f>SUM(AB17:AB21)</f>
        <v>0</v>
      </c>
      <c r="AC22" s="187">
        <f>SUM(AC17:AC21)</f>
        <v>0</v>
      </c>
      <c r="AD22" s="187"/>
      <c r="AE22" s="178"/>
    </row>
    <row r="23" spans="2:33" ht="14.25" customHeight="1" x14ac:dyDescent="0.25">
      <c r="B23" s="132"/>
      <c r="C23" s="177"/>
      <c r="D23" s="177"/>
      <c r="E23" s="178"/>
      <c r="F23" s="208"/>
      <c r="G23" s="146"/>
      <c r="H23" s="188"/>
      <c r="I23" s="104"/>
      <c r="J23" s="192"/>
      <c r="K23" s="190"/>
      <c r="L23" s="189"/>
      <c r="M23" s="209"/>
      <c r="N23" s="190"/>
      <c r="O23" s="104"/>
      <c r="P23" s="182"/>
      <c r="Q23" s="93"/>
      <c r="R23" s="6"/>
      <c r="S23" s="6"/>
      <c r="T23" s="93"/>
      <c r="U23" s="104"/>
      <c r="V23" s="193"/>
      <c r="W23" s="94"/>
      <c r="X23" s="102"/>
      <c r="Y23" s="141"/>
      <c r="Z23" s="4"/>
      <c r="AE23" s="178"/>
    </row>
    <row r="24" spans="2:33" ht="14.25" customHeight="1" x14ac:dyDescent="0.25">
      <c r="B24" s="132" t="s">
        <v>132</v>
      </c>
      <c r="C24" s="133">
        <v>6011</v>
      </c>
      <c r="D24" s="133">
        <v>28040</v>
      </c>
      <c r="E24" s="134">
        <v>673020</v>
      </c>
      <c r="F24" s="6" t="s">
        <v>152</v>
      </c>
      <c r="G24" s="135"/>
      <c r="H24" s="136">
        <f>K24+N24</f>
        <v>65969.37</v>
      </c>
      <c r="I24" s="104"/>
      <c r="J24" s="192"/>
      <c r="K24" s="138">
        <f t="shared" ref="K24:K37" si="4">+Q24+W24</f>
        <v>57954.09</v>
      </c>
      <c r="L24" s="139" t="s">
        <v>135</v>
      </c>
      <c r="M24" s="137"/>
      <c r="N24" s="138">
        <f t="shared" ref="N24:N33" si="5">+T24+Z24</f>
        <v>8015.28</v>
      </c>
      <c r="O24" s="104" t="s">
        <v>135</v>
      </c>
      <c r="P24" s="137"/>
      <c r="Q24" s="144">
        <v>57954.09</v>
      </c>
      <c r="R24" s="6"/>
      <c r="S24" s="137"/>
      <c r="T24" s="144">
        <v>8015.28</v>
      </c>
      <c r="U24" s="104"/>
      <c r="V24" s="193"/>
      <c r="W24" s="140"/>
      <c r="X24" s="210"/>
      <c r="Y24" s="210"/>
      <c r="Z24" s="140"/>
      <c r="AE24" s="142">
        <v>673020</v>
      </c>
    </row>
    <row r="25" spans="2:33" ht="14.25" customHeight="1" x14ac:dyDescent="0.25">
      <c r="B25" s="132" t="s">
        <v>132</v>
      </c>
      <c r="C25" s="133">
        <v>6011</v>
      </c>
      <c r="D25" s="133">
        <v>28040</v>
      </c>
      <c r="E25" s="134">
        <v>673030</v>
      </c>
      <c r="F25" s="6" t="s">
        <v>153</v>
      </c>
      <c r="G25" s="135"/>
      <c r="H25" s="136">
        <f t="shared" ref="H25:H37" si="6">K25+N25</f>
        <v>67948.34</v>
      </c>
      <c r="I25" s="104"/>
      <c r="J25" s="192"/>
      <c r="K25" s="138">
        <f t="shared" si="4"/>
        <v>61282.61</v>
      </c>
      <c r="L25" s="139" t="s">
        <v>135</v>
      </c>
      <c r="M25" s="137"/>
      <c r="N25" s="138">
        <f t="shared" si="5"/>
        <v>6665.73</v>
      </c>
      <c r="O25" s="104" t="s">
        <v>135</v>
      </c>
      <c r="P25" s="137"/>
      <c r="Q25" s="144">
        <v>61282.61</v>
      </c>
      <c r="R25" s="6"/>
      <c r="S25" s="137"/>
      <c r="T25" s="144">
        <v>6665.73</v>
      </c>
      <c r="U25" s="104"/>
      <c r="V25" s="193"/>
      <c r="W25" s="140"/>
      <c r="X25" s="210"/>
      <c r="Y25" s="210"/>
      <c r="Z25" s="140"/>
      <c r="AE25" s="142">
        <v>673030</v>
      </c>
    </row>
    <row r="26" spans="2:33" ht="14.25" customHeight="1" x14ac:dyDescent="0.25">
      <c r="B26" s="132" t="s">
        <v>132</v>
      </c>
      <c r="C26" s="133">
        <v>6011</v>
      </c>
      <c r="D26" s="133">
        <v>28040</v>
      </c>
      <c r="E26" s="134">
        <v>673040</v>
      </c>
      <c r="F26" s="6" t="s">
        <v>154</v>
      </c>
      <c r="G26" s="135"/>
      <c r="H26" s="136">
        <f t="shared" si="6"/>
        <v>0</v>
      </c>
      <c r="I26" s="104"/>
      <c r="J26" s="192"/>
      <c r="K26" s="149">
        <f t="shared" si="4"/>
        <v>0</v>
      </c>
      <c r="L26" s="139" t="s">
        <v>138</v>
      </c>
      <c r="M26" s="137"/>
      <c r="N26" s="149">
        <f>+T26+Z26</f>
        <v>0</v>
      </c>
      <c r="O26" s="104" t="s">
        <v>138</v>
      </c>
      <c r="P26" s="137"/>
      <c r="Q26" s="151"/>
      <c r="R26" s="6"/>
      <c r="S26" s="137"/>
      <c r="T26" s="151"/>
      <c r="U26" s="104"/>
      <c r="V26" s="193"/>
      <c r="W26" s="175"/>
      <c r="X26" s="210"/>
      <c r="Y26" s="210"/>
      <c r="Z26" s="175"/>
      <c r="AE26" s="155">
        <v>673040</v>
      </c>
    </row>
    <row r="27" spans="2:33" ht="14.25" customHeight="1" x14ac:dyDescent="0.25">
      <c r="B27" s="132" t="s">
        <v>132</v>
      </c>
      <c r="C27" s="133">
        <v>6011</v>
      </c>
      <c r="D27" s="133">
        <v>28040</v>
      </c>
      <c r="E27" s="134">
        <v>673050</v>
      </c>
      <c r="F27" s="6" t="s">
        <v>155</v>
      </c>
      <c r="G27" s="135"/>
      <c r="H27" s="136">
        <f t="shared" si="6"/>
        <v>35011.879999999997</v>
      </c>
      <c r="I27" s="104"/>
      <c r="J27" s="192"/>
      <c r="K27" s="149">
        <f t="shared" si="4"/>
        <v>31577.21</v>
      </c>
      <c r="L27" s="139" t="s">
        <v>138</v>
      </c>
      <c r="M27" s="137"/>
      <c r="N27" s="149">
        <f t="shared" si="5"/>
        <v>3434.67</v>
      </c>
      <c r="O27" s="104" t="s">
        <v>135</v>
      </c>
      <c r="P27" s="137"/>
      <c r="Q27" s="151">
        <v>31577.21</v>
      </c>
      <c r="R27" s="6"/>
      <c r="S27" s="137"/>
      <c r="T27" s="151">
        <v>3434.67</v>
      </c>
      <c r="U27" s="104"/>
      <c r="V27" s="193"/>
      <c r="W27" s="175"/>
      <c r="X27" s="210"/>
      <c r="Y27" s="210"/>
      <c r="Z27" s="175"/>
      <c r="AE27" s="155">
        <v>673050</v>
      </c>
    </row>
    <row r="28" spans="2:33" ht="14.25" customHeight="1" x14ac:dyDescent="0.25">
      <c r="B28" s="132" t="s">
        <v>132</v>
      </c>
      <c r="C28" s="133">
        <v>6011</v>
      </c>
      <c r="D28" s="133">
        <v>28040</v>
      </c>
      <c r="E28" s="134">
        <v>673060</v>
      </c>
      <c r="F28" s="6" t="s">
        <v>156</v>
      </c>
      <c r="G28" s="135"/>
      <c r="H28" s="136">
        <f t="shared" si="6"/>
        <v>0</v>
      </c>
      <c r="I28" s="104"/>
      <c r="J28" s="192"/>
      <c r="K28" s="149">
        <f t="shared" si="4"/>
        <v>0</v>
      </c>
      <c r="L28" s="139" t="s">
        <v>138</v>
      </c>
      <c r="M28" s="137"/>
      <c r="N28" s="149">
        <f t="shared" si="5"/>
        <v>0</v>
      </c>
      <c r="O28" s="104" t="s">
        <v>135</v>
      </c>
      <c r="P28" s="137"/>
      <c r="Q28" s="151"/>
      <c r="R28" s="6"/>
      <c r="S28" s="137"/>
      <c r="T28" s="151"/>
      <c r="U28" s="104"/>
      <c r="V28" s="193"/>
      <c r="W28" s="175"/>
      <c r="X28" s="210"/>
      <c r="Y28" s="210"/>
      <c r="Z28" s="175"/>
      <c r="AE28" s="155">
        <v>673060</v>
      </c>
    </row>
    <row r="29" spans="2:33" ht="14.25" customHeight="1" x14ac:dyDescent="0.25">
      <c r="B29" s="132" t="s">
        <v>132</v>
      </c>
      <c r="C29" s="133">
        <v>6011</v>
      </c>
      <c r="D29" s="133">
        <v>28040</v>
      </c>
      <c r="E29" s="134">
        <v>673070</v>
      </c>
      <c r="F29" s="6" t="s">
        <v>157</v>
      </c>
      <c r="G29" s="135"/>
      <c r="H29" s="136">
        <f t="shared" si="6"/>
        <v>0</v>
      </c>
      <c r="I29" s="104"/>
      <c r="J29" s="192"/>
      <c r="K29" s="138">
        <f t="shared" si="4"/>
        <v>0</v>
      </c>
      <c r="L29" s="139" t="s">
        <v>138</v>
      </c>
      <c r="M29" s="137"/>
      <c r="N29" s="138">
        <f t="shared" si="5"/>
        <v>0</v>
      </c>
      <c r="O29" s="104" t="s">
        <v>135</v>
      </c>
      <c r="P29" s="137"/>
      <c r="Q29" s="144"/>
      <c r="R29" s="6"/>
      <c r="S29" s="137"/>
      <c r="T29" s="144"/>
      <c r="U29" s="104"/>
      <c r="V29" s="193"/>
      <c r="W29" s="140"/>
      <c r="X29" s="210"/>
      <c r="Y29" s="210"/>
      <c r="Z29" s="140"/>
      <c r="AE29" s="142">
        <v>673070</v>
      </c>
    </row>
    <row r="30" spans="2:33" ht="14.25" customHeight="1" x14ac:dyDescent="0.25">
      <c r="B30" s="132" t="s">
        <v>132</v>
      </c>
      <c r="C30" s="133">
        <v>6011</v>
      </c>
      <c r="D30" s="133">
        <v>28040</v>
      </c>
      <c r="E30" s="134">
        <v>673080</v>
      </c>
      <c r="F30" s="6" t="s">
        <v>158</v>
      </c>
      <c r="G30" s="135"/>
      <c r="H30" s="136">
        <f t="shared" si="6"/>
        <v>18634.349999999999</v>
      </c>
      <c r="I30" s="104"/>
      <c r="J30" s="192"/>
      <c r="K30" s="138">
        <f t="shared" si="4"/>
        <v>16916.259999999998</v>
      </c>
      <c r="L30" s="139" t="s">
        <v>135</v>
      </c>
      <c r="M30" s="137"/>
      <c r="N30" s="138">
        <f t="shared" si="5"/>
        <v>1718.09</v>
      </c>
      <c r="O30" s="104" t="s">
        <v>135</v>
      </c>
      <c r="P30" s="137"/>
      <c r="Q30" s="144">
        <v>16916.259999999998</v>
      </c>
      <c r="R30" s="6"/>
      <c r="S30" s="137"/>
      <c r="T30" s="144">
        <v>1718.09</v>
      </c>
      <c r="U30" s="104"/>
      <c r="V30" s="193"/>
      <c r="W30" s="140"/>
      <c r="X30" s="210"/>
      <c r="Y30" s="210"/>
      <c r="Z30" s="140"/>
      <c r="AE30" s="142">
        <v>673080</v>
      </c>
    </row>
    <row r="31" spans="2:33" ht="14.25" customHeight="1" x14ac:dyDescent="0.25">
      <c r="B31" s="132" t="s">
        <v>132</v>
      </c>
      <c r="C31" s="133">
        <v>6011</v>
      </c>
      <c r="D31" s="133">
        <v>28040</v>
      </c>
      <c r="E31" s="134">
        <v>673090</v>
      </c>
      <c r="F31" s="6" t="s">
        <v>159</v>
      </c>
      <c r="G31" s="135"/>
      <c r="H31" s="136">
        <f t="shared" si="6"/>
        <v>0</v>
      </c>
      <c r="I31" s="104"/>
      <c r="J31" s="192"/>
      <c r="K31" s="149">
        <f t="shared" si="4"/>
        <v>0</v>
      </c>
      <c r="L31" s="139" t="s">
        <v>138</v>
      </c>
      <c r="M31" s="137"/>
      <c r="N31" s="149">
        <f>+T31+Z31</f>
        <v>0</v>
      </c>
      <c r="O31" s="104" t="s">
        <v>138</v>
      </c>
      <c r="P31" s="137"/>
      <c r="Q31" s="151"/>
      <c r="R31" s="6"/>
      <c r="S31" s="137"/>
      <c r="T31" s="151"/>
      <c r="U31" s="104"/>
      <c r="V31" s="193"/>
      <c r="W31" s="175"/>
      <c r="X31" s="210"/>
      <c r="Y31" s="210"/>
      <c r="Z31" s="175"/>
      <c r="AE31" s="155">
        <v>673090</v>
      </c>
    </row>
    <row r="32" spans="2:33" ht="14.25" customHeight="1" x14ac:dyDescent="0.25">
      <c r="B32" s="132" t="s">
        <v>132</v>
      </c>
      <c r="C32" s="133">
        <v>6011</v>
      </c>
      <c r="D32" s="133">
        <v>28040</v>
      </c>
      <c r="E32" s="134">
        <v>673120</v>
      </c>
      <c r="F32" s="6" t="s">
        <v>160</v>
      </c>
      <c r="G32" s="135"/>
      <c r="H32" s="136">
        <f t="shared" si="6"/>
        <v>149740.38999999998</v>
      </c>
      <c r="I32" s="104"/>
      <c r="J32" s="192"/>
      <c r="K32" s="138">
        <f t="shared" si="4"/>
        <v>131546.93</v>
      </c>
      <c r="L32" s="139" t="s">
        <v>135</v>
      </c>
      <c r="M32" s="137"/>
      <c r="N32" s="138">
        <f t="shared" si="5"/>
        <v>18193.46</v>
      </c>
      <c r="O32" s="104" t="s">
        <v>135</v>
      </c>
      <c r="P32" s="137"/>
      <c r="Q32" s="144">
        <v>131546.93</v>
      </c>
      <c r="R32" s="6"/>
      <c r="S32" s="137"/>
      <c r="T32" s="144">
        <v>18193.46</v>
      </c>
      <c r="U32" s="104"/>
      <c r="V32" s="193"/>
      <c r="W32" s="140"/>
      <c r="X32" s="210"/>
      <c r="Y32" s="210"/>
      <c r="Z32" s="140"/>
      <c r="AE32" s="142">
        <v>673120</v>
      </c>
    </row>
    <row r="33" spans="2:32" ht="14.25" customHeight="1" x14ac:dyDescent="0.25">
      <c r="B33" s="132" t="s">
        <v>132</v>
      </c>
      <c r="C33" s="133">
        <v>6011</v>
      </c>
      <c r="D33" s="133">
        <v>28040</v>
      </c>
      <c r="E33" s="134">
        <v>673130</v>
      </c>
      <c r="F33" s="6" t="s">
        <v>161</v>
      </c>
      <c r="G33" s="135"/>
      <c r="H33" s="136">
        <f t="shared" si="6"/>
        <v>0</v>
      </c>
      <c r="I33" s="104"/>
      <c r="J33" s="192"/>
      <c r="K33" s="138">
        <f t="shared" si="4"/>
        <v>0</v>
      </c>
      <c r="L33" s="139" t="s">
        <v>135</v>
      </c>
      <c r="M33" s="137"/>
      <c r="N33" s="138">
        <f t="shared" si="5"/>
        <v>0</v>
      </c>
      <c r="O33" s="104" t="s">
        <v>135</v>
      </c>
      <c r="P33" s="137"/>
      <c r="Q33" s="144"/>
      <c r="R33" s="6"/>
      <c r="S33" s="137"/>
      <c r="T33" s="144"/>
      <c r="U33" s="104"/>
      <c r="V33" s="193"/>
      <c r="W33" s="140"/>
      <c r="X33" s="102"/>
      <c r="Y33" s="141"/>
      <c r="Z33" s="140"/>
      <c r="AE33" s="142">
        <v>673130</v>
      </c>
    </row>
    <row r="34" spans="2:32" ht="14.25" customHeight="1" x14ac:dyDescent="0.25">
      <c r="B34" s="132" t="s">
        <v>132</v>
      </c>
      <c r="C34" s="133">
        <v>6011</v>
      </c>
      <c r="D34" s="133">
        <v>28040</v>
      </c>
      <c r="E34" s="134">
        <v>673140</v>
      </c>
      <c r="F34" s="6" t="s">
        <v>162</v>
      </c>
      <c r="G34" s="135"/>
      <c r="H34" s="136">
        <f t="shared" si="6"/>
        <v>0</v>
      </c>
      <c r="I34" s="104"/>
      <c r="J34" s="192"/>
      <c r="K34" s="149">
        <f t="shared" si="4"/>
        <v>0</v>
      </c>
      <c r="L34" s="139" t="s">
        <v>138</v>
      </c>
      <c r="M34" s="137"/>
      <c r="N34" s="149">
        <f>+T34+Z34</f>
        <v>0</v>
      </c>
      <c r="O34" s="104" t="s">
        <v>138</v>
      </c>
      <c r="P34" s="137"/>
      <c r="Q34" s="151"/>
      <c r="R34" s="6"/>
      <c r="S34" s="137"/>
      <c r="T34" s="151"/>
      <c r="U34" s="104"/>
      <c r="V34" s="193"/>
      <c r="W34" s="175"/>
      <c r="X34" s="102"/>
      <c r="Y34" s="141"/>
      <c r="Z34" s="175"/>
      <c r="AE34" s="155">
        <v>673140</v>
      </c>
    </row>
    <row r="35" spans="2:32" ht="14.25" customHeight="1" x14ac:dyDescent="0.25">
      <c r="B35" s="132" t="s">
        <v>132</v>
      </c>
      <c r="C35" s="133">
        <v>6011</v>
      </c>
      <c r="D35" s="133">
        <v>28040</v>
      </c>
      <c r="E35" s="134">
        <v>673160</v>
      </c>
      <c r="F35" s="6" t="s">
        <v>163</v>
      </c>
      <c r="G35" s="135"/>
      <c r="H35" s="136">
        <f t="shared" si="6"/>
        <v>0</v>
      </c>
      <c r="I35" s="104"/>
      <c r="J35" s="192"/>
      <c r="K35" s="149">
        <f t="shared" si="4"/>
        <v>0</v>
      </c>
      <c r="L35" s="139" t="s">
        <v>138</v>
      </c>
      <c r="M35" s="137"/>
      <c r="N35" s="149">
        <f>+T35+Z35</f>
        <v>0</v>
      </c>
      <c r="O35" s="104" t="s">
        <v>138</v>
      </c>
      <c r="P35" s="137"/>
      <c r="Q35" s="151"/>
      <c r="R35" s="6"/>
      <c r="S35" s="137"/>
      <c r="T35" s="151"/>
      <c r="U35" s="104"/>
      <c r="V35" s="193"/>
      <c r="W35" s="175"/>
      <c r="X35" s="102"/>
      <c r="Y35" s="141"/>
      <c r="Z35" s="175"/>
      <c r="AE35" s="155">
        <v>673160</v>
      </c>
    </row>
    <row r="36" spans="2:32" ht="14.25" customHeight="1" x14ac:dyDescent="0.25">
      <c r="B36" s="132" t="s">
        <v>132</v>
      </c>
      <c r="C36" s="133">
        <v>6011</v>
      </c>
      <c r="D36" s="133">
        <v>28040</v>
      </c>
      <c r="E36" s="134">
        <v>673180</v>
      </c>
      <c r="F36" s="6" t="s">
        <v>164</v>
      </c>
      <c r="G36" s="135"/>
      <c r="H36" s="136">
        <f t="shared" si="6"/>
        <v>20032.849999999999</v>
      </c>
      <c r="I36" s="104"/>
      <c r="J36" s="192"/>
      <c r="K36" s="138">
        <f>+Q36+W36</f>
        <v>18185.82</v>
      </c>
      <c r="L36" s="139" t="s">
        <v>135</v>
      </c>
      <c r="M36" s="137"/>
      <c r="N36" s="138">
        <f>+T36+Z36</f>
        <v>1847.03</v>
      </c>
      <c r="O36" s="104" t="s">
        <v>135</v>
      </c>
      <c r="P36" s="137"/>
      <c r="Q36" s="144">
        <v>18185.82</v>
      </c>
      <c r="R36" s="6"/>
      <c r="S36" s="137"/>
      <c r="T36" s="144">
        <v>1847.03</v>
      </c>
      <c r="U36" s="104"/>
      <c r="V36" s="193"/>
      <c r="W36" s="140"/>
      <c r="X36" s="210"/>
      <c r="Y36" s="210"/>
      <c r="Z36" s="140"/>
      <c r="AE36" s="142">
        <v>673180</v>
      </c>
    </row>
    <row r="37" spans="2:32" ht="14.25" customHeight="1" x14ac:dyDescent="0.25">
      <c r="B37" s="132" t="s">
        <v>132</v>
      </c>
      <c r="C37" s="133">
        <v>6011</v>
      </c>
      <c r="D37" s="133">
        <v>28040</v>
      </c>
      <c r="E37" s="134">
        <v>673190</v>
      </c>
      <c r="F37" s="171" t="s">
        <v>165</v>
      </c>
      <c r="G37" s="135"/>
      <c r="H37" s="211">
        <f t="shared" si="6"/>
        <v>0</v>
      </c>
      <c r="I37" s="104"/>
      <c r="J37" s="192"/>
      <c r="K37" s="149">
        <f t="shared" si="4"/>
        <v>0</v>
      </c>
      <c r="L37" s="139" t="s">
        <v>138</v>
      </c>
      <c r="M37" s="200"/>
      <c r="N37" s="149">
        <f>+T37+Z37</f>
        <v>0</v>
      </c>
      <c r="O37" s="104" t="s">
        <v>138</v>
      </c>
      <c r="P37" s="200"/>
      <c r="Q37" s="175"/>
      <c r="R37" s="6"/>
      <c r="S37" s="200"/>
      <c r="T37" s="212"/>
      <c r="U37" s="104"/>
      <c r="V37" s="213"/>
      <c r="W37" s="175"/>
      <c r="X37" s="102"/>
      <c r="Y37" s="141"/>
      <c r="Z37" s="175"/>
      <c r="AE37" s="155">
        <v>673190</v>
      </c>
    </row>
    <row r="38" spans="2:32" ht="15" x14ac:dyDescent="0.25">
      <c r="F38" s="6" t="s">
        <v>166</v>
      </c>
      <c r="G38" s="202"/>
      <c r="H38" s="136">
        <f>SUM(H24:H37)</f>
        <v>357337.17999999993</v>
      </c>
      <c r="I38" s="104"/>
      <c r="J38" s="202"/>
      <c r="K38" s="96">
        <f>SUM(K24:K37)</f>
        <v>317462.92</v>
      </c>
      <c r="L38" s="139"/>
      <c r="M38" s="6"/>
      <c r="N38" s="96">
        <f>SUM(N24:N37)</f>
        <v>39874.259999999995</v>
      </c>
      <c r="O38" s="104"/>
      <c r="P38" s="215"/>
      <c r="Q38" s="183">
        <f>SUM(Q24:Q37)</f>
        <v>317462.92</v>
      </c>
      <c r="R38" s="139"/>
      <c r="S38" s="95"/>
      <c r="T38" s="183">
        <f>SUM(T24:T37)</f>
        <v>39874.259999999995</v>
      </c>
      <c r="U38" s="104"/>
      <c r="W38" s="183">
        <f>SUM(W24:W37)</f>
        <v>0</v>
      </c>
      <c r="Y38" s="216"/>
      <c r="Z38" s="183">
        <f>SUM(Z24:Z37)</f>
        <v>0</v>
      </c>
      <c r="AB38" s="187">
        <f>SUM(AB24:AB37)</f>
        <v>0</v>
      </c>
      <c r="AC38" s="187">
        <f>SUM(AC24:AC37)</f>
        <v>0</v>
      </c>
      <c r="AD38" s="187"/>
    </row>
    <row r="39" spans="2:32" ht="14.1" customHeight="1" x14ac:dyDescent="0.25">
      <c r="F39" s="208"/>
      <c r="H39" s="217"/>
      <c r="I39" s="104"/>
      <c r="J39" s="202"/>
      <c r="K39" s="218"/>
      <c r="L39" s="219"/>
      <c r="M39" s="202"/>
      <c r="N39" s="218"/>
      <c r="O39" s="104"/>
      <c r="P39" s="220"/>
      <c r="Q39" s="221"/>
      <c r="R39" s="215"/>
      <c r="S39" s="220"/>
      <c r="T39" s="221"/>
      <c r="U39" s="104"/>
      <c r="V39" s="222"/>
      <c r="W39" s="179"/>
      <c r="Z39" s="97"/>
      <c r="AB39" s="103"/>
      <c r="AC39" s="103"/>
      <c r="AD39" s="103"/>
    </row>
    <row r="40" spans="2:32" ht="15.75" customHeight="1" x14ac:dyDescent="0.25">
      <c r="F40" s="95" t="s">
        <v>167</v>
      </c>
      <c r="G40" s="202">
        <f>+G38+G22+G15</f>
        <v>32989169</v>
      </c>
      <c r="H40" s="136">
        <f>+H38+H22+H15</f>
        <v>14435574.650000002</v>
      </c>
      <c r="I40" s="104"/>
      <c r="J40" s="223">
        <f>+J38+J22+J15</f>
        <v>23734111</v>
      </c>
      <c r="K40" s="183">
        <f>+K38+K22+K15</f>
        <v>11095009.99</v>
      </c>
      <c r="L40" s="224"/>
      <c r="M40" s="223">
        <f>+M38+M22+M15</f>
        <v>9255058</v>
      </c>
      <c r="N40" s="183">
        <f>+N38+N22+N15</f>
        <v>3340564.66</v>
      </c>
      <c r="O40" s="118"/>
      <c r="P40" s="225">
        <f>+P38+P22+P15</f>
        <v>23734111</v>
      </c>
      <c r="Q40" s="185">
        <f>+Q38+Q22+Q15</f>
        <v>11090488.890000001</v>
      </c>
      <c r="R40" s="69"/>
      <c r="S40" s="225">
        <f>+S38+S22+S15</f>
        <v>9255058</v>
      </c>
      <c r="T40" s="185">
        <f>+T38+T22+T15</f>
        <v>3342567.31</v>
      </c>
      <c r="U40" s="104"/>
      <c r="V40" s="226">
        <f>+V38+V22+V15</f>
        <v>0</v>
      </c>
      <c r="W40" s="183">
        <f>+W38+W22+W15</f>
        <v>4521.1000000000004</v>
      </c>
      <c r="Y40" s="7">
        <f>+Y38+Y22+Y15</f>
        <v>0</v>
      </c>
      <c r="Z40" s="183">
        <f>+Z38+Z22+Z15</f>
        <v>-2002.65</v>
      </c>
      <c r="AB40" s="187">
        <f>+AB38+AB22+AB15</f>
        <v>0</v>
      </c>
      <c r="AC40" s="187">
        <f>+AC38+AC22+AC15</f>
        <v>0</v>
      </c>
      <c r="AD40" s="187"/>
      <c r="AE40" s="196"/>
    </row>
    <row r="41" spans="2:32" ht="14.1" customHeight="1" x14ac:dyDescent="0.25">
      <c r="H41" s="227"/>
      <c r="I41" s="104"/>
      <c r="J41" s="146"/>
      <c r="K41" s="190"/>
      <c r="L41" s="219"/>
      <c r="M41" s="146"/>
      <c r="N41" s="190"/>
      <c r="O41" s="104"/>
      <c r="P41" s="215"/>
      <c r="Q41" s="93"/>
      <c r="R41" s="215"/>
      <c r="S41" s="215"/>
      <c r="T41" s="93"/>
      <c r="U41" s="104"/>
      <c r="W41" s="97"/>
      <c r="Z41" s="97"/>
    </row>
    <row r="42" spans="2:32" ht="14.1" customHeight="1" x14ac:dyDescent="0.25">
      <c r="C42" s="146" t="s">
        <v>168</v>
      </c>
      <c r="I42" s="104"/>
      <c r="J42" s="228"/>
      <c r="K42" s="229">
        <f>+K8+K9+K10+K11+K12+K13+K14+K18+K26+K27+K28+K31+K34+K35+K37</f>
        <v>7420844.4400000013</v>
      </c>
      <c r="L42" s="219" t="s">
        <v>138</v>
      </c>
      <c r="M42" s="146"/>
      <c r="N42" s="230">
        <f>+N8+N9+N10+N11+N12+N13+N14+N18+N26+N31+N34+N35+N37+N27+N28</f>
        <v>2395489.5500000003</v>
      </c>
      <c r="O42" s="231" t="s">
        <v>138</v>
      </c>
      <c r="P42" s="215"/>
      <c r="Q42" s="232">
        <f>+Q8+Q9+Q10+Q11+Q12+Q13+Q14+Q18+Q26+Q27+Q28+Q31+Q34+Q35+Q37</f>
        <v>7418272.4800000004</v>
      </c>
      <c r="R42" s="215"/>
      <c r="S42" s="228"/>
      <c r="T42" s="232">
        <f>+T8+T10+T9+T11+T12+T13+T14+T18+T26+T31+T34+T35+T37+T27+T28</f>
        <v>2396731.5100000002</v>
      </c>
      <c r="U42" s="104"/>
      <c r="W42" s="233">
        <f>+W8+W9+W10+W11+W12+W13+W14+W18+W26+W27+W28+W31+W34+W35+W37</f>
        <v>2571.96</v>
      </c>
      <c r="Z42" s="233">
        <f>Z9+Z10+Z11+Z12+Z13+Z14+Z18+Z26+Z31+Z34+Z35+Z37+Z8+Z27+Z28</f>
        <v>-1241.96</v>
      </c>
      <c r="AB42" s="234">
        <f>+AB8+AB9+AB10+AB11+AB12+AB13+AB14+AB18+AB26+AB27+AB28+AB29+AB31+AB34+AB35+AB37</f>
        <v>0</v>
      </c>
      <c r="AC42" s="234">
        <f>+AC6+AC8+AC9+AC10+AC11+AC12+AC13+AC14+AC18+AC26+AC31+AC34+AC35+AC37</f>
        <v>0</v>
      </c>
    </row>
    <row r="43" spans="2:32" ht="14.1" customHeight="1" x14ac:dyDescent="0.25">
      <c r="C43" s="146" t="s">
        <v>169</v>
      </c>
      <c r="I43" s="104"/>
      <c r="J43" s="228"/>
      <c r="K43" s="229">
        <f>+K6+K7+K17+K24+K25+K30+K32+K33+K36+K19+K20+K21+K29</f>
        <v>3674165.5500000007</v>
      </c>
      <c r="L43" s="219" t="s">
        <v>135</v>
      </c>
      <c r="M43" s="146"/>
      <c r="N43" s="230">
        <f>N6+N7+N17+N24+N25+N30+N32+N33+N36+N19+N20+N21+N29</f>
        <v>945075.1100000001</v>
      </c>
      <c r="O43" s="231" t="s">
        <v>135</v>
      </c>
      <c r="P43" s="215"/>
      <c r="Q43" s="235">
        <f>Q6+Q7+Q17+Q24+Q25+Q30+Q32+Q33+Q36+Q19+Q20+Q21+Q29</f>
        <v>3672216.4100000006</v>
      </c>
      <c r="R43" s="215"/>
      <c r="S43" s="228"/>
      <c r="T43" s="235">
        <f>+T7+T6+T17+T24+T25+T30+T32+T33+T36+T19+T20+T21+T29</f>
        <v>945835.80000000016</v>
      </c>
      <c r="U43" s="104"/>
      <c r="W43" s="236">
        <f>W6+W7+W17+W24+W25+W30+W32+W33+W36+W19+W20+W21+W29</f>
        <v>1949.14</v>
      </c>
      <c r="Z43" s="236">
        <f>+Z7+Z17+Z24+Z25+Z30+Z32+Z33+Z36+Z19+Z20+Z21+Z29+Z6</f>
        <v>-760.69</v>
      </c>
      <c r="AB43" s="237">
        <f>AB6+AB7+AB17+AB24+AB25+AB30+AB32+AB33+AB36</f>
        <v>0</v>
      </c>
      <c r="AC43" s="237">
        <f>+AC7+AC17+AC24+AC25+AC27+AC28+AC29+AC30+AC32+AC33+AC36</f>
        <v>0</v>
      </c>
    </row>
    <row r="44" spans="2:32" ht="15" customHeight="1" x14ac:dyDescent="0.25">
      <c r="C44" s="146" t="s">
        <v>11</v>
      </c>
      <c r="I44" s="104"/>
      <c r="J44" s="146"/>
      <c r="K44" s="183">
        <f>SUM(K42:K43)</f>
        <v>11095009.990000002</v>
      </c>
      <c r="L44" s="238"/>
      <c r="M44" s="146"/>
      <c r="N44" s="183">
        <f>SUM(N42:N43)</f>
        <v>3340564.66</v>
      </c>
      <c r="O44" s="104"/>
      <c r="P44" s="215"/>
      <c r="Q44" s="185">
        <f>SUM(Q42:Q43)</f>
        <v>11090488.890000001</v>
      </c>
      <c r="R44" s="215"/>
      <c r="S44" s="215"/>
      <c r="T44" s="185">
        <f>SUM(T42:T43)</f>
        <v>3342567.3100000005</v>
      </c>
      <c r="U44" s="104"/>
      <c r="W44" s="183">
        <f>SUM(W42:W43)</f>
        <v>4521.1000000000004</v>
      </c>
      <c r="Z44" s="183">
        <f>SUM(Z42:Z43)</f>
        <v>-2002.65</v>
      </c>
      <c r="AB44" s="239">
        <f>SUM(AB42:AB43)</f>
        <v>0</v>
      </c>
      <c r="AC44" s="239">
        <f>SUM(AC42:AC43)</f>
        <v>0</v>
      </c>
      <c r="AD44" s="240"/>
      <c r="AE44" s="241">
        <f>+Z44+W44</f>
        <v>2518.4500000000003</v>
      </c>
    </row>
    <row r="45" spans="2:32" ht="15" customHeight="1" x14ac:dyDescent="0.25">
      <c r="L45" s="98"/>
      <c r="AE45" s="241">
        <f>+'[4]Supplier Invoices'!$Q$95</f>
        <v>2518.4484549996341</v>
      </c>
      <c r="AF45" s="68" t="s">
        <v>170</v>
      </c>
    </row>
    <row r="46" spans="2:32" ht="15" customHeight="1" x14ac:dyDescent="0.25">
      <c r="J46" s="6" t="s">
        <v>171</v>
      </c>
      <c r="K46" s="242">
        <f>K44+N44</f>
        <v>14435574.650000002</v>
      </c>
      <c r="P46" s="243" t="s">
        <v>172</v>
      </c>
      <c r="Q46" s="244">
        <f>Q44-Q11-Q12-Q13</f>
        <v>10922086.510000002</v>
      </c>
      <c r="R46" s="106"/>
      <c r="S46" s="243" t="s">
        <v>172</v>
      </c>
      <c r="T46" s="244">
        <f>T44-T11-T12-T13</f>
        <v>3276056.9400000004</v>
      </c>
      <c r="W46" s="196"/>
      <c r="AE46" s="245">
        <f>+AE44-AE45</f>
        <v>1.5450003661499068E-3</v>
      </c>
    </row>
    <row r="47" spans="2:32" ht="15" customHeight="1" x14ac:dyDescent="0.25">
      <c r="F47" s="246"/>
      <c r="K47" s="247"/>
      <c r="P47" s="248" t="s">
        <v>173</v>
      </c>
      <c r="Q47" s="249">
        <f>W44</f>
        <v>4521.1000000000004</v>
      </c>
      <c r="R47" s="167"/>
      <c r="S47" s="248" t="s">
        <v>173</v>
      </c>
      <c r="T47" s="249">
        <f>Z44</f>
        <v>-2002.65</v>
      </c>
      <c r="W47" s="250"/>
    </row>
    <row r="48" spans="2:32" ht="15" customHeight="1" x14ac:dyDescent="0.25">
      <c r="F48" s="246"/>
      <c r="G48" s="7" t="s">
        <v>174</v>
      </c>
      <c r="Q48" s="316">
        <f>Q46+Q47</f>
        <v>10926607.610000001</v>
      </c>
      <c r="R48" s="251"/>
      <c r="S48" s="251"/>
      <c r="T48" s="316">
        <f>T46+T47</f>
        <v>3274054.2900000005</v>
      </c>
      <c r="U48" s="250"/>
      <c r="V48" s="250"/>
      <c r="W48" s="252"/>
      <c r="Z48" s="253"/>
    </row>
    <row r="49" spans="2:26" ht="15" customHeight="1" x14ac:dyDescent="0.25">
      <c r="F49" s="246"/>
      <c r="L49" s="318"/>
      <c r="M49" s="320"/>
      <c r="N49" s="321"/>
      <c r="O49" s="317"/>
      <c r="P49" s="322"/>
      <c r="Q49" s="323"/>
      <c r="R49" s="322"/>
      <c r="S49" s="322"/>
      <c r="T49" s="323"/>
      <c r="U49" s="317"/>
      <c r="V49" s="317"/>
      <c r="Z49" s="253"/>
    </row>
    <row r="50" spans="2:26" ht="14.1" customHeight="1" x14ac:dyDescent="0.25">
      <c r="L50" s="324"/>
      <c r="M50" s="320"/>
      <c r="N50" s="321"/>
      <c r="O50" s="317"/>
      <c r="P50" s="325"/>
      <c r="Q50" s="322"/>
      <c r="R50" s="322"/>
      <c r="S50" s="322"/>
      <c r="T50" s="322"/>
      <c r="U50" s="317"/>
      <c r="V50" s="317"/>
      <c r="Z50" s="253"/>
    </row>
    <row r="51" spans="2:26" ht="14.1" customHeight="1" x14ac:dyDescent="0.25">
      <c r="B51" s="7"/>
      <c r="L51" s="324"/>
      <c r="M51" s="320"/>
      <c r="N51" s="321"/>
      <c r="O51" s="317"/>
      <c r="P51" s="322"/>
      <c r="Q51" s="322"/>
      <c r="R51" s="322"/>
      <c r="S51" s="322"/>
      <c r="T51" s="322"/>
      <c r="U51" s="317"/>
      <c r="V51" s="317"/>
    </row>
    <row r="52" spans="2:26" ht="14.1" customHeight="1" x14ac:dyDescent="0.25">
      <c r="B52" s="254"/>
      <c r="L52" s="324"/>
      <c r="M52" s="320"/>
      <c r="N52" s="321"/>
      <c r="O52" s="317"/>
      <c r="P52" s="322"/>
      <c r="Q52" s="322"/>
      <c r="R52" s="322"/>
      <c r="S52" s="322"/>
      <c r="T52" s="322"/>
      <c r="U52" s="317"/>
      <c r="V52" s="317"/>
      <c r="W52" s="255"/>
    </row>
    <row r="53" spans="2:26" ht="14.1" customHeight="1" x14ac:dyDescent="0.25">
      <c r="L53" s="324"/>
      <c r="M53" s="320"/>
      <c r="N53" s="321"/>
      <c r="O53" s="317"/>
      <c r="P53" s="322"/>
      <c r="Q53" s="322"/>
      <c r="R53" s="322"/>
      <c r="S53" s="322"/>
      <c r="T53" s="322"/>
      <c r="U53" s="317"/>
      <c r="V53" s="317"/>
    </row>
    <row r="54" spans="2:26" ht="14.1" customHeight="1" x14ac:dyDescent="0.25">
      <c r="L54" s="324"/>
      <c r="M54" s="320"/>
      <c r="N54" s="321"/>
      <c r="O54" s="317"/>
      <c r="P54" s="322"/>
      <c r="Q54" s="322"/>
      <c r="R54" s="322"/>
      <c r="S54" s="322"/>
      <c r="T54" s="322"/>
      <c r="U54" s="317"/>
      <c r="V54" s="317"/>
    </row>
    <row r="55" spans="2:26" ht="14.1" customHeight="1" x14ac:dyDescent="0.25">
      <c r="L55" s="324"/>
      <c r="M55" s="320"/>
      <c r="N55" s="321"/>
      <c r="O55" s="317"/>
      <c r="P55" s="322"/>
      <c r="Q55" s="322"/>
      <c r="R55" s="322"/>
      <c r="S55" s="322"/>
      <c r="T55" s="322"/>
      <c r="U55" s="317"/>
      <c r="V55" s="317"/>
    </row>
    <row r="56" spans="2:26" ht="14.1" customHeight="1" x14ac:dyDescent="0.25">
      <c r="L56" s="324"/>
      <c r="M56" s="320"/>
      <c r="N56" s="321"/>
      <c r="O56" s="317"/>
      <c r="P56" s="322"/>
      <c r="Q56" s="322"/>
      <c r="R56" s="322"/>
      <c r="S56" s="322"/>
      <c r="T56" s="322"/>
      <c r="U56" s="317"/>
      <c r="V56" s="317"/>
    </row>
    <row r="57" spans="2:26" ht="14.1" customHeight="1" x14ac:dyDescent="0.25">
      <c r="L57" s="317"/>
      <c r="M57" s="318"/>
      <c r="N57" s="321"/>
      <c r="O57" s="317"/>
      <c r="P57" s="322"/>
      <c r="Q57" s="322"/>
      <c r="R57" s="322"/>
      <c r="S57" s="322"/>
      <c r="T57" s="322"/>
      <c r="U57" s="317"/>
      <c r="V57" s="317"/>
    </row>
    <row r="58" spans="2:26" ht="14.1" customHeight="1" x14ac:dyDescent="0.25">
      <c r="L58" s="317"/>
      <c r="M58" s="317"/>
      <c r="N58" s="326"/>
      <c r="O58" s="317"/>
      <c r="P58" s="327"/>
      <c r="Q58" s="322"/>
      <c r="R58" s="327"/>
      <c r="S58" s="327"/>
      <c r="T58" s="322"/>
      <c r="U58" s="317"/>
      <c r="V58" s="317"/>
    </row>
    <row r="59" spans="2:26" ht="14.1" customHeight="1" x14ac:dyDescent="0.25">
      <c r="B59" s="7"/>
      <c r="J59" s="256"/>
      <c r="K59" s="257"/>
      <c r="L59" s="328"/>
      <c r="M59" s="329"/>
      <c r="N59" s="321"/>
      <c r="O59" s="317"/>
      <c r="P59" s="325"/>
      <c r="Q59" s="319"/>
      <c r="R59" s="330"/>
      <c r="S59" s="325"/>
      <c r="T59" s="319"/>
      <c r="U59" s="331"/>
      <c r="V59" s="317"/>
    </row>
    <row r="60" spans="2:26" ht="14.1" customHeight="1" x14ac:dyDescent="0.25">
      <c r="J60" s="256"/>
      <c r="K60" s="257"/>
      <c r="L60" s="328"/>
      <c r="M60" s="329"/>
      <c r="N60" s="329"/>
      <c r="O60" s="317"/>
      <c r="P60" s="325"/>
      <c r="Q60" s="319"/>
      <c r="R60" s="330"/>
      <c r="S60" s="319"/>
      <c r="T60" s="319"/>
      <c r="U60" s="331"/>
      <c r="V60" s="317"/>
    </row>
    <row r="61" spans="2:26" ht="15" x14ac:dyDescent="0.25">
      <c r="J61" s="256"/>
      <c r="K61" s="257"/>
      <c r="L61" s="328"/>
      <c r="M61" s="329"/>
      <c r="N61" s="329"/>
      <c r="O61" s="317"/>
      <c r="P61" s="325"/>
      <c r="Q61" s="319"/>
      <c r="R61" s="330"/>
      <c r="S61" s="325"/>
      <c r="T61" s="319"/>
      <c r="U61" s="331"/>
      <c r="V61" s="317"/>
    </row>
    <row r="62" spans="2:26" ht="14.1" customHeight="1" x14ac:dyDescent="0.25">
      <c r="B62" s="5"/>
      <c r="L62" s="317"/>
      <c r="M62" s="317"/>
      <c r="N62" s="326"/>
      <c r="O62" s="317"/>
      <c r="P62" s="325"/>
      <c r="Q62" s="332"/>
      <c r="R62" s="333"/>
      <c r="S62" s="333"/>
      <c r="T62" s="332"/>
      <c r="U62" s="328"/>
      <c r="V62" s="317"/>
    </row>
    <row r="63" spans="2:26" ht="14.1" customHeight="1" x14ac:dyDescent="0.25">
      <c r="L63" s="317"/>
      <c r="M63" s="317"/>
      <c r="N63" s="326"/>
      <c r="O63" s="317"/>
      <c r="P63" s="325"/>
      <c r="Q63" s="334"/>
      <c r="R63" s="325"/>
      <c r="S63" s="325"/>
      <c r="T63" s="334"/>
      <c r="U63" s="328"/>
      <c r="V63" s="317"/>
    </row>
    <row r="64" spans="2:26" ht="14.1" customHeight="1" x14ac:dyDescent="0.25">
      <c r="L64" s="317"/>
      <c r="M64" s="317"/>
      <c r="N64" s="326"/>
      <c r="O64" s="317"/>
      <c r="P64" s="322"/>
      <c r="Q64" s="322"/>
      <c r="R64" s="322"/>
      <c r="S64" s="322"/>
      <c r="T64" s="322"/>
      <c r="U64" s="317"/>
      <c r="V64" s="317"/>
    </row>
    <row r="71" spans="19:22" ht="14.1" customHeight="1" x14ac:dyDescent="0.25">
      <c r="S71" s="258"/>
      <c r="V71" s="259"/>
    </row>
  </sheetData>
  <mergeCells count="15">
    <mergeCell ref="W1:Y1"/>
    <mergeCell ref="B2:E2"/>
    <mergeCell ref="G2:H2"/>
    <mergeCell ref="J2:N2"/>
    <mergeCell ref="P2:T2"/>
    <mergeCell ref="W2:Y2"/>
    <mergeCell ref="B5:E5"/>
    <mergeCell ref="W3:Y3"/>
    <mergeCell ref="AB3:AC3"/>
    <mergeCell ref="J4:K4"/>
    <mergeCell ref="M4:N4"/>
    <mergeCell ref="P4:Q4"/>
    <mergeCell ref="S4:T4"/>
    <mergeCell ref="V4:W4"/>
    <mergeCell ref="Y4:Z4"/>
  </mergeCells>
  <printOptions gridLines="1"/>
  <pageMargins left="0" right="0" top="0.75" bottom="0" header="0.35" footer="0.24"/>
  <pageSetup scale="40" orientation="landscape" cellComments="asDisplayed" r:id="rId1"/>
  <headerFooter alignWithMargins="0">
    <oddHeader>&amp;C&amp;18&amp;A&amp;R&amp;18Page 6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951D0B5-947A-41C2-84FF-814BAC334FBC}"/>
</file>

<file path=customXml/itemProps2.xml><?xml version="1.0" encoding="utf-8"?>
<ds:datastoreItem xmlns:ds="http://schemas.openxmlformats.org/officeDocument/2006/customXml" ds:itemID="{A3FCC3FC-99AE-4DDA-A5E7-15664DD2CC03}"/>
</file>

<file path=customXml/itemProps3.xml><?xml version="1.0" encoding="utf-8"?>
<ds:datastoreItem xmlns:ds="http://schemas.openxmlformats.org/officeDocument/2006/customXml" ds:itemID="{485197FA-5191-4762-87C5-CE3174A2E270}"/>
</file>

<file path=customXml/itemProps4.xml><?xml version="1.0" encoding="utf-8"?>
<ds:datastoreItem xmlns:ds="http://schemas.openxmlformats.org/officeDocument/2006/customXml" ds:itemID="{2D0A7CCB-0C69-466B-96A3-FA2A39269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DEFERRALS</vt:lpstr>
      <vt:lpstr>WA Rates</vt:lpstr>
      <vt:lpstr>Core Cost Incurred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cp:lastPrinted>2019-11-21T23:14:32Z</cp:lastPrinted>
  <dcterms:created xsi:type="dcterms:W3CDTF">2019-11-21T21:04:13Z</dcterms:created>
  <dcterms:modified xsi:type="dcterms:W3CDTF">2019-11-21T23:37:32Z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