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840" yWindow="450" windowWidth="10860" windowHeight="5640" tabRatio="823"/>
  </bookViews>
  <sheets>
    <sheet name="Lead Sheet" sheetId="4" r:id="rId1"/>
    <sheet name="FY 2004 EXP BY EMPLOYEE" sheetId="10" state="hidden" r:id="rId2"/>
    <sheet name="3_31-05" sheetId="16" state="hidden" r:id="rId3"/>
    <sheet name="Tax Prep Svcs" sheetId="20" state="hidden" r:id="rId4"/>
    <sheet name="Actual Accounting" sheetId="68" r:id="rId5"/>
    <sheet name=" Amort Schedule" sheetId="69" r:id="rId6"/>
    <sheet name="923 Backup" sheetId="19" state="hidden" r:id="rId7"/>
    <sheet name="9_30_04" sheetId="13" state="hidden" r:id="rId8"/>
  </sheets>
  <externalReferences>
    <externalReference r:id="rId9"/>
    <externalReference r:id="rId10"/>
    <externalReference r:id="rId11"/>
    <externalReference r:id="rId12"/>
  </externalReferences>
  <definedNames>
    <definedName name="__123Graph_A" localSheetId="5" hidden="1">[1]Inputs!#REF!</definedName>
    <definedName name="__123Graph_A" hidden="1">[1]Inputs!#REF!</definedName>
    <definedName name="__123Graph_B" localSheetId="5" hidden="1">[1]Inputs!#REF!</definedName>
    <definedName name="__123Graph_B" hidden="1">[1]Inputs!#REF!</definedName>
    <definedName name="__123Graph_D" localSheetId="5" hidden="1">[1]Inputs!#REF!</definedName>
    <definedName name="__123Graph_D" hidden="1">[1]Inputs!#REF!</definedName>
    <definedName name="__123Graph_E" hidden="1">[2]Input!$E$22:$E$37</definedName>
    <definedName name="__123Graph_F" hidden="1">[2]Input!$D$22:$D$37</definedName>
    <definedName name="_Fill" localSheetId="5" hidden="1">#REF!</definedName>
    <definedName name="_Fill" hidden="1">#REF!</definedName>
    <definedName name="_xlnm._FilterDatabase" localSheetId="2" hidden="1">'3_31-05'!$A$4:$S$82</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5" hidden="1">#REF!</definedName>
    <definedName name="_Key1" hidden="1">#REF!</definedName>
    <definedName name="_Key2" localSheetId="5"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5" hidden="1">#REF!</definedName>
    <definedName name="_Sort" hidden="1">#REF!</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localSheetId="5" hidden="1">{"YTD-Total",#N/A,TRUE,"Provision";"YTD-Utility",#N/A,TRUE,"Prov Utility";"YTD-NonUtility",#N/A,TRUE,"Prov NonUtility"}</definedName>
    <definedName name="combined1" hidden="1">{"YTD-Total",#N/A,TRUE,"Provision";"YTD-Utility",#N/A,TRUE,"Prov Utility";"YTD-NonUtility",#N/A,TRUE,"Prov NonUtility"}</definedName>
    <definedName name="Conversion" localSheetId="7">[3]Conversion!$A$2:$E$1253</definedName>
    <definedName name="DUDE" hidden="1">#REF!</definedName>
    <definedName name="energy" localSheetId="5"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5"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5"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5"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5" hidden="1">{#N/A,#N/A,FALSE,"Actual";#N/A,#N/A,FALSE,"Normalized";#N/A,#N/A,FALSE,"Electric Actual";#N/A,#N/A,FALSE,"Electric Normalized"}</definedName>
    <definedName name="Master" hidden="1">{#N/A,#N/A,FALSE,"Actual";#N/A,#N/A,FALSE,"Normalized";#N/A,#N/A,FALSE,"Electric Actual";#N/A,#N/A,FALSE,"Electric Normalized"}</definedName>
    <definedName name="mmm" localSheetId="5"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5"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5"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hidden="1">[4]Inputs!#REF!</definedName>
    <definedName name="_xlnm.Print_Area" localSheetId="2">'3_31-05'!$A$102:$R$169</definedName>
    <definedName name="_xlnm.Print_Area" localSheetId="7">'9_30_04'!$A$3:$Q$136</definedName>
    <definedName name="_xlnm.Print_Area" localSheetId="6">'923 Backup'!$A$1:$M$156</definedName>
    <definedName name="_xlnm.Print_Area" localSheetId="1">'FY 2004 EXP BY EMPLOYEE'!$A$1:$O$95</definedName>
    <definedName name="_xlnm.Print_Area" localSheetId="3">'Tax Prep Svcs'!$A$1:$D$21</definedName>
    <definedName name="_xlnm.Print_Titles" localSheetId="7">'9_30_04'!$1:$2</definedName>
    <definedName name="retail" localSheetId="5"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5"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5"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localSheetId="5"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5" hidden="1">{#N/A,#N/A,FALSE,"Actual";#N/A,#N/A,FALSE,"Normalized";#N/A,#N/A,FALSE,"Electric Actual";#N/A,#N/A,FALSE,"Electric Normalized"}</definedName>
    <definedName name="spippw" hidden="1">{#N/A,#N/A,FALSE,"Actual";#N/A,#N/A,FALSE,"Normalized";#N/A,#N/A,FALSE,"Electric Actual";#N/A,#N/A,FALSE,"Electric Normalized"}</definedName>
    <definedName name="standard1" localSheetId="5" hidden="1">{"YTD-Total",#N/A,FALSE,"Provision"}</definedName>
    <definedName name="standard1" hidden="1">{"YTD-Total",#N/A,FALSE,"Provision"}</definedName>
    <definedName name="wrn.1996._.Hydro._.5._.Year._.Forecast._.Budget." hidden="1">{#N/A,#N/A,FALSE,"Summary";#N/A,#N/A,FALSE,"SmPlants";#N/A,#N/A,FALSE,"Utah";#N/A,#N/A,FALSE,"Idaho";#N/A,#N/A,FALSE,"Lewis River";#N/A,#N/A,FALSE,"NrthUmpq";#N/A,#N/A,FALSE,"KlamRog"}</definedName>
    <definedName name="wrn.Adj._.Back_Up." localSheetId="5" hidden="1">{"Page 3.4.1",#N/A,FALSE,"Totals";"Page 3.4.2",#N/A,FALSE,"Totals"}</definedName>
    <definedName name="wrn.Adj._.Back_Up." hidden="1">{"Page 3.4.1",#N/A,FALSE,"Totals";"Page 3.4.2",#N/A,FALSE,"Totals"}</definedName>
    <definedName name="wrn.ALL." localSheetId="5"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5"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5"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5"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5" hidden="1">{#N/A,#N/A,FALSE,"cover";#N/A,#N/A,FALSE,"lead sheet";#N/A,#N/A,FALSE,"Adj backup";#N/A,#N/A,FALSE,"t Accounts"}</definedName>
    <definedName name="wrn.All._.Pages." hidden="1">{#N/A,#N/A,FALSE,"cover";#N/A,#N/A,FALSE,"lead sheet";#N/A,#N/A,FALSE,"Adj backup";#N/A,#N/A,FALSE,"t Accounts"}</definedName>
    <definedName name="wrn.BUS._.RPT." localSheetId="5"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5"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5"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5"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5" hidden="1">{"FullView",#N/A,FALSE,"Consltd-For contngcy"}</definedName>
    <definedName name="wrn.Full._.View." hidden="1">{"FullView",#N/A,FALSE,"Consltd-For contngcy"}</definedName>
    <definedName name="wrn.GLReport." localSheetId="5"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5" hidden="1">{"Open issues Only",#N/A,FALSE,"TIMELINE"}</definedName>
    <definedName name="wrn.Open._.Issues._.Only." hidden="1">{"Open issues Only",#N/A,FALSE,"TIMELINE"}</definedName>
    <definedName name="wrn.OR._.Carrying._.Charge._.JV." localSheetId="5"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5"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5" hidden="1">{#N/A,#N/A,FALSE,"Consltd-For contngcy";"PaymentView",#N/A,FALSE,"Consltd-For contngcy"}</definedName>
    <definedName name="wrn.Payment._.View." hidden="1">{#N/A,#N/A,FALSE,"Consltd-For contngcy";"PaymentView",#N/A,FALSE,"Consltd-For contngcy"}</definedName>
    <definedName name="wrn.PFSreconview." localSheetId="5" hidden="1">{"PFS recon view",#N/A,FALSE,"Hyperion Proof"}</definedName>
    <definedName name="wrn.PFSreconview." hidden="1">{"PFS recon view",#N/A,FALSE,"Hyperion Proof"}</definedName>
    <definedName name="wrn.PGHCreconview." localSheetId="5" hidden="1">{"PGHC recon view",#N/A,FALSE,"Hyperion Proof"}</definedName>
    <definedName name="wrn.PGHCreconview." hidden="1">{"PGHC recon view",#N/A,FALSE,"Hyperion Proof"}</definedName>
    <definedName name="wrn.PHI._.all._.other._.months." localSheetId="5" hidden="1">{#N/A,#N/A,FALSE,"PHI MTD";#N/A,#N/A,FALSE,"PHI YTD"}</definedName>
    <definedName name="wrn.PHI._.all._.other._.months." hidden="1">{#N/A,#N/A,FALSE,"PHI MTD";#N/A,#N/A,FALSE,"PHI YTD"}</definedName>
    <definedName name="wrn.PHI._.only." localSheetId="5" hidden="1">{#N/A,#N/A,FALSE,"PHI"}</definedName>
    <definedName name="wrn.PHI._.only." hidden="1">{#N/A,#N/A,FALSE,"PHI"}</definedName>
    <definedName name="wrn.PHI._.Sept._.Dec._.March." localSheetId="5" hidden="1">{#N/A,#N/A,FALSE,"PHI MTD";#N/A,#N/A,FALSE,"PHI QTD";#N/A,#N/A,FALSE,"PHI YTD"}</definedName>
    <definedName name="wrn.PHI._.Sept._.Dec._.March." hidden="1">{#N/A,#N/A,FALSE,"PHI MTD";#N/A,#N/A,FALSE,"PHI QTD";#N/A,#N/A,FALSE,"PHI YTD"}</definedName>
    <definedName name="wrn.PPMCoCodeView." localSheetId="5" hidden="1">{"PPM Co Code View",#N/A,FALSE,"Comp Codes"}</definedName>
    <definedName name="wrn.PPMCoCodeView." hidden="1">{"PPM Co Code View",#N/A,FALSE,"Comp Codes"}</definedName>
    <definedName name="wrn.PPMreconview." localSheetId="5" hidden="1">{"PPM Recon View",#N/A,FALSE,"Hyperion Proof"}</definedName>
    <definedName name="wrn.PPMreconview." hidden="1">{"PPM Recon View",#N/A,FALSE,"Hyperion Proof"}</definedName>
    <definedName name="wrn.ProofElectricOnly." localSheetId="5" hidden="1">{"Electric Only",#N/A,FALSE,"Hyperion Proof"}</definedName>
    <definedName name="wrn.ProofElectricOnly." hidden="1">{"Electric Only",#N/A,FALSE,"Hyperion Proof"}</definedName>
    <definedName name="wrn.ProofTotal." localSheetId="5" hidden="1">{"Proof Total",#N/A,FALSE,"Hyperion Proof"}</definedName>
    <definedName name="wrn.ProofTotal." hidden="1">{"Proof Total",#N/A,FALSE,"Hyperion Proof"}</definedName>
    <definedName name="wrn.Reformat._.only." localSheetId="5" hidden="1">{#N/A,#N/A,FALSE,"Dec 1999 mapping"}</definedName>
    <definedName name="wrn.Reformat._.only." hidden="1">{#N/A,#N/A,FALSE,"Dec 1999 mapping"}</definedName>
    <definedName name="wrn.SALES._.VAR._.95._.BUDGET." localSheetId="5"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5"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5" hidden="1">{"YTD-Total",#N/A,FALSE,"Provision"}</definedName>
    <definedName name="wrn.Standard." hidden="1">{"YTD-Total",#N/A,FALSE,"Provision"}</definedName>
    <definedName name="wrn.Standard._.NonUtility._.Only." localSheetId="5" hidden="1">{"YTD-NonUtility",#N/A,FALSE,"Prov NonUtility"}</definedName>
    <definedName name="wrn.Standard._.NonUtility._.Only." hidden="1">{"YTD-NonUtility",#N/A,FALSE,"Prov NonUtility"}</definedName>
    <definedName name="wrn.Standard._.Utility._.Only." localSheetId="5" hidden="1">{"YTD-Utility",#N/A,FALSE,"Prov Utility"}</definedName>
    <definedName name="wrn.Standard._.Utility._.Only." hidden="1">{"YTD-Utility",#N/A,FALSE,"Prov Utility"}</definedName>
    <definedName name="wrn.Summary._.View." localSheetId="5" hidden="1">{#N/A,#N/A,FALSE,"Consltd-For contngcy"}</definedName>
    <definedName name="wrn.Summary._.View." hidden="1">{#N/A,#N/A,FALSE,"Consltd-For contngcy"}</definedName>
    <definedName name="wrn.UK._.Conversion._.Only." localSheetId="5" hidden="1">{#N/A,#N/A,FALSE,"Dec 1999 UK Continuing Ops"}</definedName>
    <definedName name="wrn.UK._.Conversion._.Only." hidden="1">{#N/A,#N/A,FALSE,"Dec 1999 UK Continuing Ops"}</definedName>
    <definedName name="wrn.YearEnd." localSheetId="5"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5" hidden="1">#REF!</definedName>
    <definedName name="Z_01844156_6462_4A28_9785_1A86F4D0C834_.wvu.PrintTitles" hidden="1">#REF!</definedName>
  </definedNames>
  <calcPr calcId="125725" calcMode="manual" iterate="1"/>
</workbook>
</file>

<file path=xl/calcChain.xml><?xml version="1.0" encoding="utf-8"?>
<calcChain xmlns="http://schemas.openxmlformats.org/spreadsheetml/2006/main">
  <c r="H26" i="69"/>
  <c r="G26"/>
  <c r="F20" i="4"/>
  <c r="I20" s="1"/>
  <c r="F19"/>
  <c r="I14"/>
  <c r="F14"/>
  <c r="I19"/>
  <c r="I12"/>
  <c r="I11"/>
  <c r="C15" i="69"/>
  <c r="D49"/>
  <c r="D16" l="1"/>
  <c r="D18"/>
  <c r="D20"/>
  <c r="D22"/>
  <c r="D24"/>
  <c r="D26"/>
  <c r="D28"/>
  <c r="D30"/>
  <c r="D32"/>
  <c r="D34"/>
  <c r="D36"/>
  <c r="D38"/>
  <c r="D40"/>
  <c r="D42"/>
  <c r="D44"/>
  <c r="D46"/>
  <c r="D48"/>
  <c r="D50"/>
  <c r="D17"/>
  <c r="D19"/>
  <c r="D21"/>
  <c r="D23"/>
  <c r="D25"/>
  <c r="D27"/>
  <c r="D29"/>
  <c r="D31"/>
  <c r="D33"/>
  <c r="D35"/>
  <c r="D37"/>
  <c r="D39"/>
  <c r="D41"/>
  <c r="D43"/>
  <c r="D45"/>
  <c r="D47"/>
  <c r="F19" i="68"/>
  <c r="F11" i="4" s="1"/>
  <c r="D28" i="68"/>
  <c r="D18"/>
  <c r="D14" i="69" l="1"/>
  <c r="E11" s="1"/>
  <c r="F12" i="4" s="1"/>
  <c r="C14" i="69" l="1"/>
  <c r="E14" s="1"/>
  <c r="C16" s="1"/>
  <c r="E16" l="1"/>
  <c r="C17" s="1"/>
  <c r="E17" s="1"/>
  <c r="C18" s="1"/>
  <c r="E18" s="1"/>
  <c r="C19" s="1"/>
  <c r="E19" s="1"/>
  <c r="C20" s="1"/>
  <c r="E20" s="1"/>
  <c r="C21" s="1"/>
  <c r="E21" s="1"/>
  <c r="C22" s="1"/>
  <c r="E22" s="1"/>
  <c r="C23" s="1"/>
  <c r="E23" s="1"/>
  <c r="C24" s="1"/>
  <c r="E24" s="1"/>
  <c r="C25" s="1"/>
  <c r="E25" s="1"/>
  <c r="C26" s="1"/>
  <c r="E26" s="1"/>
  <c r="C27" s="1"/>
  <c r="E27" s="1"/>
  <c r="C28" s="1"/>
  <c r="E28" s="1"/>
  <c r="C29" s="1"/>
  <c r="E29" s="1"/>
  <c r="C30" s="1"/>
  <c r="E30" s="1"/>
  <c r="C31" s="1"/>
  <c r="E31" s="1"/>
  <c r="C32" s="1"/>
  <c r="E32" s="1"/>
  <c r="C33" s="1"/>
  <c r="E33" s="1"/>
  <c r="C34" s="1"/>
  <c r="E34" s="1"/>
  <c r="C35" s="1"/>
  <c r="E35" s="1"/>
  <c r="C36" s="1"/>
  <c r="E36" s="1"/>
  <c r="C37" s="1"/>
  <c r="E37" s="1"/>
  <c r="C38" s="1"/>
  <c r="E38" s="1"/>
  <c r="C39" s="1"/>
  <c r="E39" s="1"/>
  <c r="C40" s="1"/>
  <c r="E40" s="1"/>
  <c r="C41" s="1"/>
  <c r="E41" s="1"/>
  <c r="C42" s="1"/>
  <c r="E42" s="1"/>
  <c r="C43" s="1"/>
  <c r="E43" s="1"/>
  <c r="C44" s="1"/>
  <c r="E44" s="1"/>
  <c r="C45" s="1"/>
  <c r="E45" s="1"/>
  <c r="C46" s="1"/>
  <c r="E46" s="1"/>
  <c r="C47" s="1"/>
  <c r="E47" s="1"/>
  <c r="C48" s="1"/>
  <c r="E48" s="1"/>
  <c r="C49" s="1"/>
  <c r="E49" s="1"/>
  <c r="C50" s="1"/>
  <c r="E50" s="1"/>
  <c r="Q3" i="13" l="1"/>
  <c r="Q4"/>
  <c r="Q5"/>
  <c r="Q6"/>
  <c r="Q7"/>
  <c r="Q8"/>
  <c r="G9"/>
  <c r="Q9" s="1"/>
  <c r="Q10"/>
  <c r="G11"/>
  <c r="Q11" s="1"/>
  <c r="Q12"/>
  <c r="Q13"/>
  <c r="G14"/>
  <c r="Q14" s="1"/>
  <c r="Q15"/>
  <c r="G16"/>
  <c r="Q16" s="1"/>
  <c r="Q17"/>
  <c r="Q18"/>
  <c r="Q19"/>
  <c r="Q20"/>
  <c r="Q21"/>
  <c r="Q22"/>
  <c r="G23"/>
  <c r="Q23" s="1"/>
  <c r="Q24"/>
  <c r="Q25"/>
  <c r="Q26"/>
  <c r="Q27"/>
  <c r="Q28"/>
  <c r="Q29"/>
  <c r="Q30"/>
  <c r="Q31"/>
  <c r="Q32"/>
  <c r="Q33"/>
  <c r="Q34"/>
  <c r="Q35"/>
  <c r="Q36"/>
  <c r="Q37"/>
  <c r="Q38"/>
  <c r="Q39"/>
  <c r="Q40"/>
  <c r="G41"/>
  <c r="Q41"/>
  <c r="Q42"/>
  <c r="G43"/>
  <c r="Q43" s="1"/>
  <c r="Q44"/>
  <c r="Q45"/>
  <c r="Q46"/>
  <c r="Q47"/>
  <c r="Q48"/>
  <c r="Q49"/>
  <c r="G50"/>
  <c r="Q50" s="1"/>
  <c r="Q51"/>
  <c r="G52"/>
  <c r="Q52"/>
  <c r="Q53"/>
  <c r="Q54"/>
  <c r="Q55"/>
  <c r="Q56"/>
  <c r="Q57"/>
  <c r="Q58"/>
  <c r="Q59"/>
  <c r="Q60"/>
  <c r="Q61"/>
  <c r="Q62"/>
  <c r="Q63"/>
  <c r="Q64"/>
  <c r="Q65"/>
  <c r="Q66"/>
  <c r="Q67"/>
  <c r="G68"/>
  <c r="Q68" s="1"/>
  <c r="Q69"/>
  <c r="Q70"/>
  <c r="Q71"/>
  <c r="Q72"/>
  <c r="Q73"/>
  <c r="Q74"/>
  <c r="G75"/>
  <c r="Q75" s="1"/>
  <c r="Q76"/>
  <c r="G77"/>
  <c r="Q77"/>
  <c r="D78"/>
  <c r="E78"/>
  <c r="F78"/>
  <c r="G78"/>
  <c r="H78"/>
  <c r="I78"/>
  <c r="J78"/>
  <c r="K78"/>
  <c r="L78"/>
  <c r="M78"/>
  <c r="N78"/>
  <c r="O78"/>
  <c r="P78"/>
  <c r="D83"/>
  <c r="E83"/>
  <c r="F83"/>
  <c r="G83"/>
  <c r="H83"/>
  <c r="I83"/>
  <c r="J83"/>
  <c r="K83"/>
  <c r="L83"/>
  <c r="M83"/>
  <c r="N83"/>
  <c r="O83"/>
  <c r="P83"/>
  <c r="D84"/>
  <c r="E84"/>
  <c r="F84"/>
  <c r="G84"/>
  <c r="H84"/>
  <c r="I84"/>
  <c r="J84"/>
  <c r="K84"/>
  <c r="L84"/>
  <c r="M84"/>
  <c r="N84"/>
  <c r="O84"/>
  <c r="P84"/>
  <c r="D85"/>
  <c r="E85"/>
  <c r="F85"/>
  <c r="G85"/>
  <c r="H85"/>
  <c r="I85"/>
  <c r="J85"/>
  <c r="K85"/>
  <c r="L85"/>
  <c r="M85"/>
  <c r="N85"/>
  <c r="O85"/>
  <c r="P85"/>
  <c r="Q85"/>
  <c r="D86"/>
  <c r="E86"/>
  <c r="F86"/>
  <c r="G86"/>
  <c r="H86"/>
  <c r="I86"/>
  <c r="J86"/>
  <c r="K86"/>
  <c r="L86"/>
  <c r="M86"/>
  <c r="N86"/>
  <c r="O86"/>
  <c r="P86"/>
  <c r="E89"/>
  <c r="F89"/>
  <c r="O89"/>
  <c r="P89"/>
  <c r="D90"/>
  <c r="E90"/>
  <c r="F90"/>
  <c r="H90"/>
  <c r="I90"/>
  <c r="J90"/>
  <c r="K90"/>
  <c r="L90"/>
  <c r="M90"/>
  <c r="N90"/>
  <c r="O90"/>
  <c r="P90"/>
  <c r="Q90"/>
  <c r="D91"/>
  <c r="E91"/>
  <c r="E92" s="1"/>
  <c r="F91"/>
  <c r="G91"/>
  <c r="H91"/>
  <c r="I91"/>
  <c r="J91"/>
  <c r="K91"/>
  <c r="L91"/>
  <c r="M91"/>
  <c r="N91"/>
  <c r="O91"/>
  <c r="P91"/>
  <c r="Q91"/>
  <c r="Q94" s="1"/>
  <c r="G92"/>
  <c r="H92"/>
  <c r="I92"/>
  <c r="J92"/>
  <c r="K92"/>
  <c r="L92"/>
  <c r="M92"/>
  <c r="N92"/>
  <c r="O92"/>
  <c r="P92"/>
  <c r="D100"/>
  <c r="E100"/>
  <c r="F100"/>
  <c r="G100"/>
  <c r="H100"/>
  <c r="Q100" s="1"/>
  <c r="I100"/>
  <c r="J100"/>
  <c r="K100"/>
  <c r="L100"/>
  <c r="M100"/>
  <c r="N100"/>
  <c r="O100"/>
  <c r="P100"/>
  <c r="D101"/>
  <c r="E101"/>
  <c r="F101"/>
  <c r="G101"/>
  <c r="H101"/>
  <c r="Q101" s="1"/>
  <c r="Q147" s="1"/>
  <c r="I101"/>
  <c r="J101"/>
  <c r="K101"/>
  <c r="L101"/>
  <c r="M101"/>
  <c r="N101"/>
  <c r="O101"/>
  <c r="P101"/>
  <c r="D102"/>
  <c r="E102"/>
  <c r="F102"/>
  <c r="G102"/>
  <c r="H102"/>
  <c r="I102"/>
  <c r="J102"/>
  <c r="K102"/>
  <c r="L102"/>
  <c r="Q102" s="1"/>
  <c r="Q148" s="1"/>
  <c r="M102"/>
  <c r="N102"/>
  <c r="O102"/>
  <c r="P102"/>
  <c r="D103"/>
  <c r="E103"/>
  <c r="F103"/>
  <c r="G103"/>
  <c r="H103"/>
  <c r="I103"/>
  <c r="J103"/>
  <c r="K103"/>
  <c r="L103"/>
  <c r="M103"/>
  <c r="N103"/>
  <c r="O103"/>
  <c r="P103"/>
  <c r="F106"/>
  <c r="Q106" s="1"/>
  <c r="Q153" s="1"/>
  <c r="O106"/>
  <c r="P106"/>
  <c r="D107"/>
  <c r="E107"/>
  <c r="F107"/>
  <c r="H107"/>
  <c r="I107"/>
  <c r="J107"/>
  <c r="K107"/>
  <c r="L107"/>
  <c r="M107"/>
  <c r="N107"/>
  <c r="O107"/>
  <c r="P107"/>
  <c r="D108"/>
  <c r="D109" s="1"/>
  <c r="E108"/>
  <c r="F108"/>
  <c r="F109" s="1"/>
  <c r="G108"/>
  <c r="H108"/>
  <c r="H109" s="1"/>
  <c r="I108"/>
  <c r="J108"/>
  <c r="J109" s="1"/>
  <c r="K108"/>
  <c r="L108"/>
  <c r="L109" s="1"/>
  <c r="M108"/>
  <c r="N108"/>
  <c r="N109" s="1"/>
  <c r="O108"/>
  <c r="P108"/>
  <c r="P109" s="1"/>
  <c r="E109"/>
  <c r="G109"/>
  <c r="I109"/>
  <c r="K109"/>
  <c r="M109"/>
  <c r="O109"/>
  <c r="Q112"/>
  <c r="D113"/>
  <c r="E113"/>
  <c r="F113"/>
  <c r="G113"/>
  <c r="H113"/>
  <c r="I113"/>
  <c r="J113"/>
  <c r="K113"/>
  <c r="L113"/>
  <c r="M113"/>
  <c r="N113"/>
  <c r="O113"/>
  <c r="P113"/>
  <c r="Q113"/>
  <c r="D114"/>
  <c r="E114"/>
  <c r="F114"/>
  <c r="G114"/>
  <c r="H114"/>
  <c r="I114"/>
  <c r="J114"/>
  <c r="K114"/>
  <c r="L114"/>
  <c r="M114"/>
  <c r="N114"/>
  <c r="O114"/>
  <c r="P114"/>
  <c r="Q114"/>
  <c r="D115"/>
  <c r="E115"/>
  <c r="F115"/>
  <c r="G115"/>
  <c r="H115"/>
  <c r="I115"/>
  <c r="J115"/>
  <c r="K115"/>
  <c r="L115"/>
  <c r="M115"/>
  <c r="N115"/>
  <c r="O115"/>
  <c r="P115"/>
  <c r="Q115"/>
  <c r="Q118"/>
  <c r="D119"/>
  <c r="D121" s="1"/>
  <c r="E119"/>
  <c r="F119"/>
  <c r="F121" s="1"/>
  <c r="H119"/>
  <c r="I119"/>
  <c r="J119"/>
  <c r="K119"/>
  <c r="L119"/>
  <c r="M119"/>
  <c r="N119"/>
  <c r="O119"/>
  <c r="P119"/>
  <c r="Q119"/>
  <c r="D120"/>
  <c r="E120"/>
  <c r="F120"/>
  <c r="G120"/>
  <c r="H120"/>
  <c r="I120"/>
  <c r="J120"/>
  <c r="K120"/>
  <c r="L120"/>
  <c r="M120"/>
  <c r="N120"/>
  <c r="O120"/>
  <c r="P120"/>
  <c r="Q120"/>
  <c r="E121"/>
  <c r="G121"/>
  <c r="H121"/>
  <c r="I121"/>
  <c r="J121"/>
  <c r="K121"/>
  <c r="L121"/>
  <c r="M121"/>
  <c r="N121"/>
  <c r="O121"/>
  <c r="P121"/>
  <c r="Q121"/>
  <c r="D124"/>
  <c r="E124"/>
  <c r="E127" s="1"/>
  <c r="F124"/>
  <c r="G124"/>
  <c r="G127" s="1"/>
  <c r="H124"/>
  <c r="I124"/>
  <c r="I127" s="1"/>
  <c r="J124"/>
  <c r="K124"/>
  <c r="K127" s="1"/>
  <c r="L124"/>
  <c r="M124"/>
  <c r="M127" s="1"/>
  <c r="N124"/>
  <c r="O124"/>
  <c r="O127" s="1"/>
  <c r="P124"/>
  <c r="Q125"/>
  <c r="Q126"/>
  <c r="D127"/>
  <c r="F127"/>
  <c r="H127"/>
  <c r="J127"/>
  <c r="L127"/>
  <c r="N127"/>
  <c r="P127"/>
  <c r="Q130"/>
  <c r="Q131"/>
  <c r="Q133" s="1"/>
  <c r="Q132"/>
  <c r="D133"/>
  <c r="E133"/>
  <c r="F133"/>
  <c r="G133"/>
  <c r="H133"/>
  <c r="I133"/>
  <c r="J133"/>
  <c r="K133"/>
  <c r="L133"/>
  <c r="M133"/>
  <c r="N133"/>
  <c r="O133"/>
  <c r="P133"/>
  <c r="D146"/>
  <c r="E146"/>
  <c r="F146"/>
  <c r="G146"/>
  <c r="H146"/>
  <c r="I146"/>
  <c r="J146"/>
  <c r="K146"/>
  <c r="L146"/>
  <c r="M146"/>
  <c r="N146"/>
  <c r="O146"/>
  <c r="P146"/>
  <c r="D147"/>
  <c r="E147"/>
  <c r="F147"/>
  <c r="G147"/>
  <c r="H147"/>
  <c r="I147"/>
  <c r="J147"/>
  <c r="K147"/>
  <c r="L147"/>
  <c r="M147"/>
  <c r="N147"/>
  <c r="O147"/>
  <c r="P147"/>
  <c r="D148"/>
  <c r="D149" s="1"/>
  <c r="E148"/>
  <c r="F148"/>
  <c r="F149" s="1"/>
  <c r="G148"/>
  <c r="H148"/>
  <c r="H149" s="1"/>
  <c r="I148"/>
  <c r="J148"/>
  <c r="J149" s="1"/>
  <c r="K148"/>
  <c r="L148"/>
  <c r="L149" s="1"/>
  <c r="M148"/>
  <c r="N148"/>
  <c r="N149" s="1"/>
  <c r="O148"/>
  <c r="P148"/>
  <c r="P149" s="1"/>
  <c r="R148"/>
  <c r="E149"/>
  <c r="G149"/>
  <c r="I149"/>
  <c r="K149"/>
  <c r="M149"/>
  <c r="O149"/>
  <c r="D153"/>
  <c r="E153"/>
  <c r="F153"/>
  <c r="G153"/>
  <c r="H153"/>
  <c r="I153"/>
  <c r="J153"/>
  <c r="K153"/>
  <c r="L153"/>
  <c r="M153"/>
  <c r="N153"/>
  <c r="O153"/>
  <c r="P153"/>
  <c r="D154"/>
  <c r="E154"/>
  <c r="F154"/>
  <c r="G154"/>
  <c r="H154"/>
  <c r="I154"/>
  <c r="J154"/>
  <c r="K154"/>
  <c r="L154"/>
  <c r="M154"/>
  <c r="N154"/>
  <c r="O154"/>
  <c r="P154"/>
  <c r="R154"/>
  <c r="D155"/>
  <c r="D156" s="1"/>
  <c r="E155"/>
  <c r="F155"/>
  <c r="F156" s="1"/>
  <c r="G155"/>
  <c r="H155"/>
  <c r="H156" s="1"/>
  <c r="I155"/>
  <c r="J155"/>
  <c r="J156" s="1"/>
  <c r="K155"/>
  <c r="L155"/>
  <c r="L156" s="1"/>
  <c r="M155"/>
  <c r="N155"/>
  <c r="N156" s="1"/>
  <c r="O155"/>
  <c r="P155"/>
  <c r="P156" s="1"/>
  <c r="R155"/>
  <c r="E156"/>
  <c r="G156"/>
  <c r="I156"/>
  <c r="K156"/>
  <c r="M156"/>
  <c r="O156"/>
  <c r="E140" i="19"/>
  <c r="D6" i="20" s="1"/>
  <c r="D10" s="1"/>
  <c r="D11" s="1"/>
  <c r="J144" i="19"/>
  <c r="J145"/>
  <c r="J150" s="1"/>
  <c r="J151" s="1"/>
  <c r="F146"/>
  <c r="J146"/>
  <c r="K156" s="1"/>
  <c r="K154" s="1"/>
  <c r="B16" i="20" s="1"/>
  <c r="F151" i="19"/>
  <c r="J154"/>
  <c r="K155"/>
  <c r="J155"/>
  <c r="D1" i="20"/>
  <c r="A2"/>
  <c r="C16"/>
  <c r="Q1" i="16"/>
  <c r="S5"/>
  <c r="S31"/>
  <c r="S32"/>
  <c r="G82"/>
  <c r="H82"/>
  <c r="I82"/>
  <c r="J82"/>
  <c r="K82"/>
  <c r="L82"/>
  <c r="M82"/>
  <c r="N82"/>
  <c r="O82"/>
  <c r="P82"/>
  <c r="Q82"/>
  <c r="G84"/>
  <c r="H84"/>
  <c r="I84"/>
  <c r="J84"/>
  <c r="J85" s="1"/>
  <c r="K84"/>
  <c r="L84"/>
  <c r="L85" s="1"/>
  <c r="M84"/>
  <c r="N84"/>
  <c r="N85" s="1"/>
  <c r="O84"/>
  <c r="P84"/>
  <c r="P85" s="1"/>
  <c r="G85"/>
  <c r="I85"/>
  <c r="K85"/>
  <c r="M85"/>
  <c r="O85"/>
  <c r="G88"/>
  <c r="H88"/>
  <c r="I88"/>
  <c r="J88"/>
  <c r="K88"/>
  <c r="L88"/>
  <c r="M88"/>
  <c r="N88"/>
  <c r="O88"/>
  <c r="P88"/>
  <c r="G89"/>
  <c r="G90" s="1"/>
  <c r="H89"/>
  <c r="I89"/>
  <c r="I90" s="1"/>
  <c r="J89"/>
  <c r="K89"/>
  <c r="K90" s="1"/>
  <c r="L89"/>
  <c r="M89"/>
  <c r="M90" s="1"/>
  <c r="N89"/>
  <c r="O89"/>
  <c r="O90" s="1"/>
  <c r="P89"/>
  <c r="Q89"/>
  <c r="H90"/>
  <c r="J90"/>
  <c r="L90"/>
  <c r="N90"/>
  <c r="P90"/>
  <c r="G93"/>
  <c r="G98" s="1"/>
  <c r="I93"/>
  <c r="L93"/>
  <c r="L95" s="1"/>
  <c r="M93"/>
  <c r="Q93"/>
  <c r="Q95" s="1"/>
  <c r="G94"/>
  <c r="I94"/>
  <c r="L94"/>
  <c r="M94"/>
  <c r="Q94"/>
  <c r="G95"/>
  <c r="H95"/>
  <c r="I95"/>
  <c r="J95"/>
  <c r="K95"/>
  <c r="M95"/>
  <c r="N95"/>
  <c r="O95"/>
  <c r="P95"/>
  <c r="H98"/>
  <c r="I98"/>
  <c r="J98"/>
  <c r="K98"/>
  <c r="L98"/>
  <c r="M98"/>
  <c r="M100" s="1"/>
  <c r="M114" s="1"/>
  <c r="M117" s="1"/>
  <c r="N98"/>
  <c r="O98"/>
  <c r="P98"/>
  <c r="G99"/>
  <c r="H99"/>
  <c r="I99"/>
  <c r="J99"/>
  <c r="K99"/>
  <c r="K100" s="1"/>
  <c r="K114" s="1"/>
  <c r="L99"/>
  <c r="M99"/>
  <c r="N99"/>
  <c r="O99"/>
  <c r="O100" s="1"/>
  <c r="O114" s="1"/>
  <c r="P99"/>
  <c r="Q99"/>
  <c r="H100"/>
  <c r="I100"/>
  <c r="I114" s="1"/>
  <c r="I117" s="1"/>
  <c r="J100"/>
  <c r="L100"/>
  <c r="L114" s="1"/>
  <c r="L117" s="1"/>
  <c r="N100"/>
  <c r="N114" s="1"/>
  <c r="P100"/>
  <c r="G108"/>
  <c r="H108"/>
  <c r="I108"/>
  <c r="J108"/>
  <c r="K108"/>
  <c r="L108"/>
  <c r="M108"/>
  <c r="N108"/>
  <c r="O108"/>
  <c r="P108"/>
  <c r="Q108"/>
  <c r="G109"/>
  <c r="H109"/>
  <c r="I109"/>
  <c r="J109"/>
  <c r="K109"/>
  <c r="L109"/>
  <c r="M109"/>
  <c r="N109"/>
  <c r="O109"/>
  <c r="P109"/>
  <c r="Q109"/>
  <c r="G110"/>
  <c r="H110"/>
  <c r="I110"/>
  <c r="J110"/>
  <c r="K110"/>
  <c r="L110"/>
  <c r="M110"/>
  <c r="N110"/>
  <c r="N111" s="1"/>
  <c r="O110"/>
  <c r="P110"/>
  <c r="P111" s="1"/>
  <c r="Q110"/>
  <c r="G111"/>
  <c r="H111"/>
  <c r="I111"/>
  <c r="J111"/>
  <c r="K111"/>
  <c r="L111"/>
  <c r="M111"/>
  <c r="O111"/>
  <c r="H114"/>
  <c r="J114"/>
  <c r="P114"/>
  <c r="B115"/>
  <c r="G115"/>
  <c r="H115"/>
  <c r="I115"/>
  <c r="J115"/>
  <c r="K115"/>
  <c r="L115"/>
  <c r="M115"/>
  <c r="N115"/>
  <c r="O115"/>
  <c r="P115"/>
  <c r="G116"/>
  <c r="H116"/>
  <c r="Q116" s="1"/>
  <c r="S192" s="1"/>
  <c r="I116"/>
  <c r="J116"/>
  <c r="K116"/>
  <c r="L116"/>
  <c r="M116"/>
  <c r="N116"/>
  <c r="O116"/>
  <c r="P116"/>
  <c r="G123"/>
  <c r="H123"/>
  <c r="I123"/>
  <c r="J123"/>
  <c r="K123"/>
  <c r="L123"/>
  <c r="M123"/>
  <c r="N123"/>
  <c r="O123"/>
  <c r="P123"/>
  <c r="B124"/>
  <c r="Q124"/>
  <c r="G125"/>
  <c r="G126" s="1"/>
  <c r="H125"/>
  <c r="I125"/>
  <c r="I126" s="1"/>
  <c r="J125"/>
  <c r="K125"/>
  <c r="K126" s="1"/>
  <c r="L125"/>
  <c r="M125"/>
  <c r="M126" s="1"/>
  <c r="N125"/>
  <c r="O125"/>
  <c r="O126" s="1"/>
  <c r="P125"/>
  <c r="Q125"/>
  <c r="H126"/>
  <c r="J126"/>
  <c r="L126"/>
  <c r="N126"/>
  <c r="P126"/>
  <c r="H129"/>
  <c r="I129"/>
  <c r="J129"/>
  <c r="K129"/>
  <c r="L129"/>
  <c r="L132" s="1"/>
  <c r="M129"/>
  <c r="N129"/>
  <c r="O129"/>
  <c r="P129"/>
  <c r="B130"/>
  <c r="Q130"/>
  <c r="H131"/>
  <c r="J131"/>
  <c r="J132" s="1"/>
  <c r="L131"/>
  <c r="N131"/>
  <c r="N132" s="1"/>
  <c r="P131"/>
  <c r="P132" s="1"/>
  <c r="I132"/>
  <c r="M132"/>
  <c r="Q135"/>
  <c r="B136"/>
  <c r="G136"/>
  <c r="H136"/>
  <c r="I136"/>
  <c r="J136"/>
  <c r="J142" s="1"/>
  <c r="J144" s="1"/>
  <c r="K136"/>
  <c r="L136"/>
  <c r="L138" s="1"/>
  <c r="M136"/>
  <c r="N136"/>
  <c r="N138" s="1"/>
  <c r="O136"/>
  <c r="P136"/>
  <c r="P138" s="1"/>
  <c r="Q137"/>
  <c r="G138"/>
  <c r="I138"/>
  <c r="K138"/>
  <c r="M138"/>
  <c r="O138"/>
  <c r="Q141"/>
  <c r="B142"/>
  <c r="G142"/>
  <c r="I142"/>
  <c r="I144" s="1"/>
  <c r="K142"/>
  <c r="M142"/>
  <c r="M144" s="1"/>
  <c r="O142"/>
  <c r="G143"/>
  <c r="H143"/>
  <c r="I143"/>
  <c r="J143"/>
  <c r="K143"/>
  <c r="L143"/>
  <c r="M143"/>
  <c r="N143"/>
  <c r="O143"/>
  <c r="P143"/>
  <c r="G144"/>
  <c r="K144"/>
  <c r="O144"/>
  <c r="Q147"/>
  <c r="B148"/>
  <c r="G148"/>
  <c r="H148"/>
  <c r="I148"/>
  <c r="J148"/>
  <c r="J150" s="1"/>
  <c r="K148"/>
  <c r="L148"/>
  <c r="M148"/>
  <c r="N148"/>
  <c r="N150" s="1"/>
  <c r="O148"/>
  <c r="P148"/>
  <c r="G149"/>
  <c r="G150" s="1"/>
  <c r="H149"/>
  <c r="Q149" s="1"/>
  <c r="I149"/>
  <c r="I150" s="1"/>
  <c r="J149"/>
  <c r="J155" s="1"/>
  <c r="K149"/>
  <c r="K150" s="1"/>
  <c r="L149"/>
  <c r="M149"/>
  <c r="M150" s="1"/>
  <c r="N149"/>
  <c r="N155" s="1"/>
  <c r="O149"/>
  <c r="O150" s="1"/>
  <c r="P149"/>
  <c r="H150"/>
  <c r="L150"/>
  <c r="P150"/>
  <c r="Q153"/>
  <c r="B154"/>
  <c r="G154"/>
  <c r="H154"/>
  <c r="Q154" s="1"/>
  <c r="I154"/>
  <c r="J154"/>
  <c r="K154"/>
  <c r="L154"/>
  <c r="M154"/>
  <c r="N154"/>
  <c r="O154"/>
  <c r="P154"/>
  <c r="H155"/>
  <c r="H156" s="1"/>
  <c r="L155"/>
  <c r="L156" s="1"/>
  <c r="P155"/>
  <c r="P156" s="1"/>
  <c r="G159"/>
  <c r="H159"/>
  <c r="I159"/>
  <c r="J159"/>
  <c r="K159"/>
  <c r="L159"/>
  <c r="L162" s="1"/>
  <c r="M159"/>
  <c r="N159"/>
  <c r="O159"/>
  <c r="P159"/>
  <c r="P162" s="1"/>
  <c r="B160"/>
  <c r="G160"/>
  <c r="H160"/>
  <c r="I160"/>
  <c r="J160"/>
  <c r="K160"/>
  <c r="L160"/>
  <c r="M160"/>
  <c r="N160"/>
  <c r="O160"/>
  <c r="P160"/>
  <c r="G161"/>
  <c r="G162" s="1"/>
  <c r="H161"/>
  <c r="I161"/>
  <c r="I162" s="1"/>
  <c r="J161"/>
  <c r="K161"/>
  <c r="K162" s="1"/>
  <c r="L161"/>
  <c r="M161"/>
  <c r="M162" s="1"/>
  <c r="N161"/>
  <c r="O161"/>
  <c r="O162" s="1"/>
  <c r="P161"/>
  <c r="Q161"/>
  <c r="J162"/>
  <c r="N162"/>
  <c r="G165"/>
  <c r="H165"/>
  <c r="I165"/>
  <c r="I168" s="1"/>
  <c r="J165"/>
  <c r="K165"/>
  <c r="L165"/>
  <c r="M165"/>
  <c r="M168" s="1"/>
  <c r="N165"/>
  <c r="O165"/>
  <c r="P165"/>
  <c r="Q165"/>
  <c r="B166"/>
  <c r="G166"/>
  <c r="H166"/>
  <c r="I166"/>
  <c r="J166"/>
  <c r="K166"/>
  <c r="L166"/>
  <c r="M166"/>
  <c r="N166"/>
  <c r="O166"/>
  <c r="P166"/>
  <c r="Q166"/>
  <c r="H167"/>
  <c r="H168" s="1"/>
  <c r="J167"/>
  <c r="J168" s="1"/>
  <c r="L167"/>
  <c r="N167"/>
  <c r="N168" s="1"/>
  <c r="P167"/>
  <c r="P168" s="1"/>
  <c r="G168"/>
  <c r="L168"/>
  <c r="Q168"/>
  <c r="G183"/>
  <c r="H183"/>
  <c r="I183"/>
  <c r="J183"/>
  <c r="K183"/>
  <c r="L183"/>
  <c r="L186" s="1"/>
  <c r="M183"/>
  <c r="N183"/>
  <c r="O183"/>
  <c r="P183"/>
  <c r="P186" s="1"/>
  <c r="S183"/>
  <c r="B184"/>
  <c r="G184"/>
  <c r="H184"/>
  <c r="I184"/>
  <c r="J184"/>
  <c r="K184"/>
  <c r="L184"/>
  <c r="M184"/>
  <c r="N184"/>
  <c r="O184"/>
  <c r="P184"/>
  <c r="S184"/>
  <c r="G185"/>
  <c r="G186" s="1"/>
  <c r="H185"/>
  <c r="I185"/>
  <c r="I186" s="1"/>
  <c r="J185"/>
  <c r="K185"/>
  <c r="K186" s="1"/>
  <c r="L185"/>
  <c r="M185"/>
  <c r="M186" s="1"/>
  <c r="N185"/>
  <c r="O185"/>
  <c r="O186" s="1"/>
  <c r="P185"/>
  <c r="Q185"/>
  <c r="S185"/>
  <c r="T185"/>
  <c r="J186"/>
  <c r="N186"/>
  <c r="H190"/>
  <c r="I190"/>
  <c r="J190"/>
  <c r="K190"/>
  <c r="L190"/>
  <c r="M190"/>
  <c r="M193" s="1"/>
  <c r="N190"/>
  <c r="O190"/>
  <c r="P190"/>
  <c r="B191"/>
  <c r="G191"/>
  <c r="I191"/>
  <c r="J191"/>
  <c r="K191"/>
  <c r="M191"/>
  <c r="O191"/>
  <c r="H192"/>
  <c r="L192"/>
  <c r="P192"/>
  <c r="I193"/>
  <c r="L193"/>
  <c r="O3" i="10"/>
  <c r="O4"/>
  <c r="O5"/>
  <c r="O6"/>
  <c r="O7"/>
  <c r="O8"/>
  <c r="O9"/>
  <c r="O10"/>
  <c r="O11"/>
  <c r="O12"/>
  <c r="O13"/>
  <c r="O14"/>
  <c r="O15"/>
  <c r="O16"/>
  <c r="O17"/>
  <c r="F18"/>
  <c r="O18" s="1"/>
  <c r="O19"/>
  <c r="O20"/>
  <c r="M21"/>
  <c r="O21" s="1"/>
  <c r="F22"/>
  <c r="O22" s="1"/>
  <c r="O23"/>
  <c r="O24"/>
  <c r="O25"/>
  <c r="O26"/>
  <c r="O27"/>
  <c r="M28"/>
  <c r="O28" s="1"/>
  <c r="O29"/>
  <c r="O30"/>
  <c r="O31"/>
  <c r="O32"/>
  <c r="F33"/>
  <c r="O33" s="1"/>
  <c r="O34"/>
  <c r="O35"/>
  <c r="O36"/>
  <c r="F37"/>
  <c r="O37" s="1"/>
  <c r="O38"/>
  <c r="O39"/>
  <c r="O40"/>
  <c r="F41"/>
  <c r="M41"/>
  <c r="O41" s="1"/>
  <c r="O42"/>
  <c r="O43"/>
  <c r="O44"/>
  <c r="O45"/>
  <c r="O46"/>
  <c r="D47"/>
  <c r="E47"/>
  <c r="G47"/>
  <c r="H47"/>
  <c r="I47"/>
  <c r="J47"/>
  <c r="K47"/>
  <c r="L47"/>
  <c r="N47"/>
  <c r="O53"/>
  <c r="O54"/>
  <c r="O55"/>
  <c r="O56"/>
  <c r="O57"/>
  <c r="F58"/>
  <c r="O58" s="1"/>
  <c r="O59"/>
  <c r="O60"/>
  <c r="O61"/>
  <c r="O62"/>
  <c r="F63"/>
  <c r="O63" s="1"/>
  <c r="O64"/>
  <c r="O65"/>
  <c r="O66"/>
  <c r="O67"/>
  <c r="M68"/>
  <c r="O68" s="1"/>
  <c r="F69"/>
  <c r="O69" s="1"/>
  <c r="O70"/>
  <c r="O71"/>
  <c r="O72"/>
  <c r="O73"/>
  <c r="O74"/>
  <c r="O75"/>
  <c r="O76"/>
  <c r="F77"/>
  <c r="M77"/>
  <c r="O77" s="1"/>
  <c r="O78"/>
  <c r="O79"/>
  <c r="O80"/>
  <c r="F81"/>
  <c r="O81" s="1"/>
  <c r="O82"/>
  <c r="M83"/>
  <c r="O83"/>
  <c r="O84"/>
  <c r="O85"/>
  <c r="O86"/>
  <c r="O87"/>
  <c r="O88"/>
  <c r="D89"/>
  <c r="E89"/>
  <c r="F89"/>
  <c r="G89"/>
  <c r="H89"/>
  <c r="I89"/>
  <c r="J89"/>
  <c r="K89"/>
  <c r="L89"/>
  <c r="N89"/>
  <c r="B104" i="16" l="1"/>
  <c r="N156"/>
  <c r="N192"/>
  <c r="J156"/>
  <c r="J192"/>
  <c r="J193" s="1"/>
  <c r="Q103" i="13"/>
  <c r="Q184" i="16"/>
  <c r="T184" s="1"/>
  <c r="Q183"/>
  <c r="Q159"/>
  <c r="Q148"/>
  <c r="Q150" s="1"/>
  <c r="Q115"/>
  <c r="S191" s="1"/>
  <c r="J117"/>
  <c r="O117"/>
  <c r="K117"/>
  <c r="Q84"/>
  <c r="Q85" s="1"/>
  <c r="S186" s="1"/>
  <c r="Q124" i="13"/>
  <c r="Q107"/>
  <c r="Q89"/>
  <c r="Q83"/>
  <c r="M89" i="10"/>
  <c r="O94"/>
  <c r="F47"/>
  <c r="H186" i="16"/>
  <c r="H162"/>
  <c r="Q160"/>
  <c r="Q143"/>
  <c r="O131"/>
  <c r="O132" s="1"/>
  <c r="M131"/>
  <c r="K131"/>
  <c r="K132" s="1"/>
  <c r="I131"/>
  <c r="G131"/>
  <c r="Q131" s="1"/>
  <c r="Q123"/>
  <c r="Q126" s="1"/>
  <c r="P117"/>
  <c r="H117"/>
  <c r="N117"/>
  <c r="Q88"/>
  <c r="Q90" s="1"/>
  <c r="S35"/>
  <c r="Q108" i="13"/>
  <c r="Q155" s="1"/>
  <c r="D92"/>
  <c r="D16" i="20"/>
  <c r="T183" i="16"/>
  <c r="Q186"/>
  <c r="O47" i="10"/>
  <c r="Q162" i="16"/>
  <c r="O89" i="10"/>
  <c r="O95" s="1"/>
  <c r="Q136" i="16"/>
  <c r="Q138" s="1"/>
  <c r="H142"/>
  <c r="G129"/>
  <c r="Q98"/>
  <c r="G100"/>
  <c r="Q127" i="13"/>
  <c r="R135" s="1"/>
  <c r="Q146"/>
  <c r="Q149" s="1"/>
  <c r="Q109"/>
  <c r="Q154"/>
  <c r="Q156" s="1"/>
  <c r="R153"/>
  <c r="Q92"/>
  <c r="R156" s="1"/>
  <c r="R146"/>
  <c r="M47" i="10"/>
  <c r="O167" i="16"/>
  <c r="M167"/>
  <c r="M192" s="1"/>
  <c r="K167"/>
  <c r="I167"/>
  <c r="I192" s="1"/>
  <c r="G167"/>
  <c r="O155"/>
  <c r="O156" s="1"/>
  <c r="M155"/>
  <c r="M156" s="1"/>
  <c r="K155"/>
  <c r="K156" s="1"/>
  <c r="I155"/>
  <c r="I156" s="1"/>
  <c r="G155"/>
  <c r="P142"/>
  <c r="N142"/>
  <c r="L142"/>
  <c r="J138"/>
  <c r="H138"/>
  <c r="Q111"/>
  <c r="R94" i="13"/>
  <c r="Q84"/>
  <c r="R147" s="1"/>
  <c r="Q78"/>
  <c r="H132" i="16"/>
  <c r="H85"/>
  <c r="B2"/>
  <c r="F92" i="13"/>
  <c r="L144" i="16" l="1"/>
  <c r="L191"/>
  <c r="P144"/>
  <c r="P191"/>
  <c r="P193" s="1"/>
  <c r="Q167"/>
  <c r="G192"/>
  <c r="K168"/>
  <c r="K192"/>
  <c r="K193" s="1"/>
  <c r="O168"/>
  <c r="O192"/>
  <c r="O193" s="1"/>
  <c r="Q100"/>
  <c r="G114"/>
  <c r="Q129"/>
  <c r="Q132" s="1"/>
  <c r="G132"/>
  <c r="G190"/>
  <c r="Q86" i="13"/>
  <c r="R149" s="1"/>
  <c r="N144" i="16"/>
  <c r="N191"/>
  <c r="N193" s="1"/>
  <c r="Q155"/>
  <c r="Q156" s="1"/>
  <c r="G156"/>
  <c r="H144"/>
  <c r="Q142"/>
  <c r="Q144" s="1"/>
  <c r="H191"/>
  <c r="T186"/>
  <c r="S187"/>
  <c r="Q191" l="1"/>
  <c r="T191" s="1"/>
  <c r="H193"/>
  <c r="Q114"/>
  <c r="G117"/>
  <c r="Q192"/>
  <c r="T192" s="1"/>
  <c r="Q190"/>
  <c r="G193"/>
  <c r="Q193" l="1"/>
  <c r="Q117"/>
  <c r="S190"/>
  <c r="T190" s="1"/>
  <c r="S193" l="1"/>
  <c r="S195" s="1"/>
  <c r="Q118"/>
  <c r="T193"/>
  <c r="Q195"/>
</calcChain>
</file>

<file path=xl/comments1.xml><?xml version="1.0" encoding="utf-8"?>
<comments xmlns="http://schemas.openxmlformats.org/spreadsheetml/2006/main">
  <authors>
    <author>Scott Lowry</author>
  </authors>
  <commentList>
    <comment ref="J191" authorId="0">
      <text>
        <r>
          <rPr>
            <b/>
            <sz val="8"/>
            <color indexed="81"/>
            <rFont val="Tahoma"/>
            <family val="2"/>
          </rPr>
          <t>Scott Lowry:</t>
        </r>
        <r>
          <rPr>
            <sz val="8"/>
            <color indexed="81"/>
            <rFont val="Tahoma"/>
            <family val="2"/>
          </rPr>
          <t xml:space="preserve">
Retain salaries of US employed ex-pats
</t>
        </r>
      </text>
    </comment>
  </commentList>
</comments>
</file>

<file path=xl/comments2.xml><?xml version="1.0" encoding="utf-8"?>
<comments xmlns="http://schemas.openxmlformats.org/spreadsheetml/2006/main">
  <authors>
    <author>Scott Lowry</author>
  </authors>
  <commentList>
    <comment ref="G90" authorId="0">
      <text>
        <r>
          <rPr>
            <b/>
            <sz val="8"/>
            <color indexed="81"/>
            <rFont val="Tahoma"/>
            <family val="2"/>
          </rPr>
          <t>Scott Lowry:</t>
        </r>
        <r>
          <rPr>
            <sz val="8"/>
            <color indexed="81"/>
            <rFont val="Tahoma"/>
            <family val="2"/>
          </rPr>
          <t xml:space="preserve">
Retain salaries of US employed ex-pats
</t>
        </r>
      </text>
    </comment>
    <comment ref="Q94" authorId="0">
      <text>
        <r>
          <rPr>
            <b/>
            <sz val="8"/>
            <color indexed="81"/>
            <rFont val="Tahoma"/>
            <family val="2"/>
          </rPr>
          <t>Scott Lowry:</t>
        </r>
        <r>
          <rPr>
            <sz val="8"/>
            <color indexed="81"/>
            <rFont val="Tahoma"/>
            <family val="2"/>
          </rPr>
          <t xml:space="preserve">
Credit reflects prior period adjustments by Accounting.</t>
        </r>
      </text>
    </comment>
    <comment ref="G107" authorId="0">
      <text>
        <r>
          <rPr>
            <b/>
            <sz val="8"/>
            <color indexed="81"/>
            <rFont val="Tahoma"/>
            <family val="2"/>
          </rPr>
          <t>Scott Lowry:</t>
        </r>
        <r>
          <rPr>
            <sz val="8"/>
            <color indexed="81"/>
            <rFont val="Tahoma"/>
            <family val="2"/>
          </rPr>
          <t xml:space="preserve">
Retain salaries of US employed ex-pats
</t>
        </r>
      </text>
    </comment>
    <comment ref="G119" authorId="0">
      <text>
        <r>
          <rPr>
            <b/>
            <sz val="8"/>
            <color indexed="81"/>
            <rFont val="Tahoma"/>
            <family val="2"/>
          </rPr>
          <t>Scott Lowry:</t>
        </r>
        <r>
          <rPr>
            <sz val="8"/>
            <color indexed="81"/>
            <rFont val="Tahoma"/>
            <family val="2"/>
          </rPr>
          <t xml:space="preserve">
Retain salaries of US employed ex-pats
</t>
        </r>
      </text>
    </comment>
    <comment ref="G154" authorId="0">
      <text>
        <r>
          <rPr>
            <b/>
            <sz val="8"/>
            <color indexed="81"/>
            <rFont val="Tahoma"/>
            <family val="2"/>
          </rPr>
          <t>Scott Lowry:</t>
        </r>
        <r>
          <rPr>
            <sz val="8"/>
            <color indexed="81"/>
            <rFont val="Tahoma"/>
            <family val="2"/>
          </rPr>
          <t xml:space="preserve">
Retain salaries of US employed ex-pats
</t>
        </r>
      </text>
    </comment>
  </commentList>
</comments>
</file>

<file path=xl/sharedStrings.xml><?xml version="1.0" encoding="utf-8"?>
<sst xmlns="http://schemas.openxmlformats.org/spreadsheetml/2006/main" count="1603" uniqueCount="552">
  <si>
    <t>TOTAL</t>
  </si>
  <si>
    <t>ACCOUNT</t>
  </si>
  <si>
    <t>Type</t>
  </si>
  <si>
    <t>COMPANY</t>
  </si>
  <si>
    <t>FACTOR</t>
  </si>
  <si>
    <t>FACTOR %</t>
  </si>
  <si>
    <t>ALLOCATED</t>
  </si>
  <si>
    <t>REF#</t>
  </si>
  <si>
    <t>Description of Adjustment:</t>
  </si>
  <si>
    <t>Total</t>
  </si>
  <si>
    <t>SO</t>
  </si>
  <si>
    <t>Acct 500400</t>
  </si>
  <si>
    <t>Acct 500700</t>
  </si>
  <si>
    <t>Acct 500850</t>
  </si>
  <si>
    <t>Acct 502900</t>
  </si>
  <si>
    <t>Acct 503400</t>
  </si>
  <si>
    <t>Acct 530110</t>
  </si>
  <si>
    <t>Acct 503125</t>
  </si>
  <si>
    <t>Title</t>
  </si>
  <si>
    <t>Cost Object</t>
  </si>
  <si>
    <t>Annual Incentives</t>
  </si>
  <si>
    <t>Severance</t>
  </si>
  <si>
    <t>Salary</t>
  </si>
  <si>
    <t>Taxes</t>
  </si>
  <si>
    <t>Club Dues</t>
  </si>
  <si>
    <t>Other</t>
  </si>
  <si>
    <t>Flight</t>
  </si>
  <si>
    <t>Education</t>
  </si>
  <si>
    <t>Health</t>
  </si>
  <si>
    <t>Accommodation</t>
  </si>
  <si>
    <t>Car</t>
  </si>
  <si>
    <t>Mng Dir, Strategy and Executive Support</t>
  </si>
  <si>
    <t>Mgr, Communications</t>
  </si>
  <si>
    <t>PPM VP, New Business Initiatives</t>
  </si>
  <si>
    <t>Mng Dir, Construction</t>
  </si>
  <si>
    <t>Mng Dir, Asset Mgmt</t>
  </si>
  <si>
    <t>Dir, Audit</t>
  </si>
  <si>
    <t>Divisional Controller, Wholesale Energy</t>
  </si>
  <si>
    <t>Dir, Program</t>
  </si>
  <si>
    <t>Business Analyst</t>
  </si>
  <si>
    <t>Division Controller, US Performance</t>
  </si>
  <si>
    <t xml:space="preserve">Dir, Business Analysis </t>
  </si>
  <si>
    <t>Labor Relations Consultant</t>
  </si>
  <si>
    <t>Fuels Manager</t>
  </si>
  <si>
    <t>Mgr, Human Resources</t>
  </si>
  <si>
    <t>Group Health and Safety Director</t>
  </si>
  <si>
    <t>Director, Business Transformation</t>
  </si>
  <si>
    <t>Dir, Collections</t>
  </si>
  <si>
    <t>CFO, PPM</t>
  </si>
  <si>
    <t>Executive Vice President</t>
  </si>
  <si>
    <t>Dir, Learning &amp; Development</t>
  </si>
  <si>
    <t>PPM Director, Financial Projects</t>
  </si>
  <si>
    <t>EVP Strategy &amp; Planning</t>
  </si>
  <si>
    <t>VP, Major Projects</t>
  </si>
  <si>
    <t>Director, Labor Relations</t>
  </si>
  <si>
    <t>VP, Commercial</t>
  </si>
  <si>
    <t>SVP Distribution</t>
  </si>
  <si>
    <t>Dir, Resource Planning</t>
  </si>
  <si>
    <t>Division Controller</t>
  </si>
  <si>
    <t>Mng Director, Business Improvements</t>
  </si>
  <si>
    <t>Vice President, Cust Svc</t>
  </si>
  <si>
    <t>Management Accountant</t>
  </si>
  <si>
    <t>CFO, PacifiCorp</t>
  </si>
  <si>
    <t>Chariman, PacifiCorp</t>
  </si>
  <si>
    <t>Director, Business Development</t>
  </si>
  <si>
    <t>Process Analyst</t>
  </si>
  <si>
    <t>Director, Strategy and Planning</t>
  </si>
  <si>
    <t>VP External Communications</t>
  </si>
  <si>
    <t>MD, Regulation</t>
  </si>
  <si>
    <t>MD, Planning</t>
  </si>
  <si>
    <t>Manager, Commercial Development</t>
  </si>
  <si>
    <t>Director, Procurement</t>
  </si>
  <si>
    <t>Manager, Risk</t>
  </si>
  <si>
    <t>Restructuring Program Manager</t>
  </si>
  <si>
    <t>EVP Power Delivery</t>
  </si>
  <si>
    <t>Remove the following:</t>
  </si>
  <si>
    <t>Name</t>
  </si>
  <si>
    <t>Abercrombie, David</t>
  </si>
  <si>
    <t>Brady, Geraldine</t>
  </si>
  <si>
    <t>Brown, Julian</t>
  </si>
  <si>
    <t>Brown, Paul</t>
  </si>
  <si>
    <t>Burden, Alec</t>
  </si>
  <si>
    <t>Cairns, Stephen</t>
  </si>
  <si>
    <t>Dixon, Paul</t>
  </si>
  <si>
    <t>Edgar, John</t>
  </si>
  <si>
    <t>Gallacher, Andrew</t>
  </si>
  <si>
    <t>Galloway, Brian</t>
  </si>
  <si>
    <t>Harrison, Keith</t>
  </si>
  <si>
    <t>Heron, Alison</t>
  </si>
  <si>
    <t>Hester, Brian</t>
  </si>
  <si>
    <t>Hollis, Mike</t>
  </si>
  <si>
    <t>Kelly, Jack</t>
  </si>
  <si>
    <t>Kelly, Stuart</t>
  </si>
  <si>
    <t>Kelsall, Vicky</t>
  </si>
  <si>
    <t>Kerr, Merrick</t>
  </si>
  <si>
    <t>Landels, William</t>
  </si>
  <si>
    <t>Macdonald, Deirdre</t>
  </si>
  <si>
    <t>MacDougall, Gordon</t>
  </si>
  <si>
    <t>MacRitchie, Andy</t>
  </si>
  <si>
    <t>McLaren, Robin</t>
  </si>
  <si>
    <t>McLaughlin, Jim</t>
  </si>
  <si>
    <t>Mitchell, Frank</t>
  </si>
  <si>
    <t>Moir, Robert</t>
  </si>
  <si>
    <t>Morrison, Janet</t>
  </si>
  <si>
    <t>Mullan, Hugh</t>
  </si>
  <si>
    <t>Mundy, Chris</t>
  </si>
  <si>
    <t>Nelson, Amanda</t>
  </si>
  <si>
    <t>O'Hara Daniel</t>
  </si>
  <si>
    <t>Peach, Richard</t>
  </si>
  <si>
    <t>Richardson, Alan</t>
  </si>
  <si>
    <t>Riley, Andy</t>
  </si>
  <si>
    <t>Rolfe, Susan</t>
  </si>
  <si>
    <t>Scott, Roy</t>
  </si>
  <si>
    <t>Sherrard, Rachel</t>
  </si>
  <si>
    <t>Stewart, John</t>
  </si>
  <si>
    <t>Tait, Alex</t>
  </si>
  <si>
    <t>Toal, Jim</t>
  </si>
  <si>
    <t>Tulloch, Ray</t>
  </si>
  <si>
    <t>Walker, Gareth</t>
  </si>
  <si>
    <t>Wright, Douglas</t>
  </si>
  <si>
    <t>Wright, Matthew</t>
  </si>
  <si>
    <t>Power Delivery</t>
  </si>
  <si>
    <t>All Other A&amp;G</t>
  </si>
  <si>
    <t>October 1, 2003 - September 30, 2004</t>
  </si>
  <si>
    <t>Acct 503100</t>
  </si>
  <si>
    <t>Acct 583100</t>
  </si>
  <si>
    <t>Acct 585900</t>
  </si>
  <si>
    <t>Annual Incentive</t>
  </si>
  <si>
    <t>Airfare</t>
  </si>
  <si>
    <t>Accomodation</t>
  </si>
  <si>
    <t>Business Risk Mgr</t>
  </si>
  <si>
    <t>Engineer</t>
  </si>
  <si>
    <t xml:space="preserve">Mng Director </t>
  </si>
  <si>
    <t>Head Grp Inst Rel</t>
  </si>
  <si>
    <t>Supp Bus Ptnr</t>
  </si>
  <si>
    <t>Empl Policy Mgr</t>
  </si>
  <si>
    <t>Logistics Specialist</t>
  </si>
  <si>
    <t>Blackbelt</t>
  </si>
  <si>
    <t>Grid Sys Ops Mgr</t>
  </si>
  <si>
    <t>Plant Protect off</t>
  </si>
  <si>
    <t>Risk Strategy Mgr</t>
  </si>
  <si>
    <t>Accountant</t>
  </si>
  <si>
    <t>Investment Rel Mgr</t>
  </si>
  <si>
    <t>Marketing Mgr</t>
  </si>
  <si>
    <t>Project Engineer</t>
  </si>
  <si>
    <t>Consultant</t>
  </si>
  <si>
    <t>Manager</t>
  </si>
  <si>
    <t>Commercial Dev Mgr</t>
  </si>
  <si>
    <t>Grand Total</t>
  </si>
  <si>
    <t>Intll Assignee</t>
  </si>
  <si>
    <t>Total Costs</t>
  </si>
  <si>
    <t>International Assignees employed as PacifiCorp employees</t>
  </si>
  <si>
    <t xml:space="preserve">International Assignees which have returned to UK </t>
  </si>
  <si>
    <t xml:space="preserve">     Total Cost</t>
  </si>
  <si>
    <t>Remove International Assignees which have returned to UK</t>
  </si>
  <si>
    <t xml:space="preserve">     Costs to be Adjusted in Sept Semi-Annual Reports</t>
  </si>
  <si>
    <t>FERC Account Breakdown:</t>
  </si>
  <si>
    <t>Total Amount</t>
  </si>
  <si>
    <t>Total Adjustment</t>
  </si>
  <si>
    <t>CHECK</t>
  </si>
  <si>
    <t xml:space="preserve">   By Group:</t>
  </si>
  <si>
    <t xml:space="preserve">   Total A&amp;G Expense - Acct 930</t>
  </si>
  <si>
    <t xml:space="preserve">   Adjustment to A&amp;G Expense - Acct 930 </t>
  </si>
  <si>
    <t xml:space="preserve">   Total Distribution Expense - Acct 580</t>
  </si>
  <si>
    <t xml:space="preserve">   Adjustment to Distribution Expense - Acct 580</t>
  </si>
  <si>
    <t>Total Costs for Recovery</t>
  </si>
  <si>
    <t>Check column</t>
  </si>
  <si>
    <t>Recovery</t>
  </si>
  <si>
    <t>Sum of Costs</t>
  </si>
  <si>
    <t>to be adjusted</t>
  </si>
  <si>
    <t>and Costs for</t>
  </si>
  <si>
    <t>Columns</t>
  </si>
  <si>
    <t>should tie</t>
  </si>
  <si>
    <t>Group Breakdown:</t>
  </si>
  <si>
    <t>Ex-Pat Costs - Regulatory Adjustment</t>
  </si>
  <si>
    <t xml:space="preserve">     Total A&amp;G Expense - Acct 930</t>
  </si>
  <si>
    <t xml:space="preserve">     Total Adjustment to A&amp;G Expense - Acct 930</t>
  </si>
  <si>
    <t xml:space="preserve">     Total Distribution Expense - Acct 580</t>
  </si>
  <si>
    <t xml:space="preserve">     Total Adjustment to Distribution Exp - Acct 580</t>
  </si>
  <si>
    <t xml:space="preserve">International Assignees who remain in the US </t>
  </si>
  <si>
    <t>Mng Director - Generation</t>
  </si>
  <si>
    <t xml:space="preserve">   Total Generation Expense - Acct 500</t>
  </si>
  <si>
    <t xml:space="preserve">   Adjustment to Generation Expense - Acct 500</t>
  </si>
  <si>
    <t xml:space="preserve">     Total Adjustment to Generation Exp - Acct 500</t>
  </si>
  <si>
    <t>NIC*</t>
  </si>
  <si>
    <t>Penalty*</t>
  </si>
  <si>
    <t>Interest*</t>
  </si>
  <si>
    <t>Notes:  NIC, Penalty, and Interest are related to one time UK employee insurance charges</t>
  </si>
  <si>
    <t>x</t>
  </si>
  <si>
    <t>A</t>
  </si>
  <si>
    <t>B</t>
  </si>
  <si>
    <t>C</t>
  </si>
  <si>
    <t>Group</t>
  </si>
  <si>
    <t xml:space="preserve">Cost  </t>
  </si>
  <si>
    <t xml:space="preserve">Object </t>
  </si>
  <si>
    <t>Penalty</t>
  </si>
  <si>
    <t>Interest</t>
  </si>
  <si>
    <t>ABERCROMBIE, DAVID</t>
  </si>
  <si>
    <t>ADAM, DAVID</t>
  </si>
  <si>
    <t>ARCHIBALD, RACHEL</t>
  </si>
  <si>
    <t>BAKER, STEVEN</t>
  </si>
  <si>
    <t>BARLOW, DANIEL</t>
  </si>
  <si>
    <t>BAXTER, PAUL</t>
  </si>
  <si>
    <t>BENNS, ROBERT</t>
  </si>
  <si>
    <t>BOOTH, KATE</t>
  </si>
  <si>
    <t>BOWATER, JON</t>
  </si>
  <si>
    <t>BRADY, GERALDINE</t>
  </si>
  <si>
    <t>Mngr, Communications</t>
  </si>
  <si>
    <t>BROWN, JULIAN</t>
  </si>
  <si>
    <t>BROWN, PAUL</t>
  </si>
  <si>
    <t>Mngr Dir, Construction</t>
  </si>
  <si>
    <t>BURDEN, ALEC</t>
  </si>
  <si>
    <t>Mngr Dir, Asset Management</t>
  </si>
  <si>
    <t>BURNS, LES</t>
  </si>
  <si>
    <t>CAIRNS, STEPHEN</t>
  </si>
  <si>
    <t>CALLINGHAM, AMANDA</t>
  </si>
  <si>
    <t>CLELAND, KIRSTY</t>
  </si>
  <si>
    <t>CORCORAN, TIM</t>
  </si>
  <si>
    <t>DEVLIN, KEVIN</t>
  </si>
  <si>
    <t>DIXON, PAUL</t>
  </si>
  <si>
    <t>Division Controller, Wholesale Energy</t>
  </si>
  <si>
    <t>EDGAR, JOHN</t>
  </si>
  <si>
    <t>Director, Program</t>
  </si>
  <si>
    <t>FALCONER, LINDA</t>
  </si>
  <si>
    <t>GALLACHER, ANDY</t>
  </si>
  <si>
    <t>GALLOWAY, BRIAN</t>
  </si>
  <si>
    <t>HARRISON, KEITH</t>
  </si>
  <si>
    <t>Dir, Business Analysis</t>
  </si>
  <si>
    <t>HERON, ALISON</t>
  </si>
  <si>
    <t>HESTER, BRIAN</t>
  </si>
  <si>
    <t>HOLLIS, MIKE</t>
  </si>
  <si>
    <t>JAMIESON, ANDREW</t>
  </si>
  <si>
    <t>KEDDIE, IONA</t>
  </si>
  <si>
    <t>KELLY, JACK</t>
  </si>
  <si>
    <t>KELLY, STUART</t>
  </si>
  <si>
    <t>KELSALL, VICKY</t>
  </si>
  <si>
    <t>KERR, IAIN (Merrick)</t>
  </si>
  <si>
    <t>KILPATRICK, GRAHAM</t>
  </si>
  <si>
    <t>LANDELS, BILL</t>
  </si>
  <si>
    <t>LAWTON, JENNIFER</t>
  </si>
  <si>
    <t xml:space="preserve">MACDONALD, DEIDRE </t>
  </si>
  <si>
    <t>MACDOUGALL, GORDON</t>
  </si>
  <si>
    <t>MACKIE, ROSS</t>
  </si>
  <si>
    <t>MACRITCHIE, ANDY</t>
  </si>
  <si>
    <t>MANSON, DIANE</t>
  </si>
  <si>
    <t>MCLAREN, ROBIN</t>
  </si>
  <si>
    <t>VP Major Projects</t>
  </si>
  <si>
    <t>MCLAUGHLIN, JIM</t>
  </si>
  <si>
    <t>Director Labor Relations</t>
  </si>
  <si>
    <t>MCNEIL, NORMAN</t>
  </si>
  <si>
    <t>MELLORS, TRACY</t>
  </si>
  <si>
    <t>MERCER, RONNIE</t>
  </si>
  <si>
    <t>MITCHELL, FRANK</t>
  </si>
  <si>
    <t>MOIR, BOB</t>
  </si>
  <si>
    <t>MORRISON, JANET</t>
  </si>
  <si>
    <t>MULLAN, HUGH</t>
  </si>
  <si>
    <t>MUNDY, CHRIS</t>
  </si>
  <si>
    <t>Mng Dir, Business Improvements</t>
  </si>
  <si>
    <t>NELSON, AMANDA</t>
  </si>
  <si>
    <t>O'HARA, DANIEL</t>
  </si>
  <si>
    <t>PAOLINI, ALMA</t>
  </si>
  <si>
    <t>PEACH, RICHARD</t>
  </si>
  <si>
    <t>RICHARDSON, ALAN</t>
  </si>
  <si>
    <t>Chairman, PacifiCorp</t>
  </si>
  <si>
    <t>RILEY, ANDY</t>
  </si>
  <si>
    <t>ROLFE, SUE</t>
  </si>
  <si>
    <t>ROSS, DAVID</t>
  </si>
  <si>
    <t>SCOTT, ROY</t>
  </si>
  <si>
    <t>SEABROOK, SAM</t>
  </si>
  <si>
    <t>SHERRARD-SMITH, RACHAEL</t>
  </si>
  <si>
    <t>SIMPSON, HAZEL</t>
  </si>
  <si>
    <t>STEWART, JOHN</t>
  </si>
  <si>
    <t>Mng Dir, Regulation</t>
  </si>
  <si>
    <t>STOKES, ARLENE</t>
  </si>
  <si>
    <t>TAIT, ALEX</t>
  </si>
  <si>
    <t>THOMSON, DOUGLAS</t>
  </si>
  <si>
    <t>TITTERTON, DAVID</t>
  </si>
  <si>
    <t>TOAL, JIM</t>
  </si>
  <si>
    <t>TULLOCH, RAY</t>
  </si>
  <si>
    <t>WALKER, GARETH</t>
  </si>
  <si>
    <t>WEST, RHONA</t>
  </si>
  <si>
    <t>WILLIAMS, GARY</t>
  </si>
  <si>
    <t>WRIGHT, DOUGLAS</t>
  </si>
  <si>
    <t>Restructuring Manager</t>
  </si>
  <si>
    <t>WRIGHT, MATTHEW</t>
  </si>
  <si>
    <t>YOUNG, ALLAN</t>
  </si>
  <si>
    <t>Localized as PacifiCorp Employee</t>
  </si>
  <si>
    <t>International Assignee Costs</t>
  </si>
  <si>
    <t>Exclude PPM costs (as they were not included in PacifiCorp financials)</t>
  </si>
  <si>
    <t>PPM</t>
  </si>
  <si>
    <t>Mgng Director, Performance Mgmt &amp; Rptg</t>
  </si>
  <si>
    <t>PPM Employee -Direct Charge</t>
  </si>
  <si>
    <t xml:space="preserve">Employee on Intern'l Assign-PPW </t>
  </si>
  <si>
    <t>Out of Period PPW Employee Costs</t>
  </si>
  <si>
    <t>Corp Perf Reporting</t>
  </si>
  <si>
    <t>Blundel Plant</t>
  </si>
  <si>
    <t>External Reporting</t>
  </si>
  <si>
    <t>Investor Relations</t>
  </si>
  <si>
    <t>Regulation</t>
  </si>
  <si>
    <t>HR Staffing</t>
  </si>
  <si>
    <t>PPW Bus Dev</t>
  </si>
  <si>
    <t>SPW Transition</t>
  </si>
  <si>
    <t>Fuels Manager - SPW Transition</t>
  </si>
  <si>
    <t>Major Programs</t>
  </si>
  <si>
    <t>Finance</t>
  </si>
  <si>
    <t>Bus dev</t>
  </si>
  <si>
    <t>Power Del</t>
  </si>
  <si>
    <t>Legend :</t>
  </si>
  <si>
    <t>Total PPM</t>
  </si>
  <si>
    <t>Mgng Director, Generation</t>
  </si>
  <si>
    <t xml:space="preserve">   Adjustment By Group:   </t>
  </si>
  <si>
    <t xml:space="preserve">     Total Costs</t>
  </si>
  <si>
    <t xml:space="preserve">   International Assignees who remain in the US </t>
  </si>
  <si>
    <t xml:space="preserve">   International Assignees which have returned to UK </t>
  </si>
  <si>
    <t>I.S. Engineer</t>
  </si>
  <si>
    <t>SAIC</t>
  </si>
  <si>
    <t>Retain salaries only of "Located" employees</t>
  </si>
  <si>
    <t>PPM   Risk Director, PPM Energy</t>
  </si>
  <si>
    <t>PPM   Director, PPM Business Development</t>
  </si>
  <si>
    <t>PPM   Manager, PPW Risk Insurance</t>
  </si>
  <si>
    <t>PPM  Director, Financial Projects</t>
  </si>
  <si>
    <t>PPM   CFO</t>
  </si>
  <si>
    <t>PPM   Director, Strategy and Planning</t>
  </si>
  <si>
    <t>PPM   VP, New Business Initiatives</t>
  </si>
  <si>
    <t>Costs for Recovery = &gt;</t>
  </si>
  <si>
    <t>A&amp;G</t>
  </si>
  <si>
    <t>N/A</t>
  </si>
  <si>
    <t>Dist</t>
  </si>
  <si>
    <t>Gen</t>
  </si>
  <si>
    <t>Function</t>
  </si>
  <si>
    <t>Acct</t>
  </si>
  <si>
    <t>Remove all IA's that have returned to the UK</t>
  </si>
  <si>
    <t>Trans</t>
  </si>
  <si>
    <t xml:space="preserve">     Total Distribution Expense - Acct 560</t>
  </si>
  <si>
    <t xml:space="preserve">     Total Adjustment to Generation Exp - Acct 560</t>
  </si>
  <si>
    <t xml:space="preserve">     Total Distribution Expense - Acct 557</t>
  </si>
  <si>
    <t xml:space="preserve">     Total Adjustment to Generation Exp - Acct 557</t>
  </si>
  <si>
    <t>PPW TOTAL</t>
  </si>
  <si>
    <t xml:space="preserve">   Acct 921</t>
  </si>
  <si>
    <t xml:space="preserve">   Adjustment to Acct 921 </t>
  </si>
  <si>
    <t xml:space="preserve">   Acct 580</t>
  </si>
  <si>
    <t xml:space="preserve">     Total A&amp;G Expense - Acct 921</t>
  </si>
  <si>
    <t xml:space="preserve">     Total Adjustment to A&amp;G Expense - Acct 921</t>
  </si>
  <si>
    <t xml:space="preserve">   Adjustment to Acct 580</t>
  </si>
  <si>
    <t xml:space="preserve">   Acct 560</t>
  </si>
  <si>
    <t xml:space="preserve">   Adjustment to  Acct 560</t>
  </si>
  <si>
    <t xml:space="preserve">   Adjustment to Acct 557</t>
  </si>
  <si>
    <t>BY FERC ACCOUNT:</t>
  </si>
  <si>
    <t xml:space="preserve">   Acct 557 - </t>
  </si>
  <si>
    <t xml:space="preserve">     Total Costs for Recovery</t>
  </si>
  <si>
    <t xml:space="preserve">   International Assignee one-time and out of period adjmts</t>
  </si>
  <si>
    <t>Fiscal Year</t>
  </si>
  <si>
    <t>Posting Period</t>
  </si>
  <si>
    <t>Document Number</t>
  </si>
  <si>
    <t>Account number</t>
  </si>
  <si>
    <t>In transaction curr.</t>
  </si>
  <si>
    <t>User name</t>
  </si>
  <si>
    <t>Text</t>
  </si>
  <si>
    <t>Category</t>
  </si>
  <si>
    <t>Ref.Doc.No.</t>
  </si>
  <si>
    <t>Cost Center</t>
  </si>
  <si>
    <t>Order</t>
  </si>
  <si>
    <t>FERC Account</t>
  </si>
  <si>
    <t>FERC Location</t>
  </si>
  <si>
    <t>P75431</t>
  </si>
  <si>
    <t>TAX SERVICE - ALISON HERON</t>
  </si>
  <si>
    <t>Tax</t>
  </si>
  <si>
    <t>TAX SERVICES FOR MIKE HOLIS</t>
  </si>
  <si>
    <t>TAX SERVICES FOR STUART KELLY</t>
  </si>
  <si>
    <t>TAX SERVICES FOR JACK  KELLY</t>
  </si>
  <si>
    <t>TAX SERVICES FOR AMANDA NELSON-WRIGHT</t>
  </si>
  <si>
    <t>TAX SERVICES FOR FRANK MITCHELL</t>
  </si>
  <si>
    <t>TAX SERVICES FOR BILL LANDELS</t>
  </si>
  <si>
    <t>TAX SERVICES FOR JIM TOAL</t>
  </si>
  <si>
    <t>TAX SERVICES FOR MATTHEW WRIGHT</t>
  </si>
  <si>
    <t>TAX SERVICES FOR GARETH WALKER</t>
  </si>
  <si>
    <t>TAX SERVICES FOR ALEX TAIT</t>
  </si>
  <si>
    <t>TAX SERVICES FOR RACHEL SHERRARD</t>
  </si>
  <si>
    <t>TAX SERVICES FOR SUE ROLFE</t>
  </si>
  <si>
    <t>TAX SERVICES FOR RICHARD PEACH</t>
  </si>
  <si>
    <t>TAX SERVICES FOR DANNY O'HARA</t>
  </si>
  <si>
    <t>TAX SERVICES FOR CHRIS MUNDY</t>
  </si>
  <si>
    <t>TAX SERVICES FOR BOB MOIR</t>
  </si>
  <si>
    <t>TAX SERVICES FOR PAUL BROWN</t>
  </si>
  <si>
    <t>TAX SERVICES FOR ALEX BURDEN</t>
  </si>
  <si>
    <t>TAX SERVICES FOR STEPHEN CAIRNS</t>
  </si>
  <si>
    <t>TAX SERVICES FOR BRIAN GALLOWAY</t>
  </si>
  <si>
    <t>TAX SERVICES FOR KEITH HARRISON</t>
  </si>
  <si>
    <t>TAX SERVICES FOR ANDY MACRITCHIE</t>
  </si>
  <si>
    <t>TAX SERVICES FOR DEIRDRE MACDONALD</t>
  </si>
  <si>
    <t>P05559</t>
  </si>
  <si>
    <t>TAX PMNT PROCESSING FOR SP EMPLOYEES</t>
  </si>
  <si>
    <t>BOB MOIR</t>
  </si>
  <si>
    <t>KEITH HARRISON</t>
  </si>
  <si>
    <t>BRIAN GALLOWAY</t>
  </si>
  <si>
    <t>MATTHEW WRIGHT</t>
  </si>
  <si>
    <t>BILL LANDELS</t>
  </si>
  <si>
    <t>ALEX TAIT</t>
  </si>
  <si>
    <t>ALAN RICHARDSON</t>
  </si>
  <si>
    <t>RACHEL SHERRARD</t>
  </si>
  <si>
    <t>RICHARD PEACH</t>
  </si>
  <si>
    <t>GARETH WALKER</t>
  </si>
  <si>
    <t>DEIRDRE MACDONALD</t>
  </si>
  <si>
    <t>ANDY MACRITCHIE</t>
  </si>
  <si>
    <t>SUE ROLFE</t>
  </si>
  <si>
    <t>DANIEL O'HARA</t>
  </si>
  <si>
    <t>STEPHEN CAIRNS</t>
  </si>
  <si>
    <t>DOUGLAS WRIGHT</t>
  </si>
  <si>
    <t>JESSE BOUMMAN</t>
  </si>
  <si>
    <t>P15073</t>
  </si>
  <si>
    <t>TAX SERVICE FOR RICHARD PEACH</t>
  </si>
  <si>
    <t>P15109</t>
  </si>
  <si>
    <t>TAX PAYMENT PROCESSING FOR SP EMPLOYEES</t>
  </si>
  <si>
    <t>A RICHARDSON-TAX SVCS</t>
  </si>
  <si>
    <t>P73578</t>
  </si>
  <si>
    <t>P75347</t>
  </si>
  <si>
    <t>D WRIGHT -TAX SERVICES</t>
  </si>
  <si>
    <t>A TAIT-TAX SERVICES</t>
  </si>
  <si>
    <t>R SHERRARD-TAX SERVICES</t>
  </si>
  <si>
    <t>B LANDELS-TAX SERVICES</t>
  </si>
  <si>
    <t>M WRIGHT-TAX SERVICES</t>
  </si>
  <si>
    <t>A NELSON-TAX SERVICES</t>
  </si>
  <si>
    <t>A MACRITCHIE-TAX SERVICES</t>
  </si>
  <si>
    <t>S KELLY-TAX SERVICES</t>
  </si>
  <si>
    <t>D MACDONALD-TAX SERVICES</t>
  </si>
  <si>
    <t>US ASSIGNEES-TAX SERVICES</t>
  </si>
  <si>
    <t>S ROLFE-TAX SERVICES</t>
  </si>
  <si>
    <t>K HARRISON-TAX SERVICES</t>
  </si>
  <si>
    <t>G WALKER-TAX SERVICES</t>
  </si>
  <si>
    <t>A NELSON-WRIGHT - TAX SERVICES</t>
  </si>
  <si>
    <t>A BURDEN-TAX SERVICES</t>
  </si>
  <si>
    <t>P-BROWN-TAX SERVICES</t>
  </si>
  <si>
    <t>G BRADY-TAX SERVICES</t>
  </si>
  <si>
    <t>R PEACH-TAX SERVICES</t>
  </si>
  <si>
    <t>S CAIRNS-TAX SERVICES</t>
  </si>
  <si>
    <t>D O'HARA-TAX SERVICES</t>
  </si>
  <si>
    <t>B GALLOWAY-TAX SERVICES</t>
  </si>
  <si>
    <t>B MOIR-TAX SERVICES</t>
  </si>
  <si>
    <t>M HOLLIS-TAX SERVICES</t>
  </si>
  <si>
    <t>PAUL BROWN-TAX SERVICES</t>
  </si>
  <si>
    <t>GARETH WALKER-TAX SERVICES</t>
  </si>
  <si>
    <t>SUE ROLFE-TAX SERVICES</t>
  </si>
  <si>
    <t>ALEX TAIT-TAX SERVICES</t>
  </si>
  <si>
    <t>J TOAL-TAX SERVICES</t>
  </si>
  <si>
    <t>H MULLAN-TAX SERVICES</t>
  </si>
  <si>
    <t>S KELLY TAX SERVICES</t>
  </si>
  <si>
    <t>J MCLAUGHLIN-TAX SERVICES</t>
  </si>
  <si>
    <t>P15560</t>
  </si>
  <si>
    <t>STEPHEN CAIRNS - TAX SERVICE</t>
  </si>
  <si>
    <t>DANIEL O'HARA - TAX SERVICES</t>
  </si>
  <si>
    <t>P73617</t>
  </si>
  <si>
    <t>tax pmt sevices for scottish pow employees</t>
  </si>
  <si>
    <t>TAX PAYMENT FOR SCOTTISH POWER EMPLOYEES</t>
  </si>
  <si>
    <t>TAX PAYMENT SERVICES FOR SCOTTISH POWER EMPLOYEES</t>
  </si>
  <si>
    <t>TAX PAYMENTS FOR SP EMPLOYEES</t>
  </si>
  <si>
    <t>TAX PMT FOR SP EMPLOYEES</t>
  </si>
  <si>
    <t>TAX PMTS FOR SP EMPLOYEES</t>
  </si>
  <si>
    <t>Charges Found in Account 923</t>
  </si>
  <si>
    <t xml:space="preserve">   Acct 923</t>
  </si>
  <si>
    <t>Account 923 costs are not included in the worksheet from Todd Dinehart</t>
  </si>
  <si>
    <t>Account</t>
  </si>
  <si>
    <t xml:space="preserve">     Total A&amp;G Expense - Acct 923</t>
  </si>
  <si>
    <t>Amount</t>
  </si>
  <si>
    <t xml:space="preserve">   Adjustment to Acct 923 </t>
  </si>
  <si>
    <t xml:space="preserve">     Total Adjustment to A&amp;G Expense - Acct 923</t>
  </si>
  <si>
    <t>*</t>
  </si>
  <si>
    <t>Location</t>
  </si>
  <si>
    <t>Factor</t>
  </si>
  <si>
    <t>UT</t>
  </si>
  <si>
    <t>Mng Dir, Planning</t>
  </si>
  <si>
    <t xml:space="preserve">Vice President, Cust Service </t>
  </si>
  <si>
    <t xml:space="preserve">Management Accountant </t>
  </si>
  <si>
    <t xml:space="preserve">Director, Internal Audit </t>
  </si>
  <si>
    <t xml:space="preserve">Process Analyst </t>
  </si>
  <si>
    <t>EVP Strategy &amp; Major Projects</t>
  </si>
  <si>
    <t xml:space="preserve">EVP, Operations </t>
  </si>
  <si>
    <t xml:space="preserve">EVP Power Delivery </t>
  </si>
  <si>
    <t>Tax Preparation Services Expenses for International Assignees</t>
  </si>
  <si>
    <t xml:space="preserve">  Location</t>
  </si>
  <si>
    <t xml:space="preserve">  Factor</t>
  </si>
  <si>
    <t>Remove all Tax Prep Services given US employees are not typically afforded this service</t>
  </si>
  <si>
    <t xml:space="preserve">   Adjustment to Acct 9238/5/2005 </t>
  </si>
  <si>
    <t xml:space="preserve">   Acct 9238/5/2005</t>
  </si>
  <si>
    <t xml:space="preserve">  By Location Code and Factor8/5/2005</t>
  </si>
  <si>
    <t xml:space="preserve">     Costs to be Adjusted </t>
  </si>
  <si>
    <t xml:space="preserve">   International Assignees at US compensation levels</t>
  </si>
  <si>
    <t>Adjust Ongoing Positions to US Comp Levels:</t>
  </si>
  <si>
    <t xml:space="preserve">   Acct 557 IA's at IA levels</t>
  </si>
  <si>
    <t xml:space="preserve">   Acct 921 IA's at US levels</t>
  </si>
  <si>
    <t xml:space="preserve">   Total</t>
  </si>
  <si>
    <t>IA's in Ongoing Positions to IA Comp Levels:</t>
  </si>
  <si>
    <t>IA's in Ongoing Positions at US Comp Levels:</t>
  </si>
  <si>
    <t>Net reduction to US Comp Levels:</t>
  </si>
  <si>
    <t>Current IA's are adjusted to represent costs at US levels given the positions are ongoing.</t>
  </si>
  <si>
    <t>Outside Service Costs</t>
  </si>
  <si>
    <t>Page 4.4.1</t>
  </si>
  <si>
    <t>To 4.4</t>
  </si>
  <si>
    <t>Adjustment to Expense:</t>
  </si>
  <si>
    <t>PacifiCorp</t>
  </si>
  <si>
    <t>CA</t>
  </si>
  <si>
    <t>OR</t>
  </si>
  <si>
    <t>WA</t>
  </si>
  <si>
    <t>ID</t>
  </si>
  <si>
    <t>WASHINGTON</t>
  </si>
  <si>
    <t>Amortization</t>
  </si>
  <si>
    <t>Beginning Balance</t>
  </si>
  <si>
    <t>Ending Balance</t>
  </si>
  <si>
    <t>January</t>
  </si>
  <si>
    <t>February</t>
  </si>
  <si>
    <t>March</t>
  </si>
  <si>
    <t>April</t>
  </si>
  <si>
    <t>May</t>
  </si>
  <si>
    <t>June</t>
  </si>
  <si>
    <t>July</t>
  </si>
  <si>
    <t>August</t>
  </si>
  <si>
    <t>September</t>
  </si>
  <si>
    <t>October</t>
  </si>
  <si>
    <t>November</t>
  </si>
  <si>
    <t>December</t>
  </si>
  <si>
    <t>Remove amortization in unadjusted results</t>
  </si>
  <si>
    <t xml:space="preserve">Deferral and Amortization of Pension Curtailment </t>
  </si>
  <si>
    <t xml:space="preserve">Amortization Period </t>
  </si>
  <si>
    <t>Postretirement Date Change</t>
  </si>
  <si>
    <t>FERC Acct</t>
  </si>
  <si>
    <t>WYP</t>
  </si>
  <si>
    <t>SG</t>
  </si>
  <si>
    <t>Total base period amort to remove</t>
  </si>
  <si>
    <t>Original Amount</t>
  </si>
  <si>
    <t>Additional Local 127</t>
  </si>
  <si>
    <t>36 months</t>
  </si>
  <si>
    <t>23 months</t>
  </si>
  <si>
    <t>Add Local 127</t>
  </si>
  <si>
    <t>12 Months Ended December 2009 included in Unadjusted Results</t>
  </si>
  <si>
    <t>Washington General Rate Case - December 2009</t>
  </si>
  <si>
    <t>Pro Forma amortization</t>
  </si>
  <si>
    <t>Page 4.4</t>
  </si>
  <si>
    <t>4.4.1</t>
  </si>
  <si>
    <t>4.4.2</t>
  </si>
  <si>
    <t>Ref 4.4</t>
  </si>
  <si>
    <t>Washington portion per Stipulation UE - 090205</t>
  </si>
  <si>
    <t>Adjustment to Tax:</t>
  </si>
  <si>
    <t>Schedule M Deduction</t>
  </si>
  <si>
    <t>DIT Expense</t>
  </si>
  <si>
    <t>SCHMDT</t>
  </si>
  <si>
    <t>Schedule M</t>
  </si>
  <si>
    <t>Def Tax Exp</t>
  </si>
  <si>
    <t>Pro Forma Amort</t>
  </si>
  <si>
    <t xml:space="preserve">Pension Curtailment </t>
  </si>
  <si>
    <t>Pension Curtailment</t>
  </si>
  <si>
    <t xml:space="preserve">Pension Curtailment Amortization - </t>
  </si>
  <si>
    <t>Situs</t>
  </si>
  <si>
    <t>PRO</t>
  </si>
</sst>
</file>

<file path=xl/styles.xml><?xml version="1.0" encoding="utf-8"?>
<styleSheet xmlns="http://schemas.openxmlformats.org/spreadsheetml/2006/main">
  <numFmts count="1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0.000%"/>
    <numFmt numFmtId="167" formatCode="#,##0.0000"/>
    <numFmt numFmtId="168" formatCode="mmmm\ d\,\ yyyy"/>
    <numFmt numFmtId="169" formatCode="General_)"/>
    <numFmt numFmtId="170" formatCode="_-* #,##0\ &quot;F&quot;_-;\-* #,##0\ &quot;F&quot;_-;_-* &quot;-&quot;\ &quot;F&quot;_-;_-@_-"/>
    <numFmt numFmtId="171" formatCode="#,##0.000;[Red]\-#,##0.000"/>
    <numFmt numFmtId="172" formatCode="&quot;$&quot;###0;[Red]\(&quot;$&quot;###0\)"/>
    <numFmt numFmtId="173" formatCode="########\-###\-###"/>
    <numFmt numFmtId="174" formatCode="0.0"/>
    <numFmt numFmtId="175" formatCode="#,##0.0_);\(#,##0.0\);\-\ ;"/>
  </numFmts>
  <fonts count="78">
    <font>
      <sz val="10"/>
      <name val="Arial"/>
    </font>
    <font>
      <sz val="11"/>
      <color theme="1"/>
      <name val="Calibri"/>
      <family val="2"/>
      <scheme val="minor"/>
    </font>
    <font>
      <sz val="10"/>
      <name val="Arial"/>
      <family val="2"/>
    </font>
    <font>
      <sz val="8"/>
      <name val="Arial"/>
      <family val="2"/>
    </font>
    <font>
      <b/>
      <sz val="8"/>
      <name val="Arial"/>
      <family val="2"/>
    </font>
    <font>
      <b/>
      <sz val="12"/>
      <name val="Arial"/>
      <family val="2"/>
    </font>
    <font>
      <sz val="9"/>
      <name val="Arial"/>
      <family val="2"/>
    </font>
    <font>
      <u/>
      <sz val="8"/>
      <name val="Arial"/>
      <family val="2"/>
    </font>
    <font>
      <b/>
      <sz val="8"/>
      <name val="Arial"/>
      <family val="2"/>
    </font>
    <font>
      <sz val="8"/>
      <color indexed="12"/>
      <name val="Arial"/>
      <family val="2"/>
    </font>
    <font>
      <b/>
      <sz val="9"/>
      <name val="Arial"/>
      <family val="2"/>
    </font>
    <font>
      <sz val="8"/>
      <name val="Arial"/>
      <family val="2"/>
    </font>
    <font>
      <b/>
      <sz val="10"/>
      <name val="Arial"/>
      <family val="2"/>
    </font>
    <font>
      <b/>
      <sz val="11"/>
      <name val="Arial"/>
      <family val="2"/>
    </font>
    <font>
      <sz val="10"/>
      <name val="Arial"/>
      <family val="2"/>
    </font>
    <font>
      <sz val="9"/>
      <color indexed="8"/>
      <name val="Arial"/>
      <family val="2"/>
    </font>
    <font>
      <b/>
      <sz val="9"/>
      <color indexed="8"/>
      <name val="Arial"/>
      <family val="2"/>
    </font>
    <font>
      <sz val="9"/>
      <name val="Arial Narrow"/>
      <family val="2"/>
    </font>
    <font>
      <sz val="9"/>
      <color indexed="8"/>
      <name val="Arial Narrow"/>
      <family val="2"/>
    </font>
    <font>
      <sz val="9"/>
      <color indexed="9"/>
      <name val="Arial"/>
      <family val="2"/>
    </font>
    <font>
      <i/>
      <sz val="10"/>
      <name val="Arial"/>
      <family val="2"/>
    </font>
    <font>
      <b/>
      <sz val="8"/>
      <color indexed="81"/>
      <name val="Tahoma"/>
      <family val="2"/>
    </font>
    <font>
      <sz val="8"/>
      <color indexed="81"/>
      <name val="Tahoma"/>
      <family val="2"/>
    </font>
    <font>
      <b/>
      <sz val="10"/>
      <color indexed="10"/>
      <name val="Arial"/>
      <family val="2"/>
    </font>
    <font>
      <sz val="10"/>
      <name val="Arial Narrow"/>
      <family val="2"/>
    </font>
    <font>
      <b/>
      <sz val="11"/>
      <name val="Arial Narrow"/>
      <family val="2"/>
    </font>
    <font>
      <b/>
      <sz val="10"/>
      <name val="Arial Narrow"/>
      <family val="2"/>
    </font>
    <font>
      <b/>
      <sz val="10"/>
      <color indexed="10"/>
      <name val="Arial Narrow"/>
      <family val="2"/>
    </font>
    <font>
      <b/>
      <i/>
      <sz val="9"/>
      <name val="Arial"/>
      <family val="2"/>
    </font>
    <font>
      <b/>
      <sz val="10"/>
      <color indexed="9"/>
      <name val="Arial"/>
      <family val="2"/>
    </font>
    <font>
      <sz val="8"/>
      <color indexed="9"/>
      <name val="Arial"/>
      <family val="2"/>
    </font>
    <font>
      <b/>
      <sz val="8"/>
      <color indexed="9"/>
      <name val="Arial"/>
      <family val="2"/>
    </font>
    <font>
      <sz val="12"/>
      <name val="Arial"/>
      <family val="2"/>
    </font>
    <font>
      <b/>
      <sz val="10"/>
      <name val="Arial"/>
      <family val="2"/>
    </font>
    <font>
      <sz val="10"/>
      <color indexed="17"/>
      <name val="Arial"/>
      <family val="2"/>
    </font>
    <font>
      <sz val="10"/>
      <color indexed="16"/>
      <name val="Arial"/>
      <family val="2"/>
    </font>
    <font>
      <b/>
      <sz val="10"/>
      <color indexed="16"/>
      <name val="Arial Narrow"/>
      <family val="2"/>
    </font>
    <font>
      <b/>
      <sz val="10"/>
      <color indexed="17"/>
      <name val="Arial Narrow"/>
      <family val="2"/>
    </font>
    <font>
      <sz val="11"/>
      <name val="Arial"/>
      <family val="2"/>
    </font>
    <font>
      <sz val="10"/>
      <color indexed="8"/>
      <name val="Helv"/>
    </font>
    <font>
      <sz val="10"/>
      <name val="Helv"/>
    </font>
    <font>
      <sz val="10"/>
      <color indexed="11"/>
      <name val="Geneva"/>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Courier"/>
      <family val="3"/>
    </font>
    <font>
      <i/>
      <sz val="11"/>
      <color indexed="23"/>
      <name val="Calibri"/>
      <family val="2"/>
    </font>
    <font>
      <sz val="7"/>
      <name val="Arial"/>
      <family val="2"/>
    </font>
    <font>
      <sz val="11"/>
      <color indexed="17"/>
      <name val="Calibri"/>
      <family val="2"/>
    </font>
    <font>
      <b/>
      <sz val="16"/>
      <name val="Times New Roman"/>
      <family val="1"/>
    </font>
    <font>
      <b/>
      <sz val="18"/>
      <name val="Arial"/>
      <family val="2"/>
    </font>
    <font>
      <b/>
      <sz val="11"/>
      <color indexed="56"/>
      <name val="Calibri"/>
      <family val="2"/>
    </font>
    <font>
      <b/>
      <i/>
      <sz val="8"/>
      <color indexed="18"/>
      <name val="Helv"/>
    </font>
    <font>
      <sz val="11"/>
      <color indexed="52"/>
      <name val="Calibri"/>
      <family val="2"/>
    </font>
    <font>
      <sz val="11"/>
      <color indexed="60"/>
      <name val="Calibri"/>
      <family val="2"/>
    </font>
    <font>
      <sz val="11"/>
      <color indexed="8"/>
      <name val="TimesNewRomanPS"/>
    </font>
    <font>
      <b/>
      <sz val="11"/>
      <color indexed="63"/>
      <name val="Calibri"/>
      <family val="2"/>
    </font>
    <font>
      <sz val="12"/>
      <name val="Arial MT"/>
    </font>
    <font>
      <b/>
      <sz val="18"/>
      <color indexed="56"/>
      <name val="Cambria"/>
      <family val="2"/>
    </font>
    <font>
      <sz val="10"/>
      <name val="LinePrinter"/>
    </font>
    <font>
      <sz val="11"/>
      <color indexed="10"/>
      <name val="Calibri"/>
      <family val="2"/>
    </font>
    <font>
      <u/>
      <sz val="10"/>
      <name val="Arial"/>
      <family val="2"/>
    </font>
    <font>
      <sz val="10"/>
      <color indexed="10"/>
      <name val="Arial"/>
      <family val="2"/>
    </font>
    <font>
      <b/>
      <sz val="10"/>
      <color indexed="8"/>
      <name val="Arial"/>
      <family val="2"/>
    </font>
    <font>
      <sz val="10"/>
      <color indexed="8"/>
      <name val="Arial"/>
      <family val="2"/>
    </font>
    <font>
      <b/>
      <sz val="11"/>
      <color theme="1"/>
      <name val="Calibri"/>
      <family val="2"/>
      <scheme val="minor"/>
    </font>
    <font>
      <b/>
      <u/>
      <sz val="11"/>
      <color theme="1"/>
      <name val="Calibri"/>
      <family val="2"/>
      <scheme val="minor"/>
    </font>
    <font>
      <b/>
      <u/>
      <sz val="10"/>
      <name val="Arial"/>
      <family val="2"/>
    </font>
    <font>
      <sz val="8"/>
      <name val="Helv"/>
    </font>
    <font>
      <sz val="12"/>
      <name val="Times New Roman"/>
      <family val="1"/>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1"/>
      </patternFill>
    </fill>
    <fill>
      <patternFill patternType="solid">
        <fgColor indexed="40"/>
      </patternFill>
    </fill>
    <fill>
      <patternFill patternType="lightGray"/>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55"/>
        <bgColor indexed="64"/>
      </patternFill>
    </fill>
    <fill>
      <patternFill patternType="solid">
        <fgColor indexed="50"/>
      </patternFill>
    </fill>
    <fill>
      <patternFill patternType="lightUp">
        <fgColor indexed="48"/>
        <bgColor indexed="41"/>
      </patternFill>
    </fill>
    <fill>
      <patternFill patternType="solid">
        <fgColor indexed="54"/>
        <bgColor indexed="64"/>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14"/>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5"/>
      </left>
      <right/>
      <top/>
      <bottom/>
      <diagonal/>
    </border>
    <border>
      <left style="thin">
        <color indexed="8"/>
      </left>
      <right style="thin">
        <color indexed="8"/>
      </right>
      <top style="thin">
        <color indexed="8"/>
      </top>
      <bottom/>
      <diagonal/>
    </border>
    <border>
      <left style="thin">
        <color indexed="8"/>
      </left>
      <right style="thin">
        <color indexed="8"/>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8"/>
      </left>
      <right/>
      <top style="thin">
        <color indexed="8"/>
      </top>
      <bottom/>
      <diagonal/>
    </border>
    <border>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top style="thin">
        <color indexed="64"/>
      </top>
      <bottom style="double">
        <color indexed="64"/>
      </bottom>
      <diagonal/>
    </border>
    <border>
      <left style="thin">
        <color indexed="8"/>
      </left>
      <right/>
      <top/>
      <bottom/>
      <diagonal/>
    </border>
    <border>
      <left style="thin">
        <color indexed="8"/>
      </left>
      <right style="thin">
        <color indexed="8"/>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hair">
        <color indexed="64"/>
      </bottom>
      <diagonal/>
    </border>
    <border>
      <left style="thin">
        <color indexed="41"/>
      </left>
      <right style="thin">
        <color indexed="48"/>
      </right>
      <top style="medium">
        <color indexed="41"/>
      </top>
      <bottom style="thin">
        <color indexed="48"/>
      </bottom>
      <diagonal/>
    </border>
    <border>
      <left style="double">
        <color indexed="64"/>
      </left>
      <right style="double">
        <color indexed="64"/>
      </right>
      <top style="double">
        <color indexed="64"/>
      </top>
      <bottom style="double">
        <color indexed="64"/>
      </bottom>
      <diagonal/>
    </border>
  </borders>
  <cellStyleXfs count="140">
    <xf numFmtId="0" fontId="0" fillId="0" borderId="0"/>
    <xf numFmtId="0" fontId="43" fillId="2"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5" borderId="0" applyNumberFormat="0" applyBorder="0" applyAlignment="0" applyProtection="0"/>
    <xf numFmtId="0" fontId="43" fillId="8" borderId="0" applyNumberFormat="0" applyBorder="0" applyAlignment="0" applyProtection="0"/>
    <xf numFmtId="0" fontId="43" fillId="11"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5" fillId="3" borderId="0" applyNumberFormat="0" applyBorder="0" applyAlignment="0" applyProtection="0"/>
    <xf numFmtId="0" fontId="46" fillId="20" borderId="1" applyNumberFormat="0" applyAlignment="0" applyProtection="0"/>
    <xf numFmtId="0" fontId="47" fillId="21" borderId="2" applyNumberFormat="0" applyAlignment="0" applyProtection="0"/>
    <xf numFmtId="0" fontId="48" fillId="0" borderId="0"/>
    <xf numFmtId="43" fontId="2" fillId="0" borderId="0" applyFont="0" applyFill="0" applyBorder="0" applyAlignment="0" applyProtection="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 fontId="39" fillId="0" borderId="0"/>
    <xf numFmtId="37" fontId="2" fillId="0" borderId="0" applyFill="0" applyBorder="0" applyAlignment="0" applyProtection="0"/>
    <xf numFmtId="0" fontId="40" fillId="0" borderId="0"/>
    <xf numFmtId="0" fontId="40" fillId="0" borderId="0"/>
    <xf numFmtId="0" fontId="40" fillId="0" borderId="0"/>
    <xf numFmtId="44" fontId="2" fillId="0" borderId="0" applyFont="0" applyFill="0" applyBorder="0" applyAlignment="0" applyProtection="0"/>
    <xf numFmtId="5" fontId="40" fillId="0" borderId="0"/>
    <xf numFmtId="5" fontId="2" fillId="0" borderId="0" applyFill="0" applyBorder="0" applyAlignment="0" applyProtection="0"/>
    <xf numFmtId="168" fontId="2" fillId="0" borderId="0" applyFill="0" applyBorder="0" applyAlignment="0" applyProtection="0"/>
    <xf numFmtId="0" fontId="40" fillId="0" borderId="0"/>
    <xf numFmtId="0" fontId="49" fillId="0" borderId="0" applyNumberFormat="0" applyFill="0" applyBorder="0" applyAlignment="0" applyProtection="0"/>
    <xf numFmtId="2" fontId="2" fillId="0" borderId="0" applyFill="0" applyBorder="0" applyAlignment="0" applyProtection="0"/>
    <xf numFmtId="0" fontId="50" fillId="0" borderId="0" applyFont="0" applyFill="0" applyBorder="0" applyAlignment="0" applyProtection="0">
      <alignment horizontal="left"/>
    </xf>
    <xf numFmtId="0" fontId="51" fillId="4" borderId="0" applyNumberFormat="0" applyBorder="0" applyAlignment="0" applyProtection="0"/>
    <xf numFmtId="38" fontId="3" fillId="22" borderId="0" applyNumberFormat="0" applyBorder="0" applyAlignment="0" applyProtection="0"/>
    <xf numFmtId="0" fontId="52" fillId="0" borderId="0"/>
    <xf numFmtId="0" fontId="5" fillId="0" borderId="3" applyNumberFormat="0" applyAlignment="0" applyProtection="0">
      <alignment horizontal="left" vertical="center"/>
    </xf>
    <xf numFmtId="0" fontId="5" fillId="0" borderId="4">
      <alignment horizontal="left" vertical="center"/>
    </xf>
    <xf numFmtId="0" fontId="53" fillId="0" borderId="0" applyNumberFormat="0" applyFill="0" applyBorder="0" applyAlignment="0" applyProtection="0"/>
    <xf numFmtId="0" fontId="42" fillId="0" borderId="0" applyNumberFormat="0" applyFill="0" applyBorder="0" applyAlignment="0" applyProtection="0"/>
    <xf numFmtId="0" fontId="54" fillId="0" borderId="5" applyNumberFormat="0" applyFill="0" applyAlignment="0" applyProtection="0"/>
    <xf numFmtId="0" fontId="54" fillId="0" borderId="0" applyNumberFormat="0" applyFill="0" applyBorder="0" applyAlignment="0" applyProtection="0"/>
    <xf numFmtId="0" fontId="55" fillId="0" borderId="0" applyNumberFormat="0" applyFill="0" applyBorder="0" applyAlignment="0">
      <protection locked="0"/>
    </xf>
    <xf numFmtId="10" fontId="3" fillId="23" borderId="6" applyNumberFormat="0" applyBorder="0" applyAlignment="0" applyProtection="0"/>
    <xf numFmtId="0" fontId="56" fillId="0" borderId="7" applyNumberFormat="0" applyFill="0" applyAlignment="0" applyProtection="0"/>
    <xf numFmtId="0" fontId="57" fillId="24" borderId="0" applyNumberFormat="0" applyBorder="0" applyAlignment="0" applyProtection="0"/>
    <xf numFmtId="37" fontId="58" fillId="0" borderId="0" applyNumberFormat="0" applyFill="0" applyBorder="0"/>
    <xf numFmtId="171" fontId="2" fillId="0" borderId="0"/>
    <xf numFmtId="37" fontId="40" fillId="0" borderId="0"/>
    <xf numFmtId="0" fontId="2" fillId="25" borderId="8" applyNumberFormat="0" applyFont="0" applyAlignment="0" applyProtection="0"/>
    <xf numFmtId="0" fontId="59" fillId="20" borderId="9" applyNumberFormat="0" applyAlignment="0" applyProtection="0"/>
    <xf numFmtId="0" fontId="40" fillId="0" borderId="0"/>
    <xf numFmtId="0" fontId="40" fillId="0" borderId="0"/>
    <xf numFmtId="9" fontId="2" fillId="0" borderId="0" applyFont="0" applyFill="0" applyBorder="0" applyAlignment="0" applyProtection="0"/>
    <xf numFmtId="10" fontId="2" fillId="0" borderId="0" applyFont="0" applyFill="0" applyBorder="0" applyAlignment="0" applyProtection="0"/>
    <xf numFmtId="9" fontId="41" fillId="0" borderId="0"/>
    <xf numFmtId="4" fontId="66" fillId="26" borderId="0" applyNumberFormat="0" applyProtection="0">
      <alignment horizontal="left" vertical="center" indent="1"/>
    </xf>
    <xf numFmtId="4" fontId="67" fillId="27" borderId="10" applyNumberFormat="0" applyProtection="0">
      <alignment horizontal="right" vertical="center"/>
    </xf>
    <xf numFmtId="4" fontId="67" fillId="28" borderId="10" applyNumberFormat="0" applyProtection="0">
      <alignment horizontal="left" vertical="center" indent="1"/>
    </xf>
    <xf numFmtId="0" fontId="67" fillId="26" borderId="10" applyNumberFormat="0" applyProtection="0">
      <alignment horizontal="center" vertical="top"/>
    </xf>
    <xf numFmtId="37" fontId="60" fillId="29" borderId="0" applyNumberFormat="0" applyFont="0" applyBorder="0" applyAlignment="0" applyProtection="0"/>
    <xf numFmtId="167" fontId="2" fillId="0" borderId="11">
      <alignment horizontal="justify" vertical="top" wrapText="1"/>
    </xf>
    <xf numFmtId="0" fontId="61" fillId="0" borderId="0" applyNumberFormat="0" applyFill="0" applyBorder="0" applyAlignment="0" applyProtection="0"/>
    <xf numFmtId="0" fontId="33" fillId="0" borderId="6">
      <alignment horizontal="center" vertical="center" wrapText="1"/>
    </xf>
    <xf numFmtId="0" fontId="2" fillId="0" borderId="12" applyNumberFormat="0" applyFill="0" applyAlignment="0" applyProtection="0"/>
    <xf numFmtId="0" fontId="40" fillId="0" borderId="13"/>
    <xf numFmtId="169" fontId="62" fillId="0" borderId="0">
      <alignment horizontal="left"/>
    </xf>
    <xf numFmtId="0" fontId="40" fillId="0" borderId="14"/>
    <xf numFmtId="0" fontId="63" fillId="0" borderId="0" applyNumberFormat="0" applyFill="0" applyBorder="0" applyAlignment="0" applyProtection="0"/>
    <xf numFmtId="0" fontId="2" fillId="0" borderId="0"/>
    <xf numFmtId="37" fontId="2" fillId="0" borderId="0" applyFill="0" applyBorder="0" applyAlignment="0" applyProtection="0"/>
    <xf numFmtId="172" fontId="71" fillId="0" borderId="0" applyFont="0" applyFill="0" applyBorder="0" applyProtection="0">
      <alignment horizontal="right"/>
    </xf>
    <xf numFmtId="168" fontId="2" fillId="0" borderId="0" applyFill="0" applyBorder="0" applyAlignment="0" applyProtection="0"/>
    <xf numFmtId="173" fontId="2" fillId="0" borderId="0"/>
    <xf numFmtId="174" fontId="4" fillId="0" borderId="0" applyNumberFormat="0" applyFill="0" applyBorder="0" applyAlignment="0" applyProtection="0"/>
    <xf numFmtId="0" fontId="3" fillId="0" borderId="76" applyNumberFormat="0" applyBorder="0" applyAlignment="0"/>
    <xf numFmtId="175" fontId="72" fillId="0" borderId="0" applyFont="0" applyFill="0" applyBorder="0" applyProtection="0"/>
    <xf numFmtId="12" fontId="5" fillId="34" borderId="40">
      <alignment horizontal="left"/>
    </xf>
    <xf numFmtId="4" fontId="66" fillId="24" borderId="10" applyNumberFormat="0" applyProtection="0">
      <alignment vertical="center"/>
    </xf>
    <xf numFmtId="4" fontId="73" fillId="32" borderId="10" applyNumberFormat="0" applyProtection="0">
      <alignment vertical="center"/>
    </xf>
    <xf numFmtId="4" fontId="66" fillId="32" borderId="10" applyNumberFormat="0" applyProtection="0">
      <alignment horizontal="left" vertical="center" indent="1"/>
    </xf>
    <xf numFmtId="0" fontId="66" fillId="32" borderId="10" applyNumberFormat="0" applyProtection="0">
      <alignment horizontal="left" vertical="top" indent="1"/>
    </xf>
    <xf numFmtId="4" fontId="67" fillId="3" borderId="10" applyNumberFormat="0" applyProtection="0">
      <alignment horizontal="right" vertical="center"/>
    </xf>
    <xf numFmtId="4" fontId="67" fillId="9" borderId="10" applyNumberFormat="0" applyProtection="0">
      <alignment horizontal="right" vertical="center"/>
    </xf>
    <xf numFmtId="4" fontId="67" fillId="17" borderId="10" applyNumberFormat="0" applyProtection="0">
      <alignment horizontal="right" vertical="center"/>
    </xf>
    <xf numFmtId="4" fontId="67" fillId="11" borderId="10" applyNumberFormat="0" applyProtection="0">
      <alignment horizontal="right" vertical="center"/>
    </xf>
    <xf numFmtId="4" fontId="67" fillId="15" borderId="10" applyNumberFormat="0" applyProtection="0">
      <alignment horizontal="right" vertical="center"/>
    </xf>
    <xf numFmtId="4" fontId="67" fillId="19" borderId="10" applyNumberFormat="0" applyProtection="0">
      <alignment horizontal="right" vertical="center"/>
    </xf>
    <xf numFmtId="4" fontId="67" fillId="18" borderId="10" applyNumberFormat="0" applyProtection="0">
      <alignment horizontal="right" vertical="center"/>
    </xf>
    <xf numFmtId="4" fontId="67" fillId="35" borderId="10" applyNumberFormat="0" applyProtection="0">
      <alignment horizontal="right" vertical="center"/>
    </xf>
    <xf numFmtId="4" fontId="67" fillId="10" borderId="10" applyNumberFormat="0" applyProtection="0">
      <alignment horizontal="right" vertical="center"/>
    </xf>
    <xf numFmtId="4" fontId="66" fillId="36" borderId="77" applyNumberFormat="0" applyProtection="0">
      <alignment horizontal="left" vertical="center" indent="1"/>
    </xf>
    <xf numFmtId="4" fontId="67" fillId="27" borderId="0" applyNumberFormat="0" applyProtection="0">
      <alignment horizontal="left" indent="1"/>
    </xf>
    <xf numFmtId="4" fontId="74" fillId="37" borderId="0" applyNumberFormat="0" applyProtection="0">
      <alignment horizontal="left" vertical="center" indent="1"/>
    </xf>
    <xf numFmtId="4" fontId="67" fillId="28" borderId="10" applyNumberFormat="0" applyProtection="0">
      <alignment horizontal="right" vertical="center"/>
    </xf>
    <xf numFmtId="4" fontId="75" fillId="38" borderId="0" applyNumberFormat="0" applyProtection="0">
      <alignment horizontal="left" indent="1"/>
    </xf>
    <xf numFmtId="4" fontId="76" fillId="39" borderId="0" applyNumberFormat="0" applyProtection="0"/>
    <xf numFmtId="0" fontId="2" fillId="37" borderId="10" applyNumberFormat="0" applyProtection="0">
      <alignment horizontal="left" vertical="center" indent="1"/>
    </xf>
    <xf numFmtId="0" fontId="2" fillId="37" borderId="10" applyNumberFormat="0" applyProtection="0">
      <alignment horizontal="left" vertical="top" indent="1"/>
    </xf>
    <xf numFmtId="0" fontId="2" fillId="26" borderId="10" applyNumberFormat="0" applyProtection="0">
      <alignment horizontal="left" vertical="center" indent="1"/>
    </xf>
    <xf numFmtId="0" fontId="2" fillId="26" borderId="10" applyNumberFormat="0" applyProtection="0">
      <alignment horizontal="left" vertical="top" indent="1"/>
    </xf>
    <xf numFmtId="0" fontId="2" fillId="40" borderId="10" applyNumberFormat="0" applyProtection="0">
      <alignment horizontal="left" vertical="center" indent="1"/>
    </xf>
    <xf numFmtId="0" fontId="2" fillId="40"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4" fontId="67" fillId="23" borderId="10" applyNumberFormat="0" applyProtection="0">
      <alignment vertical="center"/>
    </xf>
    <xf numFmtId="4" fontId="77" fillId="23" borderId="10" applyNumberFormat="0" applyProtection="0">
      <alignment vertical="center"/>
    </xf>
    <xf numFmtId="4" fontId="67" fillId="23" borderId="10" applyNumberFormat="0" applyProtection="0">
      <alignment horizontal="left" vertical="center" indent="1"/>
    </xf>
    <xf numFmtId="0" fontId="67" fillId="23" borderId="10" applyNumberFormat="0" applyProtection="0">
      <alignment horizontal="left" vertical="top" indent="1"/>
    </xf>
    <xf numFmtId="4" fontId="77" fillId="27" borderId="10" applyNumberFormat="0" applyProtection="0">
      <alignment horizontal="right" vertical="center"/>
    </xf>
    <xf numFmtId="4" fontId="53" fillId="0" borderId="0" applyNumberFormat="0" applyProtection="0">
      <alignment horizontal="left" vertical="center"/>
    </xf>
    <xf numFmtId="4" fontId="65" fillId="27" borderId="10" applyNumberFormat="0" applyProtection="0">
      <alignment horizontal="right" vertical="center"/>
    </xf>
    <xf numFmtId="0" fontId="2" fillId="0" borderId="0">
      <alignment horizontal="left" wrapText="1"/>
    </xf>
    <xf numFmtId="37" fontId="3" fillId="32" borderId="0" applyNumberFormat="0" applyBorder="0" applyAlignment="0" applyProtection="0"/>
    <xf numFmtId="37" fontId="3" fillId="0" borderId="0"/>
    <xf numFmtId="3" fontId="9" fillId="41" borderId="78"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xf numFmtId="41" fontId="2" fillId="0" borderId="0" applyFont="0" applyFill="0" applyBorder="0" applyAlignment="0" applyProtection="0"/>
  </cellStyleXfs>
  <cellXfs count="442">
    <xf numFmtId="0" fontId="0" fillId="0" borderId="0" xfId="0"/>
    <xf numFmtId="0" fontId="3" fillId="0" borderId="0" xfId="0" applyFont="1"/>
    <xf numFmtId="0" fontId="3" fillId="0" borderId="0" xfId="0" applyFont="1" applyAlignment="1">
      <alignment horizontal="center"/>
    </xf>
    <xf numFmtId="0" fontId="4" fillId="0" borderId="0" xfId="0" applyFont="1"/>
    <xf numFmtId="164" fontId="3" fillId="0" borderId="0" xfId="29" applyNumberFormat="1" applyFont="1" applyBorder="1"/>
    <xf numFmtId="0" fontId="3" fillId="0" borderId="0" xfId="0" applyFont="1" applyBorder="1"/>
    <xf numFmtId="0" fontId="5" fillId="0" borderId="0" xfId="0" applyFont="1"/>
    <xf numFmtId="0" fontId="4" fillId="0" borderId="0" xfId="0" quotePrefix="1" applyFont="1" applyAlignment="1">
      <alignment horizontal="left"/>
    </xf>
    <xf numFmtId="0" fontId="6" fillId="0" borderId="0" xfId="0" applyFont="1"/>
    <xf numFmtId="0" fontId="6" fillId="0" borderId="0" xfId="0" applyNumberFormat="1" applyFont="1" applyAlignment="1">
      <alignment horizontal="right"/>
    </xf>
    <xf numFmtId="0" fontId="3" fillId="0" borderId="0" xfId="0" applyNumberFormat="1" applyFont="1"/>
    <xf numFmtId="0" fontId="4" fillId="0" borderId="0" xfId="0" applyFont="1" applyAlignment="1">
      <alignment horizontal="left"/>
    </xf>
    <xf numFmtId="0" fontId="0" fillId="0" borderId="0" xfId="0" applyNumberFormat="1"/>
    <xf numFmtId="0" fontId="7" fillId="0" borderId="0" xfId="0" applyFont="1" applyAlignment="1">
      <alignment horizontal="center"/>
    </xf>
    <xf numFmtId="0" fontId="7" fillId="0" borderId="0" xfId="0" quotePrefix="1" applyFont="1" applyAlignment="1">
      <alignment horizontal="center"/>
    </xf>
    <xf numFmtId="0" fontId="7" fillId="0" borderId="0" xfId="0" applyNumberFormat="1" applyFont="1" applyAlignment="1">
      <alignment horizontal="center"/>
    </xf>
    <xf numFmtId="0" fontId="8" fillId="0" borderId="0" xfId="0" applyFont="1" applyBorder="1"/>
    <xf numFmtId="0" fontId="3" fillId="0" borderId="0" xfId="0" applyFont="1" applyBorder="1" applyAlignment="1">
      <alignment horizontal="center"/>
    </xf>
    <xf numFmtId="164" fontId="3" fillId="0" borderId="0" xfId="29" applyNumberFormat="1" applyFont="1" applyBorder="1" applyAlignment="1">
      <alignment horizontal="center"/>
    </xf>
    <xf numFmtId="166" fontId="3" fillId="0" borderId="0" xfId="71" applyNumberFormat="1" applyFont="1" applyAlignment="1">
      <alignment horizontal="center"/>
    </xf>
    <xf numFmtId="0" fontId="0" fillId="0" borderId="0" xfId="0" applyBorder="1" applyAlignment="1">
      <alignment horizontal="center"/>
    </xf>
    <xf numFmtId="3" fontId="3" fillId="0" borderId="0" xfId="0" applyNumberFormat="1" applyFont="1" applyBorder="1" applyAlignment="1">
      <alignment horizontal="center"/>
    </xf>
    <xf numFmtId="0" fontId="3" fillId="0" borderId="0" xfId="0" applyNumberFormat="1" applyFont="1" applyBorder="1" applyAlignment="1">
      <alignment horizontal="center"/>
    </xf>
    <xf numFmtId="0" fontId="3" fillId="0" borderId="0" xfId="0" quotePrefix="1" applyFont="1" applyBorder="1" applyAlignment="1">
      <alignment horizontal="left"/>
    </xf>
    <xf numFmtId="0" fontId="3" fillId="0" borderId="0" xfId="0" applyNumberFormat="1" applyFont="1" applyBorder="1"/>
    <xf numFmtId="0" fontId="3" fillId="0" borderId="0" xfId="0" quotePrefix="1" applyFont="1" applyBorder="1" applyAlignment="1">
      <alignment horizontal="center"/>
    </xf>
    <xf numFmtId="0" fontId="3" fillId="0" borderId="0" xfId="0" quotePrefix="1" applyNumberFormat="1" applyFont="1" applyBorder="1" applyAlignment="1">
      <alignment horizontal="center"/>
    </xf>
    <xf numFmtId="10" fontId="3" fillId="0" borderId="0" xfId="0" applyNumberFormat="1" applyFont="1" applyBorder="1"/>
    <xf numFmtId="0" fontId="0" fillId="0" borderId="0" xfId="0" applyBorder="1"/>
    <xf numFmtId="0" fontId="0" fillId="0" borderId="0" xfId="0" applyNumberFormat="1" applyBorder="1"/>
    <xf numFmtId="0" fontId="0" fillId="0" borderId="0" xfId="0" applyAlignment="1">
      <alignment horizontal="center"/>
    </xf>
    <xf numFmtId="0" fontId="10" fillId="0" borderId="0" xfId="0" applyFont="1" applyBorder="1"/>
    <xf numFmtId="0" fontId="6" fillId="0" borderId="0" xfId="0" applyFont="1" applyBorder="1"/>
    <xf numFmtId="0" fontId="6" fillId="0" borderId="0" xfId="0" applyFont="1" applyBorder="1" applyAlignment="1">
      <alignment horizontal="center"/>
    </xf>
    <xf numFmtId="0" fontId="6" fillId="0" borderId="0" xfId="29" applyNumberFormat="1" applyFont="1" applyBorder="1" applyAlignment="1">
      <alignment horizontal="center"/>
    </xf>
    <xf numFmtId="164" fontId="9" fillId="0" borderId="0" xfId="29" applyNumberFormat="1" applyFont="1" applyBorder="1"/>
    <xf numFmtId="0" fontId="3" fillId="0" borderId="0" xfId="0" quotePrefix="1" applyNumberFormat="1" applyFont="1" applyAlignment="1">
      <alignment horizontal="center"/>
    </xf>
    <xf numFmtId="0" fontId="11" fillId="0" borderId="0" xfId="0" applyFont="1" applyBorder="1"/>
    <xf numFmtId="0" fontId="4" fillId="0" borderId="0" xfId="0" applyFont="1" applyBorder="1"/>
    <xf numFmtId="0" fontId="3" fillId="0" borderId="0" xfId="0" applyFont="1" applyBorder="1" applyAlignment="1">
      <alignment horizontal="right"/>
    </xf>
    <xf numFmtId="0" fontId="4" fillId="0" borderId="0" xfId="0" applyFont="1" applyBorder="1" applyAlignment="1">
      <alignment horizontal="left"/>
    </xf>
    <xf numFmtId="0" fontId="4" fillId="0" borderId="0" xfId="0" quotePrefix="1" applyFont="1" applyBorder="1" applyAlignment="1">
      <alignment horizontal="left"/>
    </xf>
    <xf numFmtId="17" fontId="3" fillId="0" borderId="0" xfId="0" applyNumberFormat="1" applyFont="1" applyBorder="1" applyAlignment="1">
      <alignment horizontal="center"/>
    </xf>
    <xf numFmtId="37" fontId="3" fillId="0" borderId="0" xfId="0" applyNumberFormat="1" applyFont="1" applyBorder="1" applyAlignment="1">
      <alignment horizontal="center"/>
    </xf>
    <xf numFmtId="165" fontId="3" fillId="0" borderId="0" xfId="0" applyNumberFormat="1" applyFont="1" applyBorder="1" applyAlignment="1">
      <alignment horizontal="center"/>
    </xf>
    <xf numFmtId="37" fontId="9" fillId="0" borderId="0" xfId="0" applyNumberFormat="1" applyFont="1" applyBorder="1" applyAlignment="1">
      <alignment horizontal="right"/>
    </xf>
    <xf numFmtId="37" fontId="9" fillId="0" borderId="0" xfId="0" applyNumberFormat="1" applyFont="1" applyBorder="1"/>
    <xf numFmtId="10" fontId="9" fillId="0" borderId="0" xfId="0" applyNumberFormat="1" applyFont="1" applyBorder="1"/>
    <xf numFmtId="37" fontId="3" fillId="0" borderId="0" xfId="0" applyNumberFormat="1" applyFont="1" applyBorder="1" applyAlignment="1">
      <alignment horizontal="right"/>
    </xf>
    <xf numFmtId="37" fontId="3" fillId="0" borderId="0" xfId="0" applyNumberFormat="1" applyFont="1" applyBorder="1"/>
    <xf numFmtId="10" fontId="3" fillId="0" borderId="0" xfId="71" applyNumberFormat="1" applyFont="1" applyBorder="1"/>
    <xf numFmtId="0" fontId="12" fillId="0" borderId="0" xfId="0" applyFont="1" applyBorder="1"/>
    <xf numFmtId="42" fontId="3" fillId="0" borderId="0" xfId="0" applyNumberFormat="1" applyFont="1"/>
    <xf numFmtId="42" fontId="3" fillId="0" borderId="0" xfId="0" applyNumberFormat="1" applyFont="1" applyAlignment="1">
      <alignment horizontal="center"/>
    </xf>
    <xf numFmtId="42" fontId="7" fillId="0" borderId="0" xfId="0" applyNumberFormat="1" applyFont="1" applyAlignment="1">
      <alignment horizontal="center"/>
    </xf>
    <xf numFmtId="42" fontId="3" fillId="0" borderId="0" xfId="0" applyNumberFormat="1" applyFont="1" applyBorder="1"/>
    <xf numFmtId="42" fontId="0" fillId="0" borderId="0" xfId="0" applyNumberFormat="1"/>
    <xf numFmtId="42" fontId="3" fillId="0" borderId="0" xfId="29" applyNumberFormat="1" applyFont="1" applyBorder="1"/>
    <xf numFmtId="42" fontId="0" fillId="0" borderId="0" xfId="0" applyNumberFormat="1" applyBorder="1"/>
    <xf numFmtId="42" fontId="6" fillId="0" borderId="0" xfId="0" applyNumberFormat="1" applyFont="1" applyBorder="1"/>
    <xf numFmtId="42" fontId="3" fillId="0" borderId="0" xfId="0" applyNumberFormat="1" applyFont="1" applyBorder="1" applyAlignment="1">
      <alignment horizontal="center"/>
    </xf>
    <xf numFmtId="42" fontId="9" fillId="0" borderId="0" xfId="29" applyNumberFormat="1" applyFont="1" applyBorder="1"/>
    <xf numFmtId="0" fontId="15" fillId="0" borderId="0" xfId="0" applyFont="1" applyBorder="1" applyAlignment="1">
      <alignment horizontal="center"/>
    </xf>
    <xf numFmtId="44" fontId="15" fillId="0" borderId="0" xfId="43" applyFont="1" applyFill="1" applyBorder="1" applyAlignment="1">
      <alignment horizontal="center"/>
    </xf>
    <xf numFmtId="0" fontId="15" fillId="0" borderId="0" xfId="0" applyFont="1" applyFill="1" applyBorder="1" applyAlignment="1">
      <alignment horizontal="center"/>
    </xf>
    <xf numFmtId="44" fontId="15" fillId="0" borderId="0" xfId="0" applyNumberFormat="1" applyFont="1" applyFill="1" applyBorder="1" applyAlignment="1">
      <alignment horizontal="center"/>
    </xf>
    <xf numFmtId="0" fontId="16" fillId="22" borderId="6" xfId="0" applyFont="1" applyFill="1" applyBorder="1" applyAlignment="1">
      <alignment horizontal="center"/>
    </xf>
    <xf numFmtId="0" fontId="16" fillId="22" borderId="4" xfId="0" applyFont="1" applyFill="1" applyBorder="1" applyAlignment="1">
      <alignment horizontal="center"/>
    </xf>
    <xf numFmtId="44" fontId="16" fillId="22" borderId="4" xfId="43" applyFont="1" applyFill="1" applyBorder="1" applyAlignment="1">
      <alignment horizontal="center"/>
    </xf>
    <xf numFmtId="44" fontId="16" fillId="22" borderId="4" xfId="0" applyNumberFormat="1" applyFont="1" applyFill="1" applyBorder="1" applyAlignment="1">
      <alignment horizontal="center"/>
    </xf>
    <xf numFmtId="0" fontId="16" fillId="0" borderId="0" xfId="0" applyFont="1" applyFill="1" applyBorder="1" applyAlignment="1">
      <alignment horizontal="center"/>
    </xf>
    <xf numFmtId="0" fontId="17" fillId="0" borderId="15" xfId="0" applyFont="1" applyFill="1" applyBorder="1"/>
    <xf numFmtId="0" fontId="15" fillId="0" borderId="16" xfId="0" applyFont="1" applyBorder="1"/>
    <xf numFmtId="43" fontId="15" fillId="0" borderId="0" xfId="43" applyNumberFormat="1" applyFont="1" applyFill="1" applyBorder="1"/>
    <xf numFmtId="43" fontId="15" fillId="0" borderId="0" xfId="0" applyNumberFormat="1" applyFont="1" applyFill="1" applyBorder="1"/>
    <xf numFmtId="43" fontId="15" fillId="0" borderId="0" xfId="43" applyNumberFormat="1" applyFont="1" applyBorder="1"/>
    <xf numFmtId="43" fontId="16" fillId="0" borderId="16" xfId="43" applyNumberFormat="1" applyFont="1" applyFill="1" applyBorder="1"/>
    <xf numFmtId="0" fontId="15" fillId="0" borderId="0" xfId="0" applyFont="1" applyFill="1" applyBorder="1"/>
    <xf numFmtId="0" fontId="15" fillId="0" borderId="15" xfId="0" applyFont="1" applyBorder="1"/>
    <xf numFmtId="43" fontId="16" fillId="0" borderId="15" xfId="43" applyNumberFormat="1" applyFont="1" applyFill="1" applyBorder="1"/>
    <xf numFmtId="0" fontId="15" fillId="0" borderId="15" xfId="0" applyFont="1" applyFill="1" applyBorder="1"/>
    <xf numFmtId="0" fontId="18" fillId="0" borderId="15" xfId="0" applyFont="1" applyFill="1" applyBorder="1"/>
    <xf numFmtId="43" fontId="15" fillId="0" borderId="0" xfId="0" applyNumberFormat="1" applyFont="1" applyBorder="1"/>
    <xf numFmtId="0" fontId="15" fillId="0" borderId="11" xfId="0" applyFont="1" applyBorder="1"/>
    <xf numFmtId="43" fontId="16" fillId="0" borderId="17" xfId="43" applyNumberFormat="1" applyFont="1" applyBorder="1"/>
    <xf numFmtId="43" fontId="16" fillId="0" borderId="18" xfId="43" applyNumberFormat="1" applyFont="1" applyBorder="1"/>
    <xf numFmtId="0" fontId="15" fillId="0" borderId="0" xfId="0" applyFont="1" applyBorder="1"/>
    <xf numFmtId="44" fontId="15" fillId="0" borderId="0" xfId="43" applyFont="1" applyFill="1" applyBorder="1"/>
    <xf numFmtId="44" fontId="15" fillId="0" borderId="0" xfId="43" applyFont="1" applyBorder="1"/>
    <xf numFmtId="44" fontId="15" fillId="0" borderId="0" xfId="0" applyNumberFormat="1" applyFont="1" applyBorder="1"/>
    <xf numFmtId="0" fontId="19" fillId="0" borderId="0" xfId="0" applyFont="1" applyBorder="1"/>
    <xf numFmtId="0" fontId="19" fillId="0" borderId="0" xfId="0" applyFont="1" applyFill="1" applyBorder="1"/>
    <xf numFmtId="0" fontId="19" fillId="0" borderId="11" xfId="0" applyFont="1" applyBorder="1"/>
    <xf numFmtId="43" fontId="15" fillId="30" borderId="0" xfId="0" applyNumberFormat="1" applyFont="1" applyFill="1" applyBorder="1"/>
    <xf numFmtId="0" fontId="14" fillId="0" borderId="0" xfId="0" applyFont="1"/>
    <xf numFmtId="164" fontId="0" fillId="0" borderId="6" xfId="0" applyNumberFormat="1" applyBorder="1"/>
    <xf numFmtId="164" fontId="0" fillId="30" borderId="6" xfId="0" applyNumberFormat="1" applyFill="1" applyBorder="1"/>
    <xf numFmtId="0" fontId="13" fillId="0" borderId="0" xfId="0" applyFont="1" applyBorder="1"/>
    <xf numFmtId="164" fontId="0" fillId="0" borderId="0" xfId="0" applyNumberFormat="1"/>
    <xf numFmtId="164" fontId="0" fillId="30" borderId="4" xfId="0" applyNumberFormat="1" applyFill="1" applyBorder="1"/>
    <xf numFmtId="164" fontId="0" fillId="30" borderId="19" xfId="0" applyNumberFormat="1" applyFill="1" applyBorder="1"/>
    <xf numFmtId="0" fontId="0" fillId="0" borderId="20" xfId="0" applyFill="1" applyBorder="1"/>
    <xf numFmtId="164" fontId="0" fillId="0" borderId="4" xfId="0" applyNumberFormat="1" applyBorder="1"/>
    <xf numFmtId="164" fontId="0" fillId="0" borderId="19" xfId="0" applyNumberFormat="1" applyBorder="1"/>
    <xf numFmtId="0" fontId="12" fillId="0" borderId="20" xfId="0" applyFont="1" applyBorder="1"/>
    <xf numFmtId="164" fontId="12" fillId="0" borderId="19" xfId="0" applyNumberFormat="1" applyFont="1" applyBorder="1"/>
    <xf numFmtId="43" fontId="2" fillId="0" borderId="0" xfId="29"/>
    <xf numFmtId="0" fontId="12" fillId="0" borderId="11" xfId="0" applyFont="1" applyBorder="1"/>
    <xf numFmtId="164" fontId="12" fillId="0" borderId="11" xfId="0" applyNumberFormat="1" applyFont="1" applyBorder="1"/>
    <xf numFmtId="0" fontId="17" fillId="0" borderId="21" xfId="0" applyFont="1" applyFill="1" applyBorder="1"/>
    <xf numFmtId="164" fontId="0" fillId="0" borderId="22" xfId="0" applyNumberFormat="1" applyBorder="1"/>
    <xf numFmtId="164" fontId="0" fillId="0" borderId="23" xfId="0" applyNumberFormat="1" applyBorder="1"/>
    <xf numFmtId="0" fontId="17" fillId="0" borderId="24" xfId="0" applyFont="1" applyFill="1" applyBorder="1"/>
    <xf numFmtId="164" fontId="0" fillId="0" borderId="25" xfId="0" applyNumberFormat="1" applyBorder="1"/>
    <xf numFmtId="0" fontId="18" fillId="0" borderId="24" xfId="0" applyFont="1" applyFill="1" applyBorder="1"/>
    <xf numFmtId="43" fontId="0" fillId="0" borderId="22" xfId="0" applyNumberFormat="1" applyBorder="1"/>
    <xf numFmtId="0" fontId="17" fillId="30" borderId="24" xfId="0" applyFont="1" applyFill="1" applyBorder="1"/>
    <xf numFmtId="164" fontId="0" fillId="30" borderId="25" xfId="0" applyNumberFormat="1" applyFill="1" applyBorder="1"/>
    <xf numFmtId="0" fontId="13" fillId="0" borderId="0" xfId="0" applyFont="1"/>
    <xf numFmtId="0" fontId="23" fillId="0" borderId="0" xfId="0" applyFont="1"/>
    <xf numFmtId="164" fontId="14" fillId="0" borderId="0" xfId="29" applyNumberFormat="1" applyFont="1"/>
    <xf numFmtId="0" fontId="13" fillId="0" borderId="26" xfId="0" applyFont="1" applyBorder="1"/>
    <xf numFmtId="0" fontId="0" fillId="0" borderId="27" xfId="0" applyBorder="1"/>
    <xf numFmtId="0" fontId="0" fillId="0" borderId="28" xfId="0" applyBorder="1"/>
    <xf numFmtId="0" fontId="13" fillId="0" borderId="29" xfId="0" applyFont="1" applyBorder="1"/>
    <xf numFmtId="0" fontId="0" fillId="0" borderId="30" xfId="0" applyBorder="1"/>
    <xf numFmtId="0" fontId="0" fillId="30" borderId="31" xfId="0" applyFill="1" applyBorder="1"/>
    <xf numFmtId="164" fontId="0" fillId="30" borderId="32" xfId="0" applyNumberFormat="1" applyFill="1" applyBorder="1"/>
    <xf numFmtId="0" fontId="0" fillId="0" borderId="31" xfId="0" applyFill="1" applyBorder="1"/>
    <xf numFmtId="164" fontId="0" fillId="0" borderId="32" xfId="0" applyNumberFormat="1" applyBorder="1"/>
    <xf numFmtId="0" fontId="12" fillId="0" borderId="31" xfId="0" applyFont="1" applyBorder="1"/>
    <xf numFmtId="164" fontId="12" fillId="0" borderId="32" xfId="0" applyNumberFormat="1" applyFont="1" applyBorder="1"/>
    <xf numFmtId="0" fontId="0" fillId="0" borderId="29" xfId="0" applyBorder="1"/>
    <xf numFmtId="164" fontId="0" fillId="0" borderId="0" xfId="0" applyNumberFormat="1" applyBorder="1"/>
    <xf numFmtId="164" fontId="0" fillId="0" borderId="30" xfId="0" applyNumberFormat="1" applyBorder="1"/>
    <xf numFmtId="0" fontId="12" fillId="0" borderId="33" xfId="0" applyFont="1" applyBorder="1"/>
    <xf numFmtId="164" fontId="0" fillId="0" borderId="34" xfId="0" applyNumberFormat="1" applyBorder="1"/>
    <xf numFmtId="164" fontId="12" fillId="0" borderId="35" xfId="0" applyNumberFormat="1" applyFont="1" applyBorder="1"/>
    <xf numFmtId="0" fontId="0" fillId="0" borderId="36" xfId="0" applyFill="1" applyBorder="1" applyAlignment="1">
      <alignment horizontal="center"/>
    </xf>
    <xf numFmtId="164" fontId="0" fillId="0" borderId="27" xfId="0" applyNumberFormat="1" applyBorder="1"/>
    <xf numFmtId="164" fontId="0" fillId="0" borderId="28" xfId="0" applyNumberFormat="1" applyBorder="1"/>
    <xf numFmtId="0" fontId="0" fillId="0" borderId="37" xfId="0" applyBorder="1" applyAlignment="1">
      <alignment horizontal="center"/>
    </xf>
    <xf numFmtId="0" fontId="0" fillId="0" borderId="38" xfId="0" applyFill="1" applyBorder="1" applyAlignment="1">
      <alignment horizontal="center"/>
    </xf>
    <xf numFmtId="0" fontId="12" fillId="0" borderId="39" xfId="0" applyFont="1" applyBorder="1"/>
    <xf numFmtId="0" fontId="0" fillId="0" borderId="40" xfId="0" applyBorder="1"/>
    <xf numFmtId="0" fontId="12" fillId="0" borderId="40" xfId="0" applyFont="1" applyBorder="1"/>
    <xf numFmtId="0" fontId="12" fillId="0" borderId="40" xfId="0" applyFont="1" applyBorder="1" applyAlignment="1">
      <alignment horizontal="right"/>
    </xf>
    <xf numFmtId="0" fontId="0" fillId="0" borderId="41" xfId="0" applyBorder="1"/>
    <xf numFmtId="0" fontId="0" fillId="0" borderId="42" xfId="0" applyBorder="1"/>
    <xf numFmtId="0" fontId="0" fillId="0" borderId="43" xfId="0" applyBorder="1"/>
    <xf numFmtId="164" fontId="12" fillId="0" borderId="0" xfId="0" applyNumberFormat="1" applyFont="1" applyBorder="1"/>
    <xf numFmtId="164" fontId="12" fillId="30" borderId="32" xfId="0" applyNumberFormat="1" applyFont="1" applyFill="1" applyBorder="1"/>
    <xf numFmtId="164" fontId="12" fillId="0" borderId="30" xfId="0" applyNumberFormat="1" applyFont="1" applyBorder="1"/>
    <xf numFmtId="164" fontId="12" fillId="0" borderId="15" xfId="0" applyNumberFormat="1" applyFont="1" applyFill="1" applyBorder="1"/>
    <xf numFmtId="0" fontId="17" fillId="31" borderId="24" xfId="0" applyFont="1" applyFill="1" applyBorder="1"/>
    <xf numFmtId="164" fontId="0" fillId="31" borderId="6" xfId="0" applyNumberFormat="1" applyFill="1" applyBorder="1"/>
    <xf numFmtId="164" fontId="0" fillId="31" borderId="25" xfId="0" applyNumberFormat="1" applyFill="1" applyBorder="1"/>
    <xf numFmtId="0" fontId="17" fillId="31" borderId="44" xfId="0" applyFont="1" applyFill="1" applyBorder="1"/>
    <xf numFmtId="164" fontId="0" fillId="31" borderId="45" xfId="0" applyNumberFormat="1" applyFill="1" applyBorder="1"/>
    <xf numFmtId="164" fontId="0" fillId="31" borderId="46" xfId="0" applyNumberFormat="1" applyFill="1" applyBorder="1"/>
    <xf numFmtId="0" fontId="0" fillId="31" borderId="31" xfId="0" applyFill="1" applyBorder="1"/>
    <xf numFmtId="0" fontId="0" fillId="31" borderId="20" xfId="0" applyFill="1" applyBorder="1"/>
    <xf numFmtId="164" fontId="0" fillId="31" borderId="4" xfId="0" applyNumberFormat="1" applyFill="1" applyBorder="1"/>
    <xf numFmtId="164" fontId="0" fillId="31" borderId="32" xfId="0" applyNumberFormat="1" applyFill="1" applyBorder="1"/>
    <xf numFmtId="164" fontId="0" fillId="31" borderId="19" xfId="0" applyNumberFormat="1" applyFill="1" applyBorder="1"/>
    <xf numFmtId="0" fontId="5" fillId="0" borderId="0" xfId="0" applyFont="1" applyAlignment="1">
      <alignment horizontal="center"/>
    </xf>
    <xf numFmtId="0" fontId="17" fillId="0" borderId="47" xfId="0" applyFont="1" applyFill="1" applyBorder="1" applyAlignment="1">
      <alignment horizontal="center"/>
    </xf>
    <xf numFmtId="0" fontId="17" fillId="0" borderId="19" xfId="0" applyFont="1" applyFill="1" applyBorder="1" applyAlignment="1">
      <alignment horizontal="center"/>
    </xf>
    <xf numFmtId="0" fontId="17" fillId="30" borderId="19" xfId="0" applyFont="1" applyFill="1" applyBorder="1" applyAlignment="1">
      <alignment horizontal="center"/>
    </xf>
    <xf numFmtId="0" fontId="17" fillId="31" borderId="19" xfId="0" applyFont="1" applyFill="1" applyBorder="1" applyAlignment="1">
      <alignment horizontal="center"/>
    </xf>
    <xf numFmtId="0" fontId="18" fillId="0" borderId="19" xfId="0" applyFont="1" applyFill="1" applyBorder="1" applyAlignment="1">
      <alignment horizontal="center"/>
    </xf>
    <xf numFmtId="0" fontId="17" fillId="31" borderId="48" xfId="0" applyFont="1" applyFill="1" applyBorder="1" applyAlignment="1">
      <alignment horizontal="center"/>
    </xf>
    <xf numFmtId="0" fontId="0" fillId="30" borderId="4" xfId="0" applyFill="1" applyBorder="1" applyAlignment="1">
      <alignment horizontal="center"/>
    </xf>
    <xf numFmtId="0" fontId="0" fillId="0" borderId="42" xfId="0" applyBorder="1" applyAlignment="1">
      <alignment horizontal="center"/>
    </xf>
    <xf numFmtId="0" fontId="0" fillId="31" borderId="20" xfId="0" applyFill="1" applyBorder="1" applyAlignment="1">
      <alignment horizontal="center"/>
    </xf>
    <xf numFmtId="0" fontId="24" fillId="0" borderId="38" xfId="0" applyFont="1" applyFill="1" applyBorder="1" applyAlignment="1">
      <alignment horizontal="center"/>
    </xf>
    <xf numFmtId="0" fontId="25" fillId="0" borderId="0" xfId="0" applyFont="1" applyBorder="1" applyAlignment="1">
      <alignment horizontal="center"/>
    </xf>
    <xf numFmtId="0" fontId="24" fillId="0" borderId="0" xfId="0" applyFont="1" applyAlignment="1">
      <alignment horizontal="center"/>
    </xf>
    <xf numFmtId="0" fontId="25" fillId="0" borderId="27" xfId="0" applyFont="1" applyBorder="1" applyAlignment="1">
      <alignment horizontal="center"/>
    </xf>
    <xf numFmtId="0" fontId="24" fillId="0" borderId="0" xfId="0" applyFont="1" applyBorder="1" applyAlignment="1">
      <alignment horizontal="center"/>
    </xf>
    <xf numFmtId="0" fontId="26" fillId="0" borderId="4" xfId="0" applyFont="1" applyBorder="1" applyAlignment="1">
      <alignment horizontal="center"/>
    </xf>
    <xf numFmtId="0" fontId="24" fillId="0" borderId="42" xfId="0" applyFont="1" applyBorder="1" applyAlignment="1">
      <alignment horizontal="center"/>
    </xf>
    <xf numFmtId="0" fontId="26" fillId="0" borderId="40" xfId="0" applyFont="1" applyBorder="1" applyAlignment="1">
      <alignment horizontal="center"/>
    </xf>
    <xf numFmtId="0" fontId="26" fillId="0" borderId="34" xfId="0" applyFont="1" applyBorder="1" applyAlignment="1">
      <alignment horizontal="center"/>
    </xf>
    <xf numFmtId="0" fontId="26" fillId="0" borderId="0" xfId="0" applyFont="1" applyBorder="1" applyAlignment="1">
      <alignment horizontal="center"/>
    </xf>
    <xf numFmtId="0" fontId="27" fillId="0" borderId="0" xfId="0" applyFont="1" applyAlignment="1">
      <alignment horizontal="center"/>
    </xf>
    <xf numFmtId="0" fontId="25" fillId="0" borderId="0" xfId="0" applyFont="1" applyAlignment="1">
      <alignment horizontal="center"/>
    </xf>
    <xf numFmtId="49" fontId="0" fillId="0" borderId="22" xfId="0" applyNumberFormat="1" applyBorder="1" applyAlignment="1">
      <alignment horizontal="center"/>
    </xf>
    <xf numFmtId="49" fontId="0" fillId="0" borderId="6" xfId="0" applyNumberFormat="1" applyBorder="1" applyAlignment="1">
      <alignment horizontal="center"/>
    </xf>
    <xf numFmtId="49" fontId="0" fillId="30" borderId="6" xfId="0" applyNumberFormat="1" applyFill="1" applyBorder="1" applyAlignment="1">
      <alignment horizontal="center"/>
    </xf>
    <xf numFmtId="49" fontId="0" fillId="31" borderId="6" xfId="0" applyNumberFormat="1" applyFill="1" applyBorder="1" applyAlignment="1">
      <alignment horizontal="center"/>
    </xf>
    <xf numFmtId="49" fontId="0" fillId="31" borderId="45" xfId="0" applyNumberFormat="1" applyFill="1" applyBorder="1" applyAlignment="1">
      <alignment horizontal="center"/>
    </xf>
    <xf numFmtId="0" fontId="12" fillId="0" borderId="11" xfId="0" applyFont="1" applyBorder="1" applyAlignment="1">
      <alignment horizontal="center"/>
    </xf>
    <xf numFmtId="0" fontId="0" fillId="0" borderId="27" xfId="0" applyBorder="1" applyAlignment="1">
      <alignment horizontal="center"/>
    </xf>
    <xf numFmtId="0" fontId="0" fillId="30" borderId="20" xfId="0" applyFill="1" applyBorder="1" applyAlignment="1">
      <alignment horizontal="center"/>
    </xf>
    <xf numFmtId="0" fontId="0" fillId="0" borderId="20" xfId="0" applyBorder="1" applyAlignment="1">
      <alignment horizontal="center"/>
    </xf>
    <xf numFmtId="0" fontId="0" fillId="0" borderId="4" xfId="0" applyBorder="1" applyAlignment="1">
      <alignment horizontal="center"/>
    </xf>
    <xf numFmtId="0" fontId="0" fillId="0" borderId="40" xfId="0" applyBorder="1" applyAlignment="1">
      <alignment horizontal="center"/>
    </xf>
    <xf numFmtId="0" fontId="0" fillId="0" borderId="34" xfId="0" applyBorder="1" applyAlignment="1">
      <alignment horizontal="center"/>
    </xf>
    <xf numFmtId="0" fontId="12" fillId="0" borderId="29" xfId="0" applyFont="1" applyBorder="1"/>
    <xf numFmtId="0" fontId="24" fillId="30" borderId="6" xfId="0" applyFont="1" applyFill="1" applyBorder="1" applyAlignment="1">
      <alignment horizontal="center"/>
    </xf>
    <xf numFmtId="0" fontId="24" fillId="31" borderId="6" xfId="0" applyFont="1" applyFill="1" applyBorder="1" applyAlignment="1">
      <alignment horizontal="center"/>
    </xf>
    <xf numFmtId="0" fontId="24" fillId="0" borderId="6" xfId="0" applyFont="1" applyFill="1" applyBorder="1" applyAlignment="1">
      <alignment horizontal="center"/>
    </xf>
    <xf numFmtId="0" fontId="11" fillId="0" borderId="0" xfId="0" applyFont="1"/>
    <xf numFmtId="0" fontId="0" fillId="0" borderId="0" xfId="0" applyFill="1"/>
    <xf numFmtId="0" fontId="12" fillId="0" borderId="0" xfId="0" applyFont="1"/>
    <xf numFmtId="0" fontId="12" fillId="0" borderId="0" xfId="0" applyFont="1" applyAlignment="1">
      <alignment horizontal="center" vertical="center"/>
    </xf>
    <xf numFmtId="164" fontId="0" fillId="0" borderId="6" xfId="0" applyNumberFormat="1" applyFill="1" applyBorder="1"/>
    <xf numFmtId="164" fontId="12" fillId="0" borderId="6" xfId="0" applyNumberFormat="1" applyFont="1" applyBorder="1"/>
    <xf numFmtId="164" fontId="12" fillId="0" borderId="6" xfId="0" applyNumberFormat="1" applyFont="1" applyFill="1" applyBorder="1"/>
    <xf numFmtId="0" fontId="30" fillId="0" borderId="0" xfId="0" applyFont="1" applyFill="1" applyBorder="1"/>
    <xf numFmtId="0" fontId="31" fillId="0" borderId="0" xfId="0" applyFont="1" applyFill="1" applyBorder="1"/>
    <xf numFmtId="0" fontId="0" fillId="0" borderId="0" xfId="0" applyFill="1" applyAlignment="1">
      <alignment horizontal="center"/>
    </xf>
    <xf numFmtId="0" fontId="12" fillId="0" borderId="0" xfId="0" applyFont="1" applyAlignment="1">
      <alignment horizontal="center"/>
    </xf>
    <xf numFmtId="0" fontId="24" fillId="0" borderId="20" xfId="0" applyFont="1" applyFill="1" applyBorder="1" applyAlignment="1">
      <alignment horizontal="center"/>
    </xf>
    <xf numFmtId="0" fontId="24" fillId="0" borderId="4" xfId="0" applyFont="1" applyFill="1" applyBorder="1" applyAlignment="1">
      <alignment horizontal="center"/>
    </xf>
    <xf numFmtId="0" fontId="5" fillId="0" borderId="0" xfId="0" applyFont="1" applyFill="1"/>
    <xf numFmtId="0" fontId="11" fillId="0" borderId="0" xfId="0" applyFont="1" applyFill="1"/>
    <xf numFmtId="0" fontId="0" fillId="0" borderId="49" xfId="0" applyFill="1" applyBorder="1"/>
    <xf numFmtId="0" fontId="11" fillId="0" borderId="50" xfId="0" applyFont="1" applyFill="1" applyBorder="1"/>
    <xf numFmtId="0" fontId="0" fillId="0" borderId="51" xfId="0" applyFill="1" applyBorder="1"/>
    <xf numFmtId="0" fontId="0" fillId="0" borderId="52" xfId="0" applyFill="1" applyBorder="1" applyAlignment="1">
      <alignment horizontal="center"/>
    </xf>
    <xf numFmtId="0" fontId="0" fillId="0" borderId="50" xfId="0" applyFill="1" applyBorder="1"/>
    <xf numFmtId="49" fontId="0" fillId="0" borderId="49" xfId="0" applyNumberFormat="1" applyFill="1" applyBorder="1" applyAlignment="1">
      <alignment horizontal="center"/>
    </xf>
    <xf numFmtId="49" fontId="0" fillId="0" borderId="50" xfId="0" applyNumberFormat="1" applyFill="1" applyBorder="1" applyAlignment="1">
      <alignment horizontal="center"/>
    </xf>
    <xf numFmtId="49" fontId="0" fillId="0" borderId="37" xfId="0" applyNumberFormat="1" applyFill="1" applyBorder="1" applyAlignment="1">
      <alignment horizontal="center"/>
    </xf>
    <xf numFmtId="0" fontId="11" fillId="0" borderId="49" xfId="0" applyFont="1" applyFill="1" applyBorder="1"/>
    <xf numFmtId="0" fontId="0" fillId="0" borderId="6" xfId="0" applyFill="1" applyBorder="1" applyAlignment="1">
      <alignment horizontal="center"/>
    </xf>
    <xf numFmtId="164" fontId="0" fillId="0" borderId="49" xfId="0" applyNumberFormat="1" applyFill="1" applyBorder="1"/>
    <xf numFmtId="164" fontId="0" fillId="0" borderId="50" xfId="0" applyNumberFormat="1" applyFill="1" applyBorder="1"/>
    <xf numFmtId="164" fontId="0" fillId="0" borderId="37" xfId="0" applyNumberFormat="1" applyFill="1" applyBorder="1"/>
    <xf numFmtId="0" fontId="0" fillId="0" borderId="53" xfId="0" applyFill="1" applyBorder="1"/>
    <xf numFmtId="0" fontId="11" fillId="0" borderId="53" xfId="0" applyFont="1" applyFill="1" applyBorder="1"/>
    <xf numFmtId="0" fontId="0" fillId="0" borderId="0" xfId="0" applyFill="1" applyBorder="1"/>
    <xf numFmtId="0" fontId="11" fillId="0" borderId="42" xfId="0" applyFont="1" applyFill="1" applyBorder="1"/>
    <xf numFmtId="0" fontId="12" fillId="0" borderId="42" xfId="0" applyFont="1" applyFill="1" applyBorder="1" applyAlignment="1">
      <alignment horizontal="left"/>
    </xf>
    <xf numFmtId="0" fontId="12" fillId="0" borderId="42" xfId="0" applyFont="1" applyFill="1" applyBorder="1" applyAlignment="1">
      <alignment horizontal="center"/>
    </xf>
    <xf numFmtId="164" fontId="12" fillId="0" borderId="54" xfId="0" applyNumberFormat="1" applyFont="1" applyFill="1" applyBorder="1"/>
    <xf numFmtId="164" fontId="0" fillId="0" borderId="0" xfId="0" applyNumberFormat="1" applyFill="1"/>
    <xf numFmtId="0" fontId="12" fillId="0" borderId="0" xfId="0" applyFont="1" applyFill="1"/>
    <xf numFmtId="0" fontId="13" fillId="0" borderId="26" xfId="0" applyFont="1" applyFill="1" applyBorder="1"/>
    <xf numFmtId="0" fontId="25" fillId="0" borderId="27" xfId="0" applyFont="1" applyFill="1" applyBorder="1" applyAlignment="1">
      <alignment horizontal="center"/>
    </xf>
    <xf numFmtId="0" fontId="0" fillId="0" borderId="27" xfId="0" applyFill="1" applyBorder="1" applyAlignment="1">
      <alignment horizontal="center"/>
    </xf>
    <xf numFmtId="164" fontId="0" fillId="0" borderId="27" xfId="0" applyNumberFormat="1" applyFill="1" applyBorder="1"/>
    <xf numFmtId="164" fontId="0" fillId="0" borderId="28" xfId="0" applyNumberFormat="1" applyFill="1" applyBorder="1"/>
    <xf numFmtId="0" fontId="13" fillId="0" borderId="29" xfId="0" applyFont="1" applyFill="1" applyBorder="1"/>
    <xf numFmtId="0" fontId="25" fillId="0" borderId="0" xfId="0" applyFont="1" applyFill="1" applyBorder="1" applyAlignment="1">
      <alignment horizontal="center"/>
    </xf>
    <xf numFmtId="0" fontId="0" fillId="0" borderId="0" xfId="0" applyFill="1" applyBorder="1" applyAlignment="1">
      <alignment horizontal="center"/>
    </xf>
    <xf numFmtId="164" fontId="0" fillId="0" borderId="0" xfId="0" applyNumberFormat="1" applyFill="1" applyBorder="1"/>
    <xf numFmtId="164" fontId="0" fillId="0" borderId="30" xfId="0" applyNumberFormat="1" applyFill="1" applyBorder="1"/>
    <xf numFmtId="0" fontId="0" fillId="0" borderId="4" xfId="0" applyFill="1" applyBorder="1" applyAlignment="1">
      <alignment horizontal="center"/>
    </xf>
    <xf numFmtId="164" fontId="0" fillId="0" borderId="4" xfId="0" applyNumberFormat="1" applyFill="1" applyBorder="1"/>
    <xf numFmtId="164" fontId="0" fillId="0" borderId="32" xfId="0" applyNumberFormat="1" applyFill="1" applyBorder="1"/>
    <xf numFmtId="0" fontId="12" fillId="0" borderId="31" xfId="0" applyFont="1" applyFill="1" applyBorder="1"/>
    <xf numFmtId="0" fontId="26" fillId="0" borderId="4" xfId="0" applyFont="1" applyFill="1" applyBorder="1" applyAlignment="1">
      <alignment horizontal="center"/>
    </xf>
    <xf numFmtId="0" fontId="0" fillId="0" borderId="29" xfId="0" applyFill="1" applyBorder="1"/>
    <xf numFmtId="0" fontId="24" fillId="0" borderId="0" xfId="0" applyFont="1" applyFill="1" applyBorder="1" applyAlignment="1">
      <alignment horizontal="center"/>
    </xf>
    <xf numFmtId="0" fontId="0" fillId="0" borderId="30" xfId="0" applyFill="1" applyBorder="1"/>
    <xf numFmtId="0" fontId="0" fillId="0" borderId="42" xfId="0" applyFill="1" applyBorder="1" applyAlignment="1">
      <alignment horizontal="center"/>
    </xf>
    <xf numFmtId="0" fontId="26" fillId="0" borderId="40" xfId="0" applyFont="1" applyFill="1" applyBorder="1" applyAlignment="1">
      <alignment horizontal="center"/>
    </xf>
    <xf numFmtId="0" fontId="0" fillId="0" borderId="40" xfId="0" applyFill="1" applyBorder="1" applyAlignment="1">
      <alignment horizontal="center"/>
    </xf>
    <xf numFmtId="0" fontId="0" fillId="0" borderId="40" xfId="0" applyFill="1" applyBorder="1"/>
    <xf numFmtId="0" fontId="24" fillId="0" borderId="0" xfId="0" applyFont="1" applyFill="1" applyAlignment="1">
      <alignment horizontal="center"/>
    </xf>
    <xf numFmtId="0" fontId="0" fillId="0" borderId="27" xfId="0" applyFill="1" applyBorder="1"/>
    <xf numFmtId="0" fontId="0" fillId="0" borderId="28" xfId="0" applyFill="1" applyBorder="1"/>
    <xf numFmtId="164" fontId="0" fillId="0" borderId="43" xfId="0" applyNumberFormat="1" applyFill="1" applyBorder="1"/>
    <xf numFmtId="0" fontId="12" fillId="0" borderId="33" xfId="0" applyFont="1" applyFill="1" applyBorder="1"/>
    <xf numFmtId="0" fontId="26" fillId="0" borderId="34" xfId="0" applyFont="1" applyFill="1" applyBorder="1" applyAlignment="1">
      <alignment horizontal="center"/>
    </xf>
    <xf numFmtId="0" fontId="0" fillId="0" borderId="34" xfId="0" applyFill="1" applyBorder="1" applyAlignment="1">
      <alignment horizontal="center"/>
    </xf>
    <xf numFmtId="164" fontId="0" fillId="0" borderId="34" xfId="0" applyNumberFormat="1" applyFill="1" applyBorder="1"/>
    <xf numFmtId="0" fontId="26" fillId="0" borderId="0" xfId="0" applyFont="1" applyFill="1" applyBorder="1" applyAlignment="1">
      <alignment horizontal="center"/>
    </xf>
    <xf numFmtId="0" fontId="12" fillId="0" borderId="0" xfId="0" applyFont="1" applyFill="1" applyBorder="1"/>
    <xf numFmtId="0" fontId="29" fillId="0" borderId="0" xfId="0" applyFont="1" applyFill="1"/>
    <xf numFmtId="0" fontId="27" fillId="0" borderId="0" xfId="0" applyFont="1" applyFill="1" applyAlignment="1">
      <alignment horizontal="center"/>
    </xf>
    <xf numFmtId="0" fontId="13" fillId="0" borderId="0" xfId="0" applyFont="1" applyFill="1"/>
    <xf numFmtId="0" fontId="25" fillId="0" borderId="0" xfId="0" applyFont="1" applyFill="1" applyAlignment="1">
      <alignment horizontal="center"/>
    </xf>
    <xf numFmtId="0" fontId="12" fillId="0" borderId="20" xfId="0" applyFont="1" applyFill="1" applyBorder="1"/>
    <xf numFmtId="0" fontId="12" fillId="0" borderId="49" xfId="0" applyFont="1" applyFill="1" applyBorder="1"/>
    <xf numFmtId="0" fontId="12" fillId="0" borderId="6" xfId="0" applyFont="1" applyFill="1" applyBorder="1" applyAlignment="1">
      <alignment horizontal="center"/>
    </xf>
    <xf numFmtId="0" fontId="12" fillId="0" borderId="50" xfId="0" applyFont="1" applyFill="1" applyBorder="1"/>
    <xf numFmtId="0" fontId="12" fillId="0" borderId="49" xfId="0" applyFont="1" applyFill="1" applyBorder="1" applyAlignment="1">
      <alignment horizontal="center"/>
    </xf>
    <xf numFmtId="0" fontId="12" fillId="0" borderId="51" xfId="0" applyFont="1" applyFill="1" applyBorder="1" applyAlignment="1">
      <alignment horizontal="center"/>
    </xf>
    <xf numFmtId="49" fontId="12" fillId="0" borderId="0" xfId="0" applyNumberFormat="1" applyFont="1" applyFill="1" applyBorder="1" applyAlignment="1">
      <alignment horizontal="center"/>
    </xf>
    <xf numFmtId="0" fontId="13" fillId="0" borderId="0" xfId="0" applyFont="1" applyAlignment="1">
      <alignment horizontal="center"/>
    </xf>
    <xf numFmtId="0" fontId="12" fillId="0" borderId="36" xfId="0" applyFont="1" applyFill="1" applyBorder="1" applyAlignment="1">
      <alignment horizontal="center"/>
    </xf>
    <xf numFmtId="0" fontId="33" fillId="0" borderId="0" xfId="0" applyFont="1" applyBorder="1"/>
    <xf numFmtId="0" fontId="14" fillId="0" borderId="0" xfId="0" applyFont="1" applyAlignment="1">
      <alignment horizontal="center"/>
    </xf>
    <xf numFmtId="0" fontId="20" fillId="0" borderId="6" xfId="0" applyFont="1" applyFill="1" applyBorder="1" applyAlignment="1">
      <alignment horizontal="center"/>
    </xf>
    <xf numFmtId="164" fontId="0" fillId="0" borderId="0" xfId="29" applyNumberFormat="1" applyFont="1"/>
    <xf numFmtId="164" fontId="0" fillId="0" borderId="55" xfId="0" applyNumberFormat="1" applyFill="1" applyBorder="1"/>
    <xf numFmtId="164" fontId="0" fillId="0" borderId="56" xfId="0" applyNumberFormat="1" applyFill="1" applyBorder="1"/>
    <xf numFmtId="0" fontId="0" fillId="0" borderId="57" xfId="0" applyFill="1" applyBorder="1"/>
    <xf numFmtId="164" fontId="0" fillId="0" borderId="53" xfId="0" applyNumberFormat="1" applyFill="1" applyBorder="1"/>
    <xf numFmtId="164" fontId="0" fillId="0" borderId="58" xfId="0" applyNumberFormat="1" applyFill="1" applyBorder="1"/>
    <xf numFmtId="164" fontId="0" fillId="0" borderId="59" xfId="0" applyNumberFormat="1" applyFill="1" applyBorder="1"/>
    <xf numFmtId="0" fontId="34" fillId="0" borderId="6" xfId="0" applyFont="1" applyFill="1" applyBorder="1" applyAlignment="1">
      <alignment horizontal="center"/>
    </xf>
    <xf numFmtId="0" fontId="35" fillId="0" borderId="6" xfId="0" applyFont="1" applyFill="1" applyBorder="1" applyAlignment="1">
      <alignment horizontal="center"/>
    </xf>
    <xf numFmtId="0" fontId="26" fillId="0" borderId="20" xfId="0" applyFont="1" applyFill="1" applyBorder="1" applyAlignment="1">
      <alignment horizontal="center"/>
    </xf>
    <xf numFmtId="0" fontId="36" fillId="0" borderId="20" xfId="0" applyFont="1" applyFill="1" applyBorder="1" applyAlignment="1">
      <alignment horizontal="center"/>
    </xf>
    <xf numFmtId="0" fontId="37" fillId="0" borderId="20" xfId="0" applyFont="1" applyFill="1" applyBorder="1" applyAlignment="1">
      <alignment horizontal="center"/>
    </xf>
    <xf numFmtId="0" fontId="0" fillId="0" borderId="26" xfId="0" applyFill="1" applyBorder="1"/>
    <xf numFmtId="0" fontId="24" fillId="0" borderId="27" xfId="0" applyFont="1" applyFill="1" applyBorder="1" applyAlignment="1">
      <alignment horizontal="center"/>
    </xf>
    <xf numFmtId="0" fontId="26" fillId="0" borderId="27" xfId="0" applyFont="1" applyFill="1" applyBorder="1" applyAlignment="1">
      <alignment horizontal="center"/>
    </xf>
    <xf numFmtId="0" fontId="12" fillId="0" borderId="41" xfId="0" applyFont="1" applyFill="1" applyBorder="1"/>
    <xf numFmtId="0" fontId="26" fillId="0" borderId="42" xfId="0" applyFont="1" applyFill="1" applyBorder="1" applyAlignment="1">
      <alignment horizontal="center"/>
    </xf>
    <xf numFmtId="164" fontId="0" fillId="0" borderId="42" xfId="0" applyNumberFormat="1" applyFill="1" applyBorder="1"/>
    <xf numFmtId="0" fontId="11" fillId="0" borderId="29" xfId="0" applyFont="1" applyBorder="1"/>
    <xf numFmtId="0" fontId="11" fillId="0" borderId="27" xfId="0" applyFont="1" applyBorder="1"/>
    <xf numFmtId="0" fontId="0" fillId="0" borderId="39" xfId="0" applyFill="1" applyBorder="1"/>
    <xf numFmtId="164" fontId="0" fillId="0" borderId="15" xfId="0" applyNumberFormat="1" applyBorder="1"/>
    <xf numFmtId="0" fontId="0" fillId="0" borderId="15" xfId="0" applyBorder="1"/>
    <xf numFmtId="0" fontId="0" fillId="0" borderId="6" xfId="0" applyBorder="1" applyAlignment="1">
      <alignment horizontal="center"/>
    </xf>
    <xf numFmtId="164" fontId="12" fillId="0" borderId="60" xfId="0" applyNumberFormat="1" applyFont="1" applyFill="1" applyBorder="1"/>
    <xf numFmtId="164" fontId="12" fillId="0" borderId="61" xfId="0" applyNumberFormat="1" applyFont="1" applyFill="1" applyBorder="1"/>
    <xf numFmtId="164" fontId="14" fillId="0" borderId="62" xfId="29" applyNumberFormat="1" applyFont="1" applyFill="1" applyBorder="1"/>
    <xf numFmtId="164" fontId="12" fillId="0" borderId="32" xfId="0" applyNumberFormat="1" applyFont="1" applyFill="1" applyBorder="1"/>
    <xf numFmtId="0" fontId="12" fillId="0" borderId="39" xfId="0" applyFont="1" applyFill="1" applyBorder="1"/>
    <xf numFmtId="164" fontId="16" fillId="0" borderId="17" xfId="43" applyNumberFormat="1" applyFont="1" applyBorder="1"/>
    <xf numFmtId="164" fontId="16" fillId="0" borderId="18" xfId="43" applyNumberFormat="1" applyFont="1" applyBorder="1"/>
    <xf numFmtId="164" fontId="15" fillId="0" borderId="0" xfId="43" applyNumberFormat="1" applyFont="1" applyFill="1" applyBorder="1"/>
    <xf numFmtId="0" fontId="32" fillId="0" borderId="0" xfId="0" applyFont="1" applyFill="1" applyAlignment="1">
      <alignment horizontal="center"/>
    </xf>
    <xf numFmtId="0" fontId="0" fillId="31" borderId="49" xfId="0" applyFill="1" applyBorder="1"/>
    <xf numFmtId="0" fontId="0" fillId="31" borderId="0" xfId="0" applyFill="1"/>
    <xf numFmtId="43" fontId="0" fillId="31" borderId="0" xfId="29" applyFont="1" applyFill="1"/>
    <xf numFmtId="164" fontId="38" fillId="31" borderId="0" xfId="29" applyNumberFormat="1" applyFont="1" applyFill="1"/>
    <xf numFmtId="0" fontId="10" fillId="0" borderId="0" xfId="0" applyFont="1" applyFill="1" applyBorder="1" applyAlignment="1">
      <alignment horizontal="center"/>
    </xf>
    <xf numFmtId="164" fontId="12" fillId="0" borderId="62" xfId="0" applyNumberFormat="1" applyFont="1" applyFill="1" applyBorder="1"/>
    <xf numFmtId="0" fontId="12" fillId="31" borderId="0" xfId="0" applyFont="1" applyFill="1" applyAlignment="1">
      <alignment horizontal="right" vertical="top"/>
    </xf>
    <xf numFmtId="0" fontId="6" fillId="0" borderId="0" xfId="0" applyFont="1" applyAlignment="1">
      <alignment horizontal="right"/>
    </xf>
    <xf numFmtId="0" fontId="2" fillId="0" borderId="0" xfId="0" applyFont="1" applyFill="1" applyAlignment="1">
      <alignment horizontal="left"/>
    </xf>
    <xf numFmtId="0" fontId="2" fillId="0" borderId="0" xfId="0" applyFont="1" applyFill="1" applyAlignment="1">
      <alignment horizontal="center"/>
    </xf>
    <xf numFmtId="0" fontId="11" fillId="31" borderId="49" xfId="0" applyFont="1" applyFill="1" applyBorder="1"/>
    <xf numFmtId="0" fontId="2" fillId="31" borderId="6" xfId="0" applyFont="1" applyFill="1" applyBorder="1" applyAlignment="1">
      <alignment horizontal="center"/>
    </xf>
    <xf numFmtId="0" fontId="0" fillId="31" borderId="6" xfId="0" applyFill="1" applyBorder="1" applyAlignment="1">
      <alignment horizontal="center"/>
    </xf>
    <xf numFmtId="0" fontId="0" fillId="31" borderId="50" xfId="0" applyFill="1" applyBorder="1"/>
    <xf numFmtId="164" fontId="0" fillId="31" borderId="49" xfId="0" applyNumberFormat="1" applyFill="1" applyBorder="1"/>
    <xf numFmtId="164" fontId="0" fillId="31" borderId="50" xfId="0" applyNumberFormat="1" applyFill="1" applyBorder="1"/>
    <xf numFmtId="164" fontId="0" fillId="31" borderId="37" xfId="0" applyNumberFormat="1" applyFill="1" applyBorder="1"/>
    <xf numFmtId="0" fontId="12" fillId="0" borderId="0" xfId="0" quotePrefix="1" applyFont="1" applyFill="1"/>
    <xf numFmtId="164" fontId="0" fillId="0" borderId="4" xfId="29" applyNumberFormat="1" applyFont="1" applyBorder="1"/>
    <xf numFmtId="164" fontId="38" fillId="0" borderId="0" xfId="29" applyNumberFormat="1" applyFont="1" applyFill="1"/>
    <xf numFmtId="164" fontId="38" fillId="0" borderId="0" xfId="0" applyNumberFormat="1" applyFont="1" applyFill="1"/>
    <xf numFmtId="0" fontId="0" fillId="0" borderId="34" xfId="0" applyFill="1" applyBorder="1"/>
    <xf numFmtId="0" fontId="0" fillId="0" borderId="63" xfId="0" applyFill="1" applyBorder="1" applyAlignment="1">
      <alignment horizontal="center"/>
    </xf>
    <xf numFmtId="0" fontId="0" fillId="0" borderId="3" xfId="0" applyFill="1" applyBorder="1" applyAlignment="1">
      <alignment horizontal="center"/>
    </xf>
    <xf numFmtId="0" fontId="0" fillId="0" borderId="64" xfId="0" applyFill="1" applyBorder="1" applyAlignment="1">
      <alignment horizontal="center"/>
    </xf>
    <xf numFmtId="164" fontId="0" fillId="0" borderId="29" xfId="29" applyNumberFormat="1" applyFont="1" applyFill="1" applyBorder="1" applyAlignment="1">
      <alignment horizontal="center"/>
    </xf>
    <xf numFmtId="0" fontId="0" fillId="0" borderId="30" xfId="0" applyFill="1" applyBorder="1" applyAlignment="1">
      <alignment horizontal="center"/>
    </xf>
    <xf numFmtId="164" fontId="0" fillId="0" borderId="39" xfId="29" applyNumberFormat="1" applyFont="1" applyFill="1" applyBorder="1" applyAlignment="1">
      <alignment horizontal="center"/>
    </xf>
    <xf numFmtId="0" fontId="0" fillId="0" borderId="62" xfId="0" applyFill="1" applyBorder="1" applyAlignment="1">
      <alignment horizontal="center"/>
    </xf>
    <xf numFmtId="164" fontId="0" fillId="0" borderId="29" xfId="0" applyNumberFormat="1" applyFill="1" applyBorder="1"/>
    <xf numFmtId="0" fontId="13" fillId="0" borderId="65" xfId="0" applyFont="1" applyFill="1" applyBorder="1"/>
    <xf numFmtId="0" fontId="25" fillId="0" borderId="42" xfId="0" applyFont="1" applyFill="1" applyBorder="1" applyAlignment="1">
      <alignment horizontal="center"/>
    </xf>
    <xf numFmtId="0" fontId="0" fillId="0" borderId="66" xfId="0" applyFill="1" applyBorder="1"/>
    <xf numFmtId="0" fontId="0" fillId="0" borderId="67" xfId="0" applyFill="1" applyBorder="1"/>
    <xf numFmtId="164" fontId="0" fillId="0" borderId="68" xfId="0" applyNumberFormat="1" applyFill="1" applyBorder="1"/>
    <xf numFmtId="164" fontId="0" fillId="0" borderId="69" xfId="0" applyNumberFormat="1" applyFill="1" applyBorder="1"/>
    <xf numFmtId="0" fontId="12" fillId="0" borderId="67" xfId="0" applyFont="1" applyFill="1" applyBorder="1"/>
    <xf numFmtId="164" fontId="12" fillId="0" borderId="68" xfId="0" applyNumberFormat="1" applyFont="1" applyFill="1" applyBorder="1"/>
    <xf numFmtId="0" fontId="0" fillId="0" borderId="68" xfId="0" applyBorder="1"/>
    <xf numFmtId="0" fontId="13" fillId="0" borderId="67" xfId="0" applyFont="1" applyFill="1" applyBorder="1"/>
    <xf numFmtId="0" fontId="0" fillId="0" borderId="70" xfId="0" applyFill="1" applyBorder="1"/>
    <xf numFmtId="164" fontId="12" fillId="0" borderId="19" xfId="29" applyNumberFormat="1" applyFont="1" applyBorder="1"/>
    <xf numFmtId="0" fontId="10" fillId="0" borderId="42" xfId="0" applyFont="1" applyFill="1" applyBorder="1" applyAlignment="1">
      <alignment horizontal="center"/>
    </xf>
    <xf numFmtId="0" fontId="24" fillId="0" borderId="71" xfId="0" applyFont="1" applyFill="1" applyBorder="1" applyAlignment="1">
      <alignment horizontal="center"/>
    </xf>
    <xf numFmtId="0" fontId="0" fillId="0" borderId="69" xfId="0" applyFill="1" applyBorder="1"/>
    <xf numFmtId="0" fontId="0" fillId="0" borderId="67" xfId="0" applyFill="1" applyBorder="1" applyAlignment="1">
      <alignment horizontal="right"/>
    </xf>
    <xf numFmtId="0" fontId="0" fillId="0" borderId="0" xfId="0" applyFill="1" applyAlignment="1">
      <alignment horizontal="right"/>
    </xf>
    <xf numFmtId="0" fontId="2" fillId="0" borderId="0" xfId="0" applyFont="1" applyFill="1" applyAlignment="1">
      <alignment horizontal="right"/>
    </xf>
    <xf numFmtId="164" fontId="12" fillId="0" borderId="0" xfId="0" applyNumberFormat="1" applyFont="1" applyFill="1" applyBorder="1"/>
    <xf numFmtId="164" fontId="14" fillId="0" borderId="0" xfId="0" applyNumberFormat="1" applyFont="1" applyFill="1" applyBorder="1"/>
    <xf numFmtId="164" fontId="14" fillId="0" borderId="71" xfId="0" applyNumberFormat="1" applyFont="1" applyFill="1" applyBorder="1"/>
    <xf numFmtId="0" fontId="14" fillId="0" borderId="0" xfId="0" applyFont="1" applyFill="1"/>
    <xf numFmtId="0" fontId="14" fillId="0" borderId="0" xfId="0" applyFont="1" applyBorder="1" applyAlignment="1">
      <alignment horizontal="left" indent="1"/>
    </xf>
    <xf numFmtId="42" fontId="3" fillId="0" borderId="0" xfId="0" applyNumberFormat="1" applyFont="1" applyFill="1" applyBorder="1"/>
    <xf numFmtId="164" fontId="6" fillId="0" borderId="0" xfId="29" applyNumberFormat="1" applyFont="1" applyFill="1" applyBorder="1" applyAlignment="1"/>
    <xf numFmtId="164" fontId="6" fillId="0" borderId="0" xfId="29" applyNumberFormat="1" applyFont="1" applyFill="1" applyBorder="1"/>
    <xf numFmtId="164" fontId="0" fillId="0" borderId="0" xfId="29" applyNumberFormat="1" applyFont="1" applyBorder="1"/>
    <xf numFmtId="164" fontId="0" fillId="0" borderId="0" xfId="29" applyNumberFormat="1" applyFont="1" applyFill="1" applyBorder="1"/>
    <xf numFmtId="2" fontId="6" fillId="0" borderId="0" xfId="0" applyNumberFormat="1" applyFont="1" applyAlignment="1">
      <alignment horizontal="right"/>
    </xf>
    <xf numFmtId="0" fontId="3" fillId="0" borderId="0" xfId="0" applyFont="1" applyFill="1" applyBorder="1"/>
    <xf numFmtId="0" fontId="3" fillId="0" borderId="0" xfId="0" applyFont="1" applyFill="1" applyBorder="1" applyAlignment="1">
      <alignment horizontal="center"/>
    </xf>
    <xf numFmtId="164" fontId="2" fillId="0" borderId="0" xfId="29" applyNumberFormat="1" applyFill="1" applyBorder="1"/>
    <xf numFmtId="0" fontId="3" fillId="0" borderId="0" xfId="0" applyFont="1" applyBorder="1" applyAlignment="1">
      <alignment horizontal="left" indent="1"/>
    </xf>
    <xf numFmtId="0" fontId="64" fillId="0" borderId="0" xfId="0" applyFont="1" applyAlignment="1">
      <alignment horizontal="center"/>
    </xf>
    <xf numFmtId="164" fontId="2" fillId="0" borderId="0" xfId="29" applyNumberFormat="1"/>
    <xf numFmtId="0" fontId="2" fillId="0" borderId="0" xfId="0" applyFont="1" applyBorder="1"/>
    <xf numFmtId="0" fontId="2" fillId="0" borderId="0" xfId="87"/>
    <xf numFmtId="0" fontId="2" fillId="0" borderId="0" xfId="87" applyAlignment="1">
      <alignment horizontal="right"/>
    </xf>
    <xf numFmtId="0" fontId="64" fillId="0" borderId="0" xfId="87" applyFont="1"/>
    <xf numFmtId="164" fontId="2" fillId="0" borderId="0" xfId="87" applyNumberFormat="1"/>
    <xf numFmtId="0" fontId="4" fillId="0" borderId="0" xfId="87" applyFont="1"/>
    <xf numFmtId="0" fontId="12" fillId="0" borderId="0" xfId="87" applyFont="1"/>
    <xf numFmtId="0" fontId="70" fillId="0" borderId="0" xfId="87" applyFont="1" applyAlignment="1">
      <alignment horizontal="center"/>
    </xf>
    <xf numFmtId="164" fontId="2" fillId="0" borderId="0" xfId="29" applyNumberFormat="1" applyFont="1" applyBorder="1"/>
    <xf numFmtId="164" fontId="2" fillId="0" borderId="0" xfId="29" applyNumberFormat="1" applyFill="1"/>
    <xf numFmtId="164" fontId="2" fillId="0" borderId="61" xfId="29" applyNumberFormat="1" applyFont="1" applyBorder="1"/>
    <xf numFmtId="164" fontId="2" fillId="0" borderId="74" xfId="29" applyNumberFormat="1" applyFont="1" applyBorder="1"/>
    <xf numFmtId="164" fontId="2" fillId="0" borderId="75" xfId="29" applyNumberFormat="1" applyFont="1" applyBorder="1"/>
    <xf numFmtId="0" fontId="2" fillId="0" borderId="0" xfId="0" applyFont="1" applyAlignment="1">
      <alignment horizontal="center"/>
    </xf>
    <xf numFmtId="0" fontId="68" fillId="0" borderId="0" xfId="87" applyFont="1"/>
    <xf numFmtId="0" fontId="69" fillId="0" borderId="0" xfId="87" applyFont="1"/>
    <xf numFmtId="0" fontId="2" fillId="0" borderId="0" xfId="0" applyFont="1"/>
    <xf numFmtId="0" fontId="1" fillId="0" borderId="0" xfId="87" applyFont="1"/>
    <xf numFmtId="0" fontId="69" fillId="0" borderId="0" xfId="87" applyFont="1" applyAlignment="1">
      <alignment horizontal="center"/>
    </xf>
    <xf numFmtId="164" fontId="1" fillId="0" borderId="60" xfId="29" applyNumberFormat="1" applyFont="1" applyBorder="1"/>
    <xf numFmtId="4" fontId="1" fillId="0" borderId="0" xfId="87" applyNumberFormat="1" applyFont="1" applyBorder="1"/>
    <xf numFmtId="164" fontId="1" fillId="0" borderId="0" xfId="29" applyNumberFormat="1" applyFont="1"/>
    <xf numFmtId="4" fontId="1" fillId="0" borderId="0" xfId="87" applyNumberFormat="1" applyFont="1"/>
    <xf numFmtId="164" fontId="1" fillId="0" borderId="17" xfId="29" applyNumberFormat="1" applyFont="1" applyBorder="1"/>
    <xf numFmtId="4" fontId="68" fillId="0" borderId="0" xfId="87" applyNumberFormat="1" applyFont="1" applyBorder="1"/>
    <xf numFmtId="164" fontId="68" fillId="0" borderId="60" xfId="87" applyNumberFormat="1" applyFont="1" applyBorder="1"/>
    <xf numFmtId="0" fontId="69" fillId="0" borderId="0" xfId="87" applyFont="1" applyBorder="1" applyAlignment="1">
      <alignment horizontal="center"/>
    </xf>
    <xf numFmtId="0" fontId="1" fillId="0" borderId="0" xfId="87" applyFont="1" applyBorder="1"/>
    <xf numFmtId="164" fontId="1" fillId="0" borderId="0" xfId="29" applyNumberFormat="1" applyFont="1" applyBorder="1"/>
    <xf numFmtId="164" fontId="12" fillId="0" borderId="64" xfId="0" applyNumberFormat="1" applyFont="1" applyBorder="1"/>
    <xf numFmtId="0" fontId="2" fillId="0" borderId="0" xfId="87" applyBorder="1"/>
    <xf numFmtId="0" fontId="33" fillId="0" borderId="0" xfId="0" applyFont="1" applyFill="1" applyBorder="1"/>
    <xf numFmtId="166" fontId="3" fillId="0" borderId="0" xfId="71" applyNumberFormat="1" applyFont="1" applyFill="1" applyBorder="1" applyAlignment="1">
      <alignment horizontal="center"/>
    </xf>
    <xf numFmtId="0" fontId="2" fillId="0" borderId="0" xfId="0" applyFont="1" applyFill="1" applyBorder="1"/>
    <xf numFmtId="0" fontId="14" fillId="0" borderId="0" xfId="0" applyFont="1" applyFill="1" applyBorder="1" applyAlignment="1">
      <alignment horizontal="center"/>
    </xf>
    <xf numFmtId="164" fontId="12" fillId="0" borderId="0" xfId="29" applyNumberFormat="1" applyFont="1"/>
    <xf numFmtId="0" fontId="4" fillId="0" borderId="0" xfId="87" applyFont="1" applyAlignment="1">
      <alignment horizontal="center"/>
    </xf>
    <xf numFmtId="0" fontId="2" fillId="0" borderId="63" xfId="0" applyFont="1" applyBorder="1"/>
    <xf numFmtId="0" fontId="2" fillId="0" borderId="0" xfId="0" applyFont="1" applyBorder="1" applyAlignment="1">
      <alignment horizontal="center"/>
    </xf>
    <xf numFmtId="0" fontId="2" fillId="0" borderId="0" xfId="0" applyFont="1" applyFill="1" applyBorder="1" applyAlignment="1">
      <alignment horizontal="center"/>
    </xf>
    <xf numFmtId="0" fontId="2" fillId="0" borderId="0" xfId="0" applyNumberFormat="1" applyFont="1" applyBorder="1" applyAlignment="1">
      <alignment horizontal="center"/>
    </xf>
    <xf numFmtId="164" fontId="0" fillId="0" borderId="17" xfId="29" applyNumberFormat="1" applyFont="1" applyFill="1" applyBorder="1"/>
    <xf numFmtId="0" fontId="28" fillId="30" borderId="20" xfId="0" applyFont="1" applyFill="1" applyBorder="1" applyAlignment="1">
      <alignment horizontal="center" vertical="center"/>
    </xf>
    <xf numFmtId="0" fontId="28" fillId="30" borderId="4" xfId="0" applyFont="1" applyFill="1" applyBorder="1" applyAlignment="1">
      <alignment horizontal="center" vertical="center"/>
    </xf>
    <xf numFmtId="0" fontId="28" fillId="30" borderId="19" xfId="0" applyFont="1" applyFill="1" applyBorder="1" applyAlignment="1">
      <alignment horizontal="center" vertical="center"/>
    </xf>
    <xf numFmtId="0" fontId="28" fillId="31" borderId="72" xfId="0" applyFont="1" applyFill="1" applyBorder="1" applyAlignment="1">
      <alignment horizontal="center" vertical="center"/>
    </xf>
    <xf numFmtId="0" fontId="28" fillId="31" borderId="3" xfId="0" applyFont="1" applyFill="1" applyBorder="1" applyAlignment="1">
      <alignment horizontal="center" vertical="center"/>
    </xf>
    <xf numFmtId="0" fontId="28" fillId="31" borderId="73" xfId="0" applyFont="1" applyFill="1" applyBorder="1" applyAlignment="1">
      <alignment horizontal="center" vertical="center"/>
    </xf>
    <xf numFmtId="164" fontId="28" fillId="33" borderId="72" xfId="0" applyNumberFormat="1" applyFont="1" applyFill="1" applyBorder="1" applyAlignment="1">
      <alignment horizontal="center" vertical="center"/>
    </xf>
    <xf numFmtId="164" fontId="28" fillId="33" borderId="73" xfId="0" applyNumberFormat="1" applyFont="1" applyFill="1" applyBorder="1" applyAlignment="1">
      <alignment horizontal="center" vertical="center"/>
    </xf>
    <xf numFmtId="164" fontId="28" fillId="0" borderId="72" xfId="0" applyNumberFormat="1" applyFont="1" applyBorder="1" applyAlignment="1">
      <alignment horizontal="center" vertical="center"/>
    </xf>
    <xf numFmtId="164" fontId="28" fillId="0" borderId="3" xfId="0" applyNumberFormat="1" applyFont="1" applyBorder="1" applyAlignment="1">
      <alignment horizontal="center" vertical="center"/>
    </xf>
    <xf numFmtId="164" fontId="28" fillId="0" borderId="64" xfId="0" applyNumberFormat="1" applyFont="1" applyBorder="1" applyAlignment="1">
      <alignment horizontal="center" vertical="center"/>
    </xf>
    <xf numFmtId="42" fontId="6" fillId="0" borderId="0" xfId="0" applyNumberFormat="1" applyFont="1" applyAlignment="1">
      <alignment horizontal="center"/>
    </xf>
    <xf numFmtId="0" fontId="6" fillId="0" borderId="0" xfId="0" applyFont="1" applyAlignment="1">
      <alignment horizontal="center"/>
    </xf>
    <xf numFmtId="0" fontId="6" fillId="0" borderId="0" xfId="0" applyFont="1" applyFill="1" applyBorder="1" applyAlignment="1">
      <alignment horizontal="center"/>
    </xf>
  </cellXfs>
  <cellStyles count="14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lumn total in dollars" xfId="28"/>
    <cellStyle name="Comma" xfId="29" builtinId="3"/>
    <cellStyle name="Comma  - Style1" xfId="30"/>
    <cellStyle name="Comma  - Style2" xfId="31"/>
    <cellStyle name="Comma  - Style3" xfId="32"/>
    <cellStyle name="Comma  - Style4" xfId="33"/>
    <cellStyle name="Comma  - Style5" xfId="34"/>
    <cellStyle name="Comma  - Style6" xfId="35"/>
    <cellStyle name="Comma  - Style7" xfId="36"/>
    <cellStyle name="Comma  - Style8" xfId="37"/>
    <cellStyle name="Comma (0)" xfId="38"/>
    <cellStyle name="Comma [0] 2" xfId="139"/>
    <cellStyle name="Comma 2" xfId="134"/>
    <cellStyle name="Comma0" xfId="39"/>
    <cellStyle name="Comma0 - Style3" xfId="40"/>
    <cellStyle name="Comma0 - Style4" xfId="41"/>
    <cellStyle name="Comma0_3Q 2008 Release10-27-08 - USE FOR UT DEC 2009 GRC (5)" xfId="88"/>
    <cellStyle name="Comma1 - Style1" xfId="42"/>
    <cellStyle name="Currency" xfId="43" builtinId="4"/>
    <cellStyle name="Currency 2" xfId="135"/>
    <cellStyle name="Currency No Comma" xfId="89"/>
    <cellStyle name="Currency(0)" xfId="44"/>
    <cellStyle name="Currency0" xfId="45"/>
    <cellStyle name="Date" xfId="46"/>
    <cellStyle name="Date - Style3" xfId="47"/>
    <cellStyle name="Date_3Q 2008 Release10-27-08 - USE FOR UT DEC 2009 GRC (5)" xfId="90"/>
    <cellStyle name="Explanatory Text" xfId="48" builtinId="53" customBuiltin="1"/>
    <cellStyle name="Fixed" xfId="49"/>
    <cellStyle name="General" xfId="50"/>
    <cellStyle name="Good" xfId="51" builtinId="26" customBuiltin="1"/>
    <cellStyle name="Grey" xfId="52"/>
    <cellStyle name="header" xfId="53"/>
    <cellStyle name="Header1" xfId="54"/>
    <cellStyle name="Header2" xfId="55"/>
    <cellStyle name="Heading 1" xfId="56" builtinId="16" customBuiltin="1"/>
    <cellStyle name="Heading 2" xfId="57" builtinId="17" customBuiltin="1"/>
    <cellStyle name="Heading 3" xfId="58" builtinId="18" customBuiltin="1"/>
    <cellStyle name="Heading 4" xfId="59" builtinId="19" customBuiltin="1"/>
    <cellStyle name="Input" xfId="60" builtinId="20" customBuiltin="1"/>
    <cellStyle name="Input [yellow]" xfId="61"/>
    <cellStyle name="Linked Cell" xfId="62" builtinId="24" customBuiltin="1"/>
    <cellStyle name="Marathon" xfId="91"/>
    <cellStyle name="MCP" xfId="92"/>
    <cellStyle name="Neutral" xfId="63" builtinId="28" customBuiltin="1"/>
    <cellStyle name="nONE" xfId="64"/>
    <cellStyle name="noninput" xfId="93"/>
    <cellStyle name="Normal" xfId="0" builtinId="0"/>
    <cellStyle name="Normal - Style1" xfId="65"/>
    <cellStyle name="Normal 2" xfId="87"/>
    <cellStyle name="Normal 3" xfId="136"/>
    <cellStyle name="Normal 4" xfId="137"/>
    <cellStyle name="Normal(0)" xfId="66"/>
    <cellStyle name="Note" xfId="67" builtinId="10" customBuiltin="1"/>
    <cellStyle name="Number" xfId="94"/>
    <cellStyle name="Output" xfId="68" builtinId="21" customBuiltin="1"/>
    <cellStyle name="Password" xfId="95"/>
    <cellStyle name="Percen - Style1" xfId="69"/>
    <cellStyle name="Percen - Style2" xfId="70"/>
    <cellStyle name="Percent" xfId="71" builtinId="5"/>
    <cellStyle name="Percent [2]" xfId="72"/>
    <cellStyle name="Percent 2" xfId="138"/>
    <cellStyle name="Percent(0)" xfId="73"/>
    <cellStyle name="SAPBEXaggData" xfId="96"/>
    <cellStyle name="SAPBEXaggDataEmph" xfId="97"/>
    <cellStyle name="SAPBEXaggItem" xfId="98"/>
    <cellStyle name="SAPBEXaggItemX" xfId="99"/>
    <cellStyle name="SAPBEXchaText" xfId="74"/>
    <cellStyle name="SAPBEXexcBad7" xfId="100"/>
    <cellStyle name="SAPBEXexcBad8" xfId="101"/>
    <cellStyle name="SAPBEXexcBad9" xfId="102"/>
    <cellStyle name="SAPBEXexcCritical4" xfId="103"/>
    <cellStyle name="SAPBEXexcCritical5" xfId="104"/>
    <cellStyle name="SAPBEXexcCritical6" xfId="105"/>
    <cellStyle name="SAPBEXexcGood1" xfId="106"/>
    <cellStyle name="SAPBEXexcGood2" xfId="107"/>
    <cellStyle name="SAPBEXexcGood3" xfId="108"/>
    <cellStyle name="SAPBEXfilterDrill" xfId="109"/>
    <cellStyle name="SAPBEXfilterItem" xfId="110"/>
    <cellStyle name="SAPBEXfilterText" xfId="111"/>
    <cellStyle name="SAPBEXformats" xfId="112"/>
    <cellStyle name="SAPBEXheaderItem" xfId="113"/>
    <cellStyle name="SAPBEXheaderText" xfId="114"/>
    <cellStyle name="SAPBEXHLevel0" xfId="115"/>
    <cellStyle name="SAPBEXHLevel0X" xfId="116"/>
    <cellStyle name="SAPBEXHLevel1" xfId="117"/>
    <cellStyle name="SAPBEXHLevel1X" xfId="118"/>
    <cellStyle name="SAPBEXHLevel2" xfId="119"/>
    <cellStyle name="SAPBEXHLevel2X" xfId="120"/>
    <cellStyle name="SAPBEXHLevel3" xfId="121"/>
    <cellStyle name="SAPBEXHLevel3X" xfId="122"/>
    <cellStyle name="SAPBEXresData" xfId="123"/>
    <cellStyle name="SAPBEXresDataEmph" xfId="124"/>
    <cellStyle name="SAPBEXresItem" xfId="125"/>
    <cellStyle name="SAPBEXresItemX" xfId="126"/>
    <cellStyle name="SAPBEXstdData" xfId="75"/>
    <cellStyle name="SAPBEXstdDataEmph" xfId="127"/>
    <cellStyle name="SAPBEXstdItem" xfId="76"/>
    <cellStyle name="SAPBEXstdItemX" xfId="77"/>
    <cellStyle name="SAPBEXtitle" xfId="128"/>
    <cellStyle name="SAPBEXundefined" xfId="129"/>
    <cellStyle name="Shade" xfId="78"/>
    <cellStyle name="Special" xfId="79"/>
    <cellStyle name="Style 1" xfId="130"/>
    <cellStyle name="Title" xfId="80" builtinId="15" customBuiltin="1"/>
    <cellStyle name="Titles" xfId="81"/>
    <cellStyle name="Total" xfId="82" builtinId="25" customBuiltin="1"/>
    <cellStyle name="Total2 - Style2" xfId="83"/>
    <cellStyle name="TRANSMISSION RELIABILITY PORTION OF PROJECT" xfId="84"/>
    <cellStyle name="Underl - Style4" xfId="85"/>
    <cellStyle name="Unprot" xfId="131"/>
    <cellStyle name="Unprot$" xfId="132"/>
    <cellStyle name="Unprotect" xfId="133"/>
    <cellStyle name="Warning Text" xfId="86"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39</xdr:row>
      <xdr:rowOff>57150</xdr:rowOff>
    </xdr:from>
    <xdr:to>
      <xdr:col>9</xdr:col>
      <xdr:colOff>409575</xdr:colOff>
      <xdr:row>49</xdr:row>
      <xdr:rowOff>0</xdr:rowOff>
    </xdr:to>
    <xdr:sp macro="" textlink="">
      <xdr:nvSpPr>
        <xdr:cNvPr id="3073" name="Text 3"/>
        <xdr:cNvSpPr txBox="1">
          <a:spLocks noChangeArrowheads="1"/>
        </xdr:cNvSpPr>
      </xdr:nvSpPr>
      <xdr:spPr bwMode="auto">
        <a:xfrm>
          <a:off x="171450" y="6457950"/>
          <a:ext cx="6896100" cy="15621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rtl="0" eaLnBrk="1" fontAlgn="auto" latinLnBrk="0" hangingPunct="1"/>
          <a:r>
            <a:rPr lang="en-US" sz="1100" b="0" i="0" baseline="0">
              <a:latin typeface="+mn-lt"/>
              <a:ea typeface="+mn-ea"/>
              <a:cs typeface="+mn-cs"/>
            </a:rPr>
            <a:t>Order No. 09 of Docket UE-090205 permits deferral and amortization of the Pension Curtailment Gain resulting from employee participation in the 401(k) retirement plan option.  Amortization began on the Company’s books effective January 1, 2009, but the Commission order calls for the amortization to begin on January 1, 2010. This pro forma adjustment removes the actual amortization in the base period and replaces it with the amortization for the twelve-months ending December 2010. </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xdr:colOff>
      <xdr:row>13</xdr:row>
      <xdr:rowOff>180977</xdr:rowOff>
    </xdr:from>
    <xdr:to>
      <xdr:col>5</xdr:col>
      <xdr:colOff>19052</xdr:colOff>
      <xdr:row>18</xdr:row>
      <xdr:rowOff>19052</xdr:rowOff>
    </xdr:to>
    <xdr:cxnSp macro="">
      <xdr:nvCxnSpPr>
        <xdr:cNvPr id="2" name="Straight Arrow Connector 1"/>
        <xdr:cNvCxnSpPr/>
      </xdr:nvCxnSpPr>
      <xdr:spPr bwMode="auto">
        <a:xfrm rot="16200000" flipH="1">
          <a:off x="2614615" y="2738440"/>
          <a:ext cx="809625" cy="666749"/>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1114424</xdr:colOff>
      <xdr:row>10</xdr:row>
      <xdr:rowOff>161921</xdr:rowOff>
    </xdr:from>
    <xdr:to>
      <xdr:col>3</xdr:col>
      <xdr:colOff>1123950</xdr:colOff>
      <xdr:row>12</xdr:row>
      <xdr:rowOff>152399</xdr:rowOff>
    </xdr:to>
    <xdr:sp macro="" textlink="">
      <xdr:nvSpPr>
        <xdr:cNvPr id="2" name="Line 1"/>
        <xdr:cNvSpPr>
          <a:spLocks noChangeShapeType="1"/>
        </xdr:cNvSpPr>
      </xdr:nvSpPr>
      <xdr:spPr bwMode="auto">
        <a:xfrm flipH="1" flipV="1">
          <a:off x="5295899" y="1876421"/>
          <a:ext cx="9526" cy="323853"/>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Joanne\SAP\RC_CCvlooku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CR97"/>
  <sheetViews>
    <sheetView tabSelected="1" zoomScaleNormal="100" workbookViewId="0">
      <selection activeCell="D27" sqref="D27"/>
    </sheetView>
  </sheetViews>
  <sheetFormatPr defaultRowHeight="12.75"/>
  <cols>
    <col min="1" max="1" width="2.42578125" customWidth="1"/>
    <col min="3" max="3" width="28.85546875" customWidth="1"/>
    <col min="6" max="6" width="11.85546875" style="56" bestFit="1" customWidth="1"/>
    <col min="7" max="7" width="9.140625" style="30"/>
    <col min="9" max="9" width="11" bestFit="1" customWidth="1"/>
    <col min="11" max="12" width="9.140625" style="28"/>
    <col min="13" max="13" width="11.140625" style="28" bestFit="1" customWidth="1"/>
    <col min="14" max="14" width="5.5703125" style="28" customWidth="1"/>
    <col min="15" max="15" width="9.85546875" style="28" bestFit="1" customWidth="1"/>
    <col min="16" max="16" width="10.7109375" style="28" bestFit="1" customWidth="1"/>
    <col min="17" max="17" width="11.28515625" style="28" bestFit="1" customWidth="1"/>
    <col min="18" max="18" width="10.7109375" style="28" bestFit="1" customWidth="1"/>
    <col min="19" max="19" width="10.42578125" style="28" bestFit="1" customWidth="1"/>
    <col min="20" max="20" width="10.7109375" style="28" bestFit="1" customWidth="1"/>
    <col min="21" max="21" width="34.42578125" style="28" bestFit="1" customWidth="1"/>
    <col min="22" max="22" width="3.5703125" style="28" customWidth="1"/>
    <col min="23" max="23" width="4.42578125" style="28" customWidth="1"/>
    <col min="24" max="25" width="13" style="28" customWidth="1"/>
    <col min="26" max="26" width="11.28515625" style="28" bestFit="1" customWidth="1"/>
    <col min="27" max="27" width="8" style="28" bestFit="1" customWidth="1"/>
    <col min="28" max="28" width="10.7109375" style="28" bestFit="1" customWidth="1"/>
    <col min="29" max="96" width="9.140625" style="28"/>
  </cols>
  <sheetData>
    <row r="1" spans="1:31" ht="15">
      <c r="A1" s="1"/>
      <c r="B1" s="118" t="s">
        <v>498</v>
      </c>
      <c r="C1" s="1"/>
      <c r="D1" s="1"/>
      <c r="E1" s="2"/>
      <c r="F1" s="52"/>
      <c r="G1" s="2"/>
      <c r="H1" s="8"/>
      <c r="I1" s="328"/>
      <c r="J1" s="379" t="s">
        <v>535</v>
      </c>
      <c r="K1" s="5"/>
      <c r="L1" s="38"/>
      <c r="M1" s="5"/>
      <c r="N1" s="5"/>
      <c r="O1" s="5"/>
      <c r="P1" s="5"/>
      <c r="Q1" s="5"/>
      <c r="R1" s="5"/>
      <c r="S1" s="39"/>
      <c r="T1" s="5"/>
      <c r="U1" s="38"/>
      <c r="V1" s="5"/>
      <c r="W1" s="5"/>
      <c r="X1" s="5"/>
      <c r="Y1" s="5"/>
      <c r="Z1" s="5"/>
      <c r="AA1" s="39"/>
      <c r="AB1" s="5"/>
      <c r="AC1" s="5"/>
      <c r="AD1" s="5"/>
      <c r="AE1" s="5"/>
    </row>
    <row r="2" spans="1:31" ht="15">
      <c r="A2" s="1"/>
      <c r="B2" s="118" t="s">
        <v>533</v>
      </c>
      <c r="C2" s="1"/>
      <c r="D2" s="1"/>
      <c r="E2" s="2"/>
      <c r="F2" s="52"/>
      <c r="G2" s="2"/>
      <c r="H2" s="1"/>
      <c r="J2" s="10"/>
      <c r="K2" s="5"/>
      <c r="L2" s="40"/>
      <c r="M2" s="5"/>
      <c r="N2" s="5"/>
      <c r="O2" s="5"/>
      <c r="P2" s="5"/>
      <c r="Q2" s="5"/>
      <c r="R2" s="5"/>
      <c r="S2" s="5"/>
      <c r="T2" s="5"/>
      <c r="U2" s="41"/>
      <c r="V2" s="5"/>
      <c r="W2" s="5"/>
      <c r="X2" s="5"/>
      <c r="Y2" s="5"/>
      <c r="Z2" s="5"/>
      <c r="AA2" s="5"/>
      <c r="AB2" s="5"/>
      <c r="AC2" s="5"/>
      <c r="AD2" s="5"/>
      <c r="AE2" s="5"/>
    </row>
    <row r="3" spans="1:31" ht="15">
      <c r="A3" s="1"/>
      <c r="B3" s="118" t="s">
        <v>547</v>
      </c>
      <c r="C3" s="1"/>
      <c r="D3" s="1"/>
      <c r="E3" s="2"/>
      <c r="F3" s="52"/>
      <c r="G3" s="2"/>
      <c r="H3" s="1"/>
      <c r="J3" s="10"/>
      <c r="K3" s="5"/>
      <c r="L3" s="41"/>
      <c r="M3" s="5"/>
      <c r="N3" s="5"/>
      <c r="O3" s="17"/>
      <c r="P3" s="17"/>
      <c r="Q3" s="17"/>
      <c r="R3" s="17"/>
      <c r="S3" s="17"/>
      <c r="T3" s="5"/>
      <c r="U3" s="5"/>
      <c r="V3" s="5"/>
      <c r="W3" s="5"/>
      <c r="X3" s="5"/>
      <c r="Y3" s="5"/>
      <c r="Z3" s="5"/>
      <c r="AA3" s="5"/>
      <c r="AB3" s="5"/>
      <c r="AC3" s="5"/>
      <c r="AD3" s="5"/>
      <c r="AE3" s="5"/>
    </row>
    <row r="4" spans="1:31">
      <c r="A4" s="1"/>
      <c r="C4" s="1"/>
      <c r="D4" s="1"/>
      <c r="E4" s="2"/>
      <c r="F4" s="52"/>
      <c r="G4" s="2"/>
      <c r="H4" s="1"/>
      <c r="I4" s="2"/>
      <c r="J4" s="10"/>
      <c r="K4" s="5"/>
      <c r="L4" s="41"/>
      <c r="M4" s="5"/>
      <c r="N4" s="5"/>
      <c r="O4" s="17"/>
      <c r="P4" s="17"/>
      <c r="Q4" s="17"/>
      <c r="R4" s="17"/>
      <c r="S4" s="17"/>
      <c r="T4" s="5"/>
      <c r="U4" s="5"/>
      <c r="V4" s="5"/>
      <c r="W4" s="5"/>
      <c r="X4" s="5"/>
      <c r="Y4" s="5"/>
      <c r="Z4" s="5"/>
      <c r="AA4" s="5"/>
      <c r="AB4" s="5"/>
      <c r="AC4" s="5"/>
      <c r="AD4" s="5"/>
      <c r="AE4" s="5"/>
    </row>
    <row r="5" spans="1:31">
      <c r="A5" s="1"/>
      <c r="B5" s="1"/>
      <c r="C5" s="1"/>
      <c r="D5" s="1"/>
      <c r="E5" s="2"/>
      <c r="F5" s="52"/>
      <c r="G5" s="2"/>
      <c r="H5" s="1"/>
      <c r="I5" s="2"/>
      <c r="J5" s="10"/>
      <c r="K5" s="5"/>
      <c r="L5" s="41"/>
      <c r="M5" s="5"/>
      <c r="N5" s="5"/>
      <c r="O5" s="17"/>
      <c r="P5" s="17"/>
      <c r="Q5" s="17"/>
      <c r="R5" s="17"/>
      <c r="S5" s="17"/>
      <c r="T5" s="5"/>
      <c r="U5" s="5"/>
      <c r="V5" s="5"/>
      <c r="W5" s="5"/>
      <c r="X5" s="5"/>
      <c r="Y5" s="5"/>
      <c r="Z5" s="5"/>
      <c r="AA5" s="5"/>
      <c r="AB5" s="5"/>
      <c r="AC5" s="5"/>
      <c r="AD5" s="5"/>
      <c r="AE5" s="5"/>
    </row>
    <row r="6" spans="1:31">
      <c r="A6" s="1"/>
      <c r="B6" s="1"/>
      <c r="C6" s="1"/>
      <c r="D6" s="1"/>
      <c r="E6" s="2"/>
      <c r="F6" s="52"/>
      <c r="G6" s="2"/>
      <c r="H6" s="1"/>
      <c r="I6" s="2"/>
      <c r="J6" s="10"/>
      <c r="K6" s="5"/>
      <c r="L6" s="5"/>
      <c r="M6" s="5"/>
      <c r="N6" s="5"/>
      <c r="O6" s="42"/>
      <c r="P6" s="42"/>
      <c r="Q6" s="43"/>
      <c r="R6" s="43"/>
      <c r="S6" s="43"/>
      <c r="T6" s="5"/>
      <c r="U6" s="5"/>
      <c r="V6" s="5"/>
      <c r="W6" s="5"/>
      <c r="X6" s="44"/>
      <c r="Y6" s="43"/>
      <c r="Z6" s="17"/>
      <c r="AA6" s="5"/>
      <c r="AB6" s="5"/>
      <c r="AC6" s="5"/>
      <c r="AD6" s="5"/>
      <c r="AE6" s="5"/>
    </row>
    <row r="7" spans="1:31">
      <c r="A7" s="1"/>
      <c r="B7" s="1"/>
      <c r="C7" s="1"/>
      <c r="D7" s="2"/>
      <c r="E7" s="2"/>
      <c r="F7" s="53" t="s">
        <v>0</v>
      </c>
      <c r="G7" s="2"/>
      <c r="H7" s="2"/>
      <c r="I7" s="2" t="s">
        <v>503</v>
      </c>
      <c r="J7" s="12"/>
      <c r="K7" s="5"/>
      <c r="L7" s="5"/>
      <c r="M7" s="5"/>
      <c r="N7" s="5"/>
      <c r="O7" s="43"/>
      <c r="P7" s="43"/>
      <c r="Q7" s="43"/>
      <c r="R7" s="43"/>
      <c r="S7" s="43"/>
      <c r="T7" s="5"/>
      <c r="U7" s="5"/>
      <c r="V7" s="5"/>
      <c r="W7" s="5"/>
      <c r="X7" s="43"/>
      <c r="Y7" s="43"/>
      <c r="Z7" s="17"/>
      <c r="AA7" s="5"/>
      <c r="AB7" s="5"/>
      <c r="AC7" s="5"/>
      <c r="AD7" s="5"/>
      <c r="AE7" s="5"/>
    </row>
    <row r="8" spans="1:31">
      <c r="A8" s="1"/>
      <c r="B8" s="1"/>
      <c r="C8" s="1"/>
      <c r="D8" s="13" t="s">
        <v>1</v>
      </c>
      <c r="E8" s="14" t="s">
        <v>2</v>
      </c>
      <c r="F8" s="54" t="s">
        <v>3</v>
      </c>
      <c r="G8" s="13" t="s">
        <v>4</v>
      </c>
      <c r="H8" s="14" t="s">
        <v>5</v>
      </c>
      <c r="I8" s="13" t="s">
        <v>6</v>
      </c>
      <c r="J8" s="15" t="s">
        <v>7</v>
      </c>
      <c r="K8" s="5"/>
      <c r="L8" s="5"/>
      <c r="M8" s="5"/>
      <c r="N8" s="5"/>
      <c r="O8" s="5"/>
      <c r="P8" s="5"/>
      <c r="Q8" s="5"/>
      <c r="R8" s="5"/>
      <c r="S8" s="5"/>
      <c r="T8" s="5"/>
      <c r="U8" s="5"/>
      <c r="V8" s="5"/>
      <c r="W8" s="5"/>
      <c r="X8" s="5"/>
      <c r="Y8" s="5"/>
      <c r="Z8" s="5"/>
      <c r="AA8" s="5"/>
      <c r="AB8" s="5"/>
      <c r="AC8" s="5"/>
      <c r="AD8" s="5"/>
      <c r="AE8" s="5"/>
    </row>
    <row r="9" spans="1:31">
      <c r="A9" s="1"/>
      <c r="B9" s="285"/>
      <c r="C9" s="5"/>
      <c r="D9" s="5"/>
      <c r="E9" s="17"/>
      <c r="F9" s="55"/>
      <c r="G9" s="17"/>
      <c r="H9" s="5"/>
      <c r="I9" s="5"/>
      <c r="J9" s="12"/>
      <c r="K9" s="5"/>
      <c r="L9" s="23"/>
      <c r="M9" s="5"/>
      <c r="N9" s="5"/>
      <c r="O9" s="45"/>
      <c r="P9" s="46"/>
      <c r="Q9" s="4"/>
      <c r="R9" s="47"/>
      <c r="S9" s="4"/>
      <c r="T9" s="5"/>
      <c r="U9" s="23"/>
      <c r="V9" s="5"/>
      <c r="W9" s="5"/>
      <c r="X9" s="48"/>
      <c r="Y9" s="27"/>
      <c r="Z9" s="4"/>
      <c r="AA9" s="5"/>
      <c r="AB9" s="5"/>
      <c r="AC9" s="5"/>
      <c r="AD9" s="5"/>
      <c r="AE9" s="5"/>
    </row>
    <row r="10" spans="1:31">
      <c r="A10" s="1"/>
      <c r="B10" s="285" t="s">
        <v>497</v>
      </c>
      <c r="C10" s="5"/>
      <c r="D10" s="5"/>
      <c r="E10" s="17"/>
      <c r="F10" s="374"/>
      <c r="G10" s="17"/>
      <c r="H10" s="5"/>
      <c r="I10" s="5"/>
      <c r="J10" s="12"/>
      <c r="K10" s="5"/>
      <c r="L10" s="23"/>
      <c r="M10" s="5"/>
      <c r="N10" s="5"/>
      <c r="O10" s="45"/>
      <c r="P10" s="46"/>
      <c r="Q10" s="4"/>
      <c r="R10" s="47"/>
      <c r="S10" s="4"/>
      <c r="T10" s="5"/>
      <c r="U10" s="23"/>
      <c r="V10" s="5"/>
      <c r="W10" s="5"/>
      <c r="X10" s="48"/>
      <c r="Y10" s="27"/>
      <c r="Z10" s="4"/>
      <c r="AA10" s="5"/>
      <c r="AB10" s="5"/>
      <c r="AC10" s="5"/>
      <c r="AD10" s="5"/>
      <c r="AE10" s="5"/>
    </row>
    <row r="11" spans="1:31">
      <c r="A11" s="1"/>
      <c r="B11" s="386" t="s">
        <v>519</v>
      </c>
      <c r="D11" s="30">
        <v>920</v>
      </c>
      <c r="E11" s="439" t="s">
        <v>551</v>
      </c>
      <c r="F11" s="376">
        <f>-'Actual Accounting'!F19</f>
        <v>237140.69999999995</v>
      </c>
      <c r="G11" s="399" t="s">
        <v>501</v>
      </c>
      <c r="H11" s="399" t="s">
        <v>550</v>
      </c>
      <c r="I11" s="394">
        <f>+F11</f>
        <v>237140.69999999995</v>
      </c>
      <c r="J11" s="426" t="s">
        <v>536</v>
      </c>
      <c r="K11" s="5"/>
      <c r="L11" s="5"/>
      <c r="M11" s="4"/>
      <c r="N11" s="5"/>
      <c r="O11" s="45"/>
      <c r="P11" s="46"/>
      <c r="Q11" s="4"/>
      <c r="R11" s="27"/>
      <c r="S11" s="4"/>
      <c r="T11" s="5"/>
      <c r="U11" s="5"/>
      <c r="V11" s="5"/>
      <c r="W11" s="5"/>
      <c r="X11" s="48"/>
      <c r="Y11" s="27"/>
      <c r="Z11" s="4"/>
      <c r="AA11" s="5"/>
      <c r="AB11" s="5"/>
      <c r="AC11" s="5"/>
      <c r="AD11" s="5"/>
      <c r="AE11" s="5"/>
    </row>
    <row r="12" spans="1:31">
      <c r="A12" s="1"/>
      <c r="B12" s="386" t="s">
        <v>534</v>
      </c>
      <c r="D12" s="30">
        <v>920</v>
      </c>
      <c r="E12" s="439" t="s">
        <v>551</v>
      </c>
      <c r="F12" s="376">
        <f>-' Amort Schedule'!E11</f>
        <v>-1013713.3485877872</v>
      </c>
      <c r="G12" s="399" t="s">
        <v>501</v>
      </c>
      <c r="H12" s="399" t="s">
        <v>550</v>
      </c>
      <c r="I12" s="394">
        <f>+F12</f>
        <v>-1013713.3485877872</v>
      </c>
      <c r="J12" s="426" t="s">
        <v>537</v>
      </c>
      <c r="L12" s="5"/>
      <c r="M12" s="5"/>
      <c r="N12" s="5"/>
      <c r="O12" s="45"/>
      <c r="P12" s="46"/>
      <c r="Q12" s="5"/>
      <c r="R12" s="5"/>
      <c r="S12" s="5"/>
      <c r="T12" s="5"/>
      <c r="U12" s="5"/>
      <c r="V12" s="5"/>
      <c r="W12" s="5"/>
      <c r="X12" s="48"/>
      <c r="Y12" s="5"/>
      <c r="Z12" s="5"/>
      <c r="AA12" s="5"/>
      <c r="AB12" s="5"/>
      <c r="AC12" s="5"/>
      <c r="AD12" s="5"/>
      <c r="AE12" s="5"/>
    </row>
    <row r="13" spans="1:31">
      <c r="A13" s="1"/>
      <c r="D13" s="30"/>
      <c r="E13" s="440"/>
      <c r="F13" s="378"/>
      <c r="I13" s="377"/>
      <c r="K13" s="5"/>
      <c r="L13" s="5"/>
      <c r="M13" s="5"/>
      <c r="N13" s="5"/>
      <c r="O13" s="45"/>
      <c r="P13" s="46"/>
      <c r="Q13" s="4"/>
      <c r="R13" s="27"/>
      <c r="S13" s="4"/>
      <c r="T13" s="5"/>
      <c r="U13" s="5"/>
      <c r="V13" s="5"/>
      <c r="W13" s="5"/>
      <c r="X13" s="48"/>
      <c r="Y13" s="27"/>
      <c r="Z13" s="4"/>
      <c r="AA13" s="5"/>
      <c r="AB13" s="5"/>
      <c r="AC13" s="5"/>
      <c r="AD13" s="5"/>
      <c r="AE13" s="5"/>
    </row>
    <row r="14" spans="1:31" ht="13.5" thickBot="1">
      <c r="A14" s="1"/>
      <c r="B14" s="205"/>
      <c r="D14" s="30"/>
      <c r="E14" s="440"/>
      <c r="F14" s="427">
        <f>SUM(F11:F13)</f>
        <v>-776572.64858778729</v>
      </c>
      <c r="I14" s="427">
        <f>SUM(I11:I13)</f>
        <v>-776572.64858778729</v>
      </c>
      <c r="K14" s="5"/>
      <c r="L14" s="5"/>
      <c r="M14" s="5"/>
      <c r="N14" s="5"/>
      <c r="O14" s="45"/>
      <c r="P14" s="46"/>
      <c r="Q14" s="5"/>
      <c r="R14" s="5"/>
      <c r="S14" s="5"/>
      <c r="T14" s="5"/>
      <c r="U14" s="5"/>
      <c r="V14" s="5"/>
      <c r="W14" s="5"/>
      <c r="X14" s="48"/>
      <c r="Y14" s="5"/>
      <c r="Z14" s="5"/>
      <c r="AA14" s="5"/>
      <c r="AB14" s="5"/>
      <c r="AC14" s="5"/>
      <c r="AD14" s="5"/>
      <c r="AE14" s="5"/>
    </row>
    <row r="15" spans="1:31" ht="13.5" thickTop="1">
      <c r="A15" s="5"/>
      <c r="B15" s="373"/>
      <c r="C15" s="5"/>
      <c r="D15" s="17"/>
      <c r="E15" s="33"/>
      <c r="F15" s="233"/>
      <c r="G15" s="28"/>
      <c r="H15" s="28"/>
      <c r="I15" s="28"/>
      <c r="J15" s="22"/>
      <c r="K15" s="5"/>
      <c r="L15" s="5"/>
      <c r="M15" s="5"/>
      <c r="N15" s="5"/>
      <c r="O15" s="45"/>
      <c r="P15" s="46"/>
      <c r="Q15" s="4"/>
      <c r="R15" s="27"/>
      <c r="S15" s="4"/>
      <c r="T15" s="5"/>
      <c r="U15" s="5"/>
      <c r="V15" s="5"/>
      <c r="W15" s="5"/>
      <c r="X15" s="48"/>
      <c r="Y15" s="27"/>
      <c r="Z15" s="4"/>
      <c r="AA15" s="5"/>
      <c r="AB15" s="5"/>
      <c r="AC15" s="5"/>
      <c r="AD15" s="5"/>
      <c r="AE15" s="5"/>
    </row>
    <row r="16" spans="1:31">
      <c r="A16" s="28"/>
      <c r="B16" s="417"/>
      <c r="C16" s="380"/>
      <c r="D16" s="381"/>
      <c r="E16" s="441"/>
      <c r="F16" s="374"/>
      <c r="G16" s="381"/>
      <c r="H16" s="418"/>
      <c r="I16" s="18"/>
      <c r="J16" s="22"/>
      <c r="K16" s="5"/>
      <c r="L16" s="5"/>
      <c r="M16" s="5"/>
      <c r="N16" s="5"/>
      <c r="O16" s="45"/>
      <c r="P16" s="46"/>
      <c r="Q16" s="5"/>
      <c r="R16" s="5"/>
      <c r="S16" s="5"/>
      <c r="T16" s="5"/>
      <c r="U16" s="5"/>
      <c r="V16" s="5"/>
      <c r="W16" s="5"/>
      <c r="X16" s="48"/>
      <c r="Y16" s="5"/>
      <c r="Z16" s="5"/>
      <c r="AA16" s="5"/>
      <c r="AB16" s="5"/>
      <c r="AC16" s="5"/>
      <c r="AD16" s="5"/>
      <c r="AE16" s="5"/>
    </row>
    <row r="17" spans="1:31">
      <c r="A17" s="28"/>
      <c r="B17" s="419"/>
      <c r="C17" s="380"/>
      <c r="D17" s="420"/>
      <c r="E17" s="441"/>
      <c r="F17" s="375"/>
      <c r="G17" s="381"/>
      <c r="H17" s="418"/>
      <c r="I17" s="18"/>
      <c r="J17" s="22"/>
      <c r="K17" s="5"/>
      <c r="L17" s="5"/>
      <c r="M17" s="5"/>
      <c r="N17" s="5"/>
      <c r="O17" s="45"/>
      <c r="P17" s="46"/>
      <c r="Q17" s="4"/>
      <c r="R17" s="27"/>
      <c r="S17" s="4"/>
      <c r="T17" s="5"/>
      <c r="U17" s="5"/>
      <c r="V17" s="5"/>
      <c r="W17" s="5"/>
      <c r="X17" s="48"/>
      <c r="Y17" s="27"/>
      <c r="Z17" s="4"/>
      <c r="AA17" s="5"/>
      <c r="AB17" s="5"/>
      <c r="AC17" s="5"/>
      <c r="AD17" s="5"/>
      <c r="AE17" s="5"/>
    </row>
    <row r="18" spans="1:31">
      <c r="A18" s="28"/>
      <c r="B18" s="271" t="s">
        <v>540</v>
      </c>
      <c r="C18" s="380"/>
      <c r="D18" s="420"/>
      <c r="E18" s="441"/>
      <c r="F18" s="375"/>
      <c r="G18" s="381"/>
      <c r="H18" s="380"/>
      <c r="I18" s="4"/>
      <c r="J18" s="22"/>
      <c r="K18" s="5"/>
      <c r="L18" s="5"/>
      <c r="M18" s="5"/>
      <c r="N18" s="5"/>
      <c r="O18" s="45"/>
      <c r="P18" s="46"/>
      <c r="Q18" s="4"/>
      <c r="R18" s="27"/>
      <c r="S18" s="4"/>
      <c r="T18" s="5"/>
      <c r="U18" s="5"/>
      <c r="V18" s="5"/>
      <c r="W18" s="5"/>
      <c r="X18" s="48"/>
      <c r="Y18" s="27"/>
      <c r="Z18" s="4"/>
      <c r="AA18" s="5"/>
      <c r="AB18" s="5"/>
      <c r="AC18" s="5"/>
      <c r="AD18" s="5"/>
      <c r="AE18" s="5"/>
    </row>
    <row r="19" spans="1:31">
      <c r="A19" s="28"/>
      <c r="B19" s="386" t="s">
        <v>541</v>
      </c>
      <c r="C19" s="5"/>
      <c r="D19" s="424" t="s">
        <v>543</v>
      </c>
      <c r="E19" s="439" t="s">
        <v>551</v>
      </c>
      <c r="F19" s="375">
        <f>' Amort Schedule'!G26</f>
        <v>1013713.3485877872</v>
      </c>
      <c r="G19" s="424" t="s">
        <v>501</v>
      </c>
      <c r="H19" s="399" t="s">
        <v>550</v>
      </c>
      <c r="I19" s="394">
        <f t="shared" ref="I19:I20" si="0">+F19</f>
        <v>1013713.3485877872</v>
      </c>
      <c r="J19" s="426" t="s">
        <v>537</v>
      </c>
      <c r="K19" s="5"/>
      <c r="L19" s="5"/>
      <c r="M19" s="5"/>
      <c r="N19" s="5"/>
      <c r="O19" s="45"/>
      <c r="P19" s="46"/>
      <c r="Q19" s="5"/>
      <c r="R19" s="5"/>
      <c r="S19" s="5"/>
      <c r="T19" s="5"/>
      <c r="U19" s="5"/>
      <c r="V19" s="5"/>
      <c r="W19" s="5"/>
      <c r="X19" s="48"/>
      <c r="Y19" s="5"/>
      <c r="Z19" s="5"/>
      <c r="AA19" s="5"/>
      <c r="AB19" s="5"/>
      <c r="AC19" s="5"/>
      <c r="AD19" s="5"/>
      <c r="AE19" s="5"/>
    </row>
    <row r="20" spans="1:31">
      <c r="A20" s="28"/>
      <c r="B20" s="419" t="s">
        <v>542</v>
      </c>
      <c r="C20" s="380"/>
      <c r="D20" s="247">
        <v>41010</v>
      </c>
      <c r="E20" s="439" t="s">
        <v>551</v>
      </c>
      <c r="F20" s="382">
        <f>' Amort Schedule'!H26</f>
        <v>384714.35292255116</v>
      </c>
      <c r="G20" s="425" t="s">
        <v>501</v>
      </c>
      <c r="H20" s="399" t="s">
        <v>550</v>
      </c>
      <c r="I20" s="394">
        <f t="shared" si="0"/>
        <v>384714.35292255116</v>
      </c>
      <c r="J20" s="426" t="s">
        <v>537</v>
      </c>
      <c r="K20" s="5"/>
      <c r="L20" s="5"/>
      <c r="M20" s="5"/>
      <c r="N20" s="5"/>
      <c r="O20" s="45"/>
      <c r="P20" s="46"/>
      <c r="Q20" s="4"/>
      <c r="R20" s="27"/>
      <c r="S20" s="4"/>
      <c r="T20" s="5"/>
      <c r="U20" s="5"/>
      <c r="V20" s="5"/>
      <c r="W20" s="5"/>
      <c r="X20" s="48"/>
      <c r="Y20" s="27"/>
      <c r="Z20" s="4"/>
      <c r="AA20" s="5"/>
      <c r="AB20" s="5"/>
      <c r="AC20" s="5"/>
      <c r="AD20" s="5"/>
      <c r="AE20" s="5"/>
    </row>
    <row r="21" spans="1:31">
      <c r="A21" s="5"/>
      <c r="B21" s="16"/>
      <c r="C21" s="5"/>
      <c r="D21" s="5"/>
      <c r="E21" s="17"/>
      <c r="F21" s="374"/>
      <c r="G21" s="17"/>
      <c r="H21" s="5"/>
      <c r="I21" s="5"/>
      <c r="J21" s="24"/>
      <c r="K21" s="5"/>
      <c r="L21" s="5"/>
      <c r="M21" s="5"/>
      <c r="N21" s="5"/>
      <c r="O21" s="5"/>
      <c r="P21" s="5"/>
      <c r="Q21" s="5"/>
      <c r="R21" s="5"/>
      <c r="S21" s="5"/>
      <c r="T21" s="5"/>
      <c r="U21" s="5"/>
      <c r="V21" s="5"/>
      <c r="W21" s="5"/>
      <c r="X21" s="5"/>
      <c r="Y21" s="5"/>
      <c r="Z21" s="5"/>
      <c r="AA21" s="5"/>
      <c r="AB21" s="5"/>
      <c r="AC21" s="5"/>
      <c r="AD21" s="5"/>
      <c r="AE21" s="5"/>
    </row>
    <row r="22" spans="1:31">
      <c r="A22" s="1"/>
      <c r="B22" s="383"/>
      <c r="C22" s="5"/>
      <c r="D22" s="5"/>
      <c r="E22" s="17"/>
      <c r="F22" s="374"/>
      <c r="G22" s="17"/>
      <c r="H22" s="5"/>
      <c r="I22" s="5"/>
      <c r="J22" s="22"/>
      <c r="K22" s="5"/>
      <c r="L22" s="5"/>
      <c r="M22" s="5"/>
      <c r="N22" s="5"/>
      <c r="O22" s="5"/>
      <c r="P22" s="5"/>
      <c r="Q22" s="5"/>
      <c r="R22" s="5"/>
      <c r="S22" s="5"/>
      <c r="T22" s="5"/>
      <c r="U22" s="5"/>
      <c r="V22" s="5"/>
      <c r="W22" s="5"/>
      <c r="X22" s="5"/>
      <c r="Y22" s="5"/>
      <c r="Z22" s="5"/>
      <c r="AA22" s="5"/>
      <c r="AB22" s="5"/>
      <c r="AC22" s="5"/>
      <c r="AD22" s="5"/>
      <c r="AE22" s="5"/>
    </row>
    <row r="23" spans="1:31">
      <c r="A23" s="1"/>
      <c r="B23" s="383"/>
      <c r="C23" s="5"/>
      <c r="D23" s="5"/>
      <c r="E23" s="20"/>
      <c r="F23" s="57"/>
      <c r="G23" s="25"/>
      <c r="H23" s="25"/>
      <c r="I23" s="25"/>
      <c r="J23" s="22"/>
      <c r="K23" s="5"/>
      <c r="L23" s="5"/>
      <c r="M23" s="5"/>
      <c r="N23" s="5"/>
      <c r="O23" s="5"/>
      <c r="P23" s="5"/>
      <c r="Q23" s="5"/>
      <c r="R23" s="5"/>
      <c r="S23" s="5"/>
      <c r="T23" s="5"/>
      <c r="U23" s="5"/>
      <c r="V23" s="5"/>
      <c r="W23" s="5"/>
      <c r="X23" s="5"/>
      <c r="Y23" s="5"/>
      <c r="Z23" s="5"/>
      <c r="AA23" s="5"/>
      <c r="AB23" s="5"/>
      <c r="AC23" s="5"/>
      <c r="AD23" s="5"/>
      <c r="AE23" s="5"/>
    </row>
    <row r="24" spans="1:31">
      <c r="A24" s="1"/>
      <c r="B24" s="5"/>
      <c r="C24" s="5"/>
      <c r="D24" s="5"/>
      <c r="E24" s="20"/>
      <c r="F24" s="57"/>
      <c r="G24" s="25"/>
      <c r="H24" s="25"/>
      <c r="I24" s="25"/>
      <c r="J24" s="26"/>
      <c r="K24" s="5"/>
      <c r="L24" s="5"/>
      <c r="M24" s="5"/>
      <c r="N24" s="5"/>
      <c r="O24" s="49"/>
      <c r="P24" s="49"/>
      <c r="Q24" s="49"/>
      <c r="R24" s="27"/>
      <c r="S24" s="49"/>
      <c r="T24" s="5"/>
      <c r="U24" s="5"/>
      <c r="V24" s="5"/>
      <c r="W24" s="5"/>
      <c r="X24" s="49"/>
      <c r="Y24" s="27"/>
      <c r="Z24" s="49"/>
      <c r="AA24" s="5"/>
      <c r="AB24" s="5"/>
      <c r="AC24" s="5"/>
      <c r="AD24" s="5"/>
      <c r="AE24" s="5"/>
    </row>
    <row r="25" spans="1:31">
      <c r="A25" s="1"/>
      <c r="B25" s="5"/>
      <c r="C25" s="5"/>
      <c r="D25" s="5"/>
      <c r="E25" s="20"/>
      <c r="F25" s="57"/>
      <c r="G25" s="25"/>
      <c r="H25" s="25"/>
      <c r="I25" s="25"/>
      <c r="J25" s="26"/>
      <c r="K25" s="5"/>
      <c r="L25" s="5"/>
      <c r="M25" s="5"/>
      <c r="N25" s="5"/>
      <c r="O25" s="5"/>
      <c r="P25" s="5"/>
      <c r="Q25" s="5"/>
      <c r="R25" s="5"/>
      <c r="S25" s="5"/>
      <c r="T25" s="5"/>
      <c r="U25" s="5"/>
      <c r="V25" s="5"/>
      <c r="W25" s="5"/>
      <c r="X25" s="5"/>
      <c r="Y25" s="5"/>
      <c r="Z25" s="5"/>
      <c r="AA25" s="5"/>
      <c r="AB25" s="5"/>
      <c r="AC25" s="5"/>
      <c r="AD25" s="5"/>
      <c r="AE25" s="5"/>
    </row>
    <row r="26" spans="1:31">
      <c r="A26" s="1"/>
      <c r="B26" s="5"/>
      <c r="C26" s="5"/>
      <c r="D26" s="5"/>
      <c r="E26" s="20"/>
      <c r="F26" s="57"/>
      <c r="G26" s="17"/>
      <c r="H26" s="5"/>
      <c r="I26" s="5"/>
      <c r="J26" s="24"/>
      <c r="K26" s="5"/>
      <c r="L26" s="5"/>
      <c r="M26" s="5"/>
      <c r="N26" s="5"/>
      <c r="O26" s="5"/>
      <c r="P26" s="5"/>
      <c r="Q26" s="5"/>
      <c r="R26" s="5"/>
      <c r="S26" s="5"/>
      <c r="T26" s="5"/>
      <c r="U26" s="5"/>
      <c r="V26" s="5"/>
      <c r="W26" s="5"/>
      <c r="X26" s="5"/>
      <c r="Y26" s="5"/>
      <c r="Z26" s="5"/>
      <c r="AA26" s="5"/>
      <c r="AB26" s="5"/>
      <c r="AC26" s="5"/>
      <c r="AD26" s="5"/>
      <c r="AE26" s="5"/>
    </row>
    <row r="27" spans="1:31">
      <c r="A27" s="1"/>
      <c r="B27" s="5"/>
      <c r="C27" s="5"/>
      <c r="D27" s="5"/>
      <c r="E27" s="20"/>
      <c r="F27" s="57"/>
      <c r="G27" s="17"/>
      <c r="H27" s="5"/>
      <c r="I27" s="5"/>
      <c r="J27" s="24"/>
      <c r="K27" s="5"/>
      <c r="L27" s="5"/>
      <c r="M27" s="5"/>
      <c r="N27" s="5"/>
      <c r="O27" s="5"/>
      <c r="P27" s="5"/>
      <c r="Q27" s="5"/>
      <c r="R27" s="5"/>
      <c r="S27" s="5"/>
      <c r="T27" s="5"/>
      <c r="U27" s="5"/>
      <c r="V27" s="5"/>
      <c r="W27" s="5"/>
      <c r="X27" s="5"/>
      <c r="Y27" s="5"/>
      <c r="Z27" s="5"/>
      <c r="AA27" s="5"/>
      <c r="AB27" s="5"/>
      <c r="AC27" s="5"/>
      <c r="AD27" s="5"/>
      <c r="AE27" s="5"/>
    </row>
    <row r="28" spans="1:31">
      <c r="A28" s="1"/>
      <c r="B28" s="5"/>
      <c r="C28" s="5"/>
      <c r="D28" s="5"/>
      <c r="E28" s="20"/>
      <c r="F28" s="57"/>
      <c r="G28" s="25"/>
      <c r="H28" s="25"/>
      <c r="I28" s="25"/>
      <c r="J28" s="26"/>
      <c r="K28" s="5"/>
      <c r="L28" s="5"/>
      <c r="M28" s="5"/>
      <c r="N28" s="5"/>
      <c r="O28" s="5"/>
      <c r="P28" s="5"/>
      <c r="Q28" s="5"/>
      <c r="R28" s="5"/>
      <c r="S28" s="5"/>
      <c r="T28" s="5"/>
      <c r="U28" s="5"/>
      <c r="V28" s="5"/>
      <c r="W28" s="5"/>
      <c r="X28" s="5"/>
      <c r="Y28" s="5"/>
      <c r="Z28" s="5"/>
      <c r="AA28" s="5"/>
      <c r="AB28" s="5"/>
      <c r="AC28" s="5"/>
      <c r="AD28" s="5"/>
      <c r="AE28" s="5"/>
    </row>
    <row r="29" spans="1:31">
      <c r="A29" s="1"/>
      <c r="B29" s="5"/>
      <c r="C29" s="5"/>
      <c r="D29" s="5"/>
      <c r="E29" s="20"/>
      <c r="F29" s="57"/>
      <c r="G29" s="25"/>
      <c r="H29" s="25"/>
      <c r="I29" s="25"/>
      <c r="J29" s="26"/>
      <c r="K29" s="5"/>
      <c r="L29" s="5"/>
      <c r="M29" s="5"/>
      <c r="N29" s="5"/>
      <c r="O29" s="5"/>
      <c r="P29" s="5"/>
      <c r="Q29" s="5"/>
      <c r="R29" s="5"/>
      <c r="S29" s="5"/>
      <c r="T29" s="5"/>
      <c r="U29" s="5"/>
      <c r="V29" s="5"/>
      <c r="W29" s="5"/>
      <c r="X29" s="5"/>
      <c r="Y29" s="5"/>
      <c r="Z29" s="5"/>
      <c r="AA29" s="5"/>
      <c r="AB29" s="5"/>
      <c r="AC29" s="5"/>
      <c r="AD29" s="5"/>
      <c r="AE29" s="5"/>
    </row>
    <row r="30" spans="1:31">
      <c r="A30" s="1"/>
      <c r="B30" s="5"/>
      <c r="C30" s="5"/>
      <c r="D30" s="5"/>
      <c r="E30" s="20"/>
      <c r="F30" s="57"/>
      <c r="G30" s="25"/>
      <c r="H30" s="25"/>
      <c r="I30" s="25"/>
      <c r="J30" s="26"/>
      <c r="K30" s="5"/>
      <c r="L30" s="5"/>
      <c r="M30" s="5"/>
      <c r="N30" s="5"/>
      <c r="O30" s="5"/>
      <c r="P30" s="5"/>
      <c r="Q30" s="5"/>
      <c r="R30" s="5"/>
      <c r="S30" s="5"/>
      <c r="T30" s="5"/>
      <c r="U30" s="5"/>
      <c r="V30" s="5"/>
      <c r="W30" s="5"/>
      <c r="X30" s="5"/>
      <c r="Y30" s="5"/>
      <c r="Z30" s="5"/>
      <c r="AA30" s="5"/>
      <c r="AB30" s="5"/>
      <c r="AC30" s="5"/>
      <c r="AD30" s="5"/>
      <c r="AE30" s="5"/>
    </row>
    <row r="31" spans="1:31">
      <c r="A31" s="1"/>
      <c r="B31" s="5"/>
      <c r="C31" s="5"/>
      <c r="D31" s="5"/>
      <c r="E31" s="20"/>
      <c r="F31" s="57"/>
      <c r="G31" s="17"/>
      <c r="H31" s="5"/>
      <c r="I31" s="5"/>
      <c r="J31" s="24"/>
      <c r="K31" s="5"/>
      <c r="L31" s="5"/>
      <c r="M31" s="5"/>
      <c r="N31" s="5"/>
      <c r="O31" s="5"/>
      <c r="P31" s="5"/>
      <c r="Q31" s="5"/>
      <c r="R31" s="5"/>
      <c r="S31" s="5"/>
      <c r="T31" s="5"/>
      <c r="U31" s="5"/>
      <c r="V31" s="5"/>
      <c r="W31" s="5"/>
      <c r="X31" s="5"/>
      <c r="Y31" s="5"/>
      <c r="Z31" s="5"/>
      <c r="AA31" s="5"/>
      <c r="AB31" s="5"/>
      <c r="AC31" s="5"/>
      <c r="AD31" s="5"/>
      <c r="AE31" s="5"/>
    </row>
    <row r="32" spans="1:31">
      <c r="A32" s="5"/>
      <c r="B32" s="5"/>
      <c r="C32" s="5"/>
      <c r="D32" s="5"/>
      <c r="E32" s="20"/>
      <c r="F32" s="57"/>
      <c r="G32" s="17"/>
      <c r="H32" s="5"/>
      <c r="I32" s="5"/>
      <c r="J32" s="24"/>
      <c r="K32" s="5"/>
      <c r="L32" s="5"/>
      <c r="M32" s="5"/>
      <c r="N32" s="5"/>
      <c r="O32" s="5"/>
      <c r="P32" s="5"/>
      <c r="Q32" s="5"/>
      <c r="R32" s="5"/>
      <c r="S32" s="5"/>
      <c r="T32" s="5"/>
      <c r="U32" s="5"/>
      <c r="V32" s="5"/>
      <c r="W32" s="5"/>
      <c r="X32" s="5"/>
      <c r="Y32" s="5"/>
      <c r="Z32" s="5"/>
      <c r="AA32" s="5"/>
      <c r="AB32" s="5"/>
      <c r="AC32" s="5"/>
      <c r="AD32" s="5"/>
      <c r="AE32" s="5"/>
    </row>
    <row r="33" spans="1:31">
      <c r="B33" s="28"/>
      <c r="C33" s="28"/>
      <c r="D33" s="28"/>
      <c r="E33" s="20"/>
      <c r="F33" s="58"/>
      <c r="G33" s="20"/>
      <c r="H33" s="28"/>
      <c r="I33" s="28"/>
      <c r="J33" s="29"/>
      <c r="K33" s="5"/>
      <c r="L33" s="5"/>
      <c r="M33" s="5"/>
      <c r="N33" s="5"/>
      <c r="O33" s="5"/>
      <c r="P33" s="5"/>
      <c r="Q33" s="5"/>
      <c r="R33" s="5"/>
      <c r="S33" s="5"/>
      <c r="T33" s="5"/>
      <c r="U33" s="5"/>
      <c r="V33" s="5"/>
      <c r="W33" s="5"/>
      <c r="X33" s="5"/>
      <c r="Y33" s="5"/>
      <c r="Z33" s="5"/>
      <c r="AA33" s="5"/>
      <c r="AB33" s="5"/>
      <c r="AC33" s="5"/>
      <c r="AD33" s="5"/>
      <c r="AE33" s="5"/>
    </row>
    <row r="34" spans="1:31">
      <c r="E34" s="30"/>
      <c r="J34" s="12"/>
      <c r="K34" s="5"/>
      <c r="L34" s="5"/>
      <c r="M34" s="5"/>
      <c r="N34" s="5"/>
      <c r="O34" s="5"/>
      <c r="P34" s="5"/>
      <c r="Q34" s="5"/>
      <c r="R34" s="5"/>
      <c r="S34" s="5"/>
      <c r="T34" s="5"/>
      <c r="U34" s="5"/>
      <c r="V34" s="5"/>
      <c r="W34" s="5"/>
      <c r="X34" s="5"/>
      <c r="Y34" s="5"/>
      <c r="Z34" s="5"/>
      <c r="AA34" s="5"/>
      <c r="AB34" s="5"/>
      <c r="AC34" s="5"/>
      <c r="AD34" s="5"/>
      <c r="AE34" s="5"/>
    </row>
    <row r="35" spans="1:31">
      <c r="E35" s="30"/>
      <c r="J35" s="12"/>
      <c r="K35" s="5"/>
      <c r="L35" s="5"/>
      <c r="M35" s="5"/>
      <c r="N35" s="5"/>
      <c r="O35" s="5"/>
      <c r="P35" s="5"/>
      <c r="Q35" s="5"/>
      <c r="R35" s="5"/>
      <c r="S35" s="5"/>
      <c r="T35" s="5"/>
      <c r="U35" s="5"/>
      <c r="V35" s="5"/>
      <c r="W35" s="5"/>
      <c r="X35" s="5"/>
      <c r="Y35" s="5"/>
      <c r="Z35" s="5"/>
      <c r="AA35" s="5"/>
      <c r="AB35" s="5"/>
      <c r="AC35" s="5"/>
      <c r="AD35" s="5"/>
      <c r="AE35" s="5"/>
    </row>
    <row r="36" spans="1:31">
      <c r="A36" s="5"/>
      <c r="E36" s="30"/>
      <c r="J36" s="12"/>
      <c r="K36" s="5"/>
      <c r="L36" s="5"/>
      <c r="M36" s="5"/>
      <c r="N36" s="5"/>
      <c r="O36" s="5"/>
      <c r="P36" s="5"/>
      <c r="Q36" s="5"/>
      <c r="R36" s="5"/>
      <c r="S36" s="5"/>
      <c r="T36" s="5"/>
      <c r="U36" s="5"/>
      <c r="V36" s="5"/>
      <c r="W36" s="5"/>
      <c r="X36" s="5"/>
      <c r="Y36" s="5"/>
      <c r="Z36" s="5"/>
      <c r="AA36" s="5"/>
      <c r="AB36" s="5"/>
      <c r="AC36" s="5"/>
      <c r="AD36" s="5"/>
      <c r="AE36" s="5"/>
    </row>
    <row r="37" spans="1:31">
      <c r="A37" s="5"/>
      <c r="B37" s="5"/>
      <c r="C37" s="5"/>
      <c r="D37" s="5"/>
      <c r="E37" s="17"/>
      <c r="F37" s="55"/>
      <c r="G37" s="17"/>
      <c r="H37" s="5"/>
      <c r="I37" s="5"/>
      <c r="J37" s="24"/>
      <c r="K37" s="5"/>
      <c r="L37" s="5"/>
      <c r="M37" s="5"/>
      <c r="N37" s="5"/>
      <c r="O37" s="5"/>
      <c r="P37" s="5"/>
      <c r="Q37" s="5"/>
      <c r="R37" s="5"/>
      <c r="S37" s="5"/>
      <c r="T37" s="5"/>
      <c r="U37" s="5"/>
      <c r="V37" s="5"/>
      <c r="W37" s="5"/>
      <c r="X37" s="5"/>
      <c r="Y37" s="5"/>
      <c r="Z37" s="5"/>
      <c r="AA37" s="5"/>
      <c r="AB37" s="5"/>
      <c r="AC37" s="5"/>
      <c r="AD37" s="5"/>
      <c r="AE37" s="5"/>
    </row>
    <row r="38" spans="1:31">
      <c r="A38" s="5"/>
      <c r="B38" s="5"/>
      <c r="C38" s="5"/>
      <c r="D38" s="5"/>
      <c r="E38" s="17"/>
      <c r="F38" s="55"/>
      <c r="G38" s="17"/>
      <c r="H38" s="5"/>
      <c r="I38" s="5"/>
      <c r="J38" s="24"/>
      <c r="K38" s="5"/>
      <c r="L38" s="5"/>
      <c r="M38" s="5"/>
      <c r="N38" s="5"/>
      <c r="O38" s="5"/>
      <c r="P38" s="5"/>
      <c r="Q38" s="5"/>
      <c r="R38" s="5"/>
      <c r="S38" s="5"/>
      <c r="T38" s="5"/>
      <c r="U38" s="5"/>
      <c r="V38" s="5"/>
      <c r="W38" s="5"/>
      <c r="X38" s="5"/>
      <c r="Y38" s="5"/>
      <c r="Z38" s="5"/>
      <c r="AA38" s="5"/>
      <c r="AB38" s="5"/>
      <c r="AC38" s="5"/>
      <c r="AD38" s="5"/>
      <c r="AE38" s="5"/>
    </row>
    <row r="39" spans="1:31">
      <c r="B39" s="31" t="s">
        <v>8</v>
      </c>
      <c r="C39" s="32"/>
      <c r="D39" s="32"/>
      <c r="E39" s="33"/>
      <c r="F39" s="59"/>
      <c r="G39" s="33"/>
      <c r="H39" s="33"/>
      <c r="I39" s="33"/>
      <c r="J39" s="34"/>
      <c r="K39" s="5"/>
      <c r="L39" s="5"/>
      <c r="M39" s="5"/>
      <c r="N39" s="5"/>
      <c r="O39" s="5"/>
      <c r="P39" s="5"/>
      <c r="Q39" s="5"/>
      <c r="R39" s="5"/>
      <c r="S39" s="5"/>
      <c r="T39" s="5"/>
      <c r="U39" s="5"/>
      <c r="V39" s="5"/>
      <c r="W39" s="5"/>
      <c r="X39" s="5"/>
      <c r="Y39" s="5"/>
      <c r="Z39" s="5"/>
      <c r="AA39" s="5"/>
      <c r="AB39" s="5"/>
      <c r="AC39" s="5"/>
      <c r="AD39" s="5"/>
      <c r="AE39" s="5"/>
    </row>
    <row r="40" spans="1:31">
      <c r="B40" s="5"/>
      <c r="C40" s="5"/>
      <c r="D40" s="5"/>
      <c r="E40" s="5"/>
      <c r="F40" s="60"/>
      <c r="G40" s="17"/>
      <c r="H40" s="17"/>
      <c r="I40" s="17"/>
      <c r="J40" s="22"/>
      <c r="K40" s="5"/>
      <c r="L40" s="5"/>
      <c r="M40" s="5"/>
      <c r="N40" s="5"/>
      <c r="O40" s="5"/>
      <c r="P40" s="5"/>
      <c r="Q40" s="5"/>
      <c r="R40" s="5"/>
      <c r="S40" s="5"/>
      <c r="T40" s="5"/>
      <c r="U40" s="5"/>
      <c r="V40" s="5"/>
      <c r="W40" s="5"/>
      <c r="X40" s="5"/>
      <c r="Y40" s="5"/>
      <c r="Z40" s="5"/>
      <c r="AA40" s="5"/>
      <c r="AB40" s="5"/>
      <c r="AC40" s="5"/>
      <c r="AD40" s="5"/>
      <c r="AE40" s="5"/>
    </row>
    <row r="41" spans="1:31">
      <c r="B41" s="5"/>
      <c r="C41" s="5"/>
      <c r="D41" s="5"/>
      <c r="E41" s="5"/>
      <c r="F41" s="60"/>
      <c r="G41" s="17"/>
      <c r="H41" s="17"/>
      <c r="I41" s="17"/>
      <c r="J41" s="22"/>
      <c r="K41" s="5"/>
      <c r="L41" s="5"/>
      <c r="M41" s="5"/>
      <c r="N41" s="5"/>
      <c r="O41" s="5"/>
      <c r="P41" s="5"/>
      <c r="Q41" s="5"/>
      <c r="R41" s="5"/>
      <c r="S41" s="5"/>
      <c r="T41" s="5"/>
      <c r="U41" s="5"/>
      <c r="V41" s="5"/>
      <c r="W41" s="5"/>
      <c r="X41" s="5"/>
      <c r="Y41" s="5"/>
      <c r="Z41" s="5"/>
      <c r="AA41" s="5"/>
      <c r="AB41" s="5"/>
      <c r="AC41" s="5"/>
      <c r="AD41" s="5"/>
      <c r="AE41" s="5"/>
    </row>
    <row r="42" spans="1:31">
      <c r="B42" s="5"/>
      <c r="C42" s="5"/>
      <c r="D42" s="5"/>
      <c r="E42" s="5"/>
      <c r="F42" s="60"/>
      <c r="G42" s="17"/>
      <c r="H42" s="17"/>
      <c r="I42" s="17"/>
      <c r="J42" s="22"/>
      <c r="K42" s="5"/>
      <c r="L42" s="5"/>
      <c r="M42" s="5"/>
      <c r="N42" s="5"/>
      <c r="O42" s="5"/>
      <c r="P42" s="5"/>
      <c r="Q42" s="5"/>
      <c r="R42" s="5"/>
      <c r="S42" s="5"/>
      <c r="T42" s="5"/>
      <c r="U42" s="5"/>
      <c r="V42" s="5"/>
      <c r="W42" s="5"/>
      <c r="X42" s="5"/>
      <c r="Y42" s="5"/>
      <c r="Z42" s="5"/>
      <c r="AA42" s="5"/>
      <c r="AB42" s="5"/>
      <c r="AC42" s="5"/>
      <c r="AD42" s="5"/>
      <c r="AE42" s="5"/>
    </row>
    <row r="43" spans="1:31">
      <c r="B43" s="5"/>
      <c r="C43" s="5"/>
      <c r="D43" s="5"/>
      <c r="E43" s="5"/>
      <c r="F43" s="60"/>
      <c r="G43" s="17"/>
      <c r="H43" s="17"/>
      <c r="I43" s="17"/>
      <c r="J43" s="22"/>
      <c r="K43" s="5"/>
      <c r="L43" s="5"/>
      <c r="M43" s="5"/>
      <c r="N43" s="5"/>
      <c r="O43" s="5"/>
      <c r="P43" s="5"/>
      <c r="Q43" s="5"/>
      <c r="R43" s="5"/>
      <c r="S43" s="5"/>
      <c r="T43" s="5"/>
      <c r="U43" s="5"/>
      <c r="V43" s="5"/>
      <c r="W43" s="5"/>
      <c r="X43" s="5"/>
      <c r="Y43" s="5"/>
      <c r="Z43" s="5"/>
      <c r="AA43" s="5"/>
      <c r="AB43" s="5"/>
      <c r="AC43" s="5"/>
      <c r="AD43" s="5"/>
      <c r="AE43" s="5"/>
    </row>
    <row r="44" spans="1:31">
      <c r="B44" s="5"/>
      <c r="C44" s="5"/>
      <c r="D44" s="5"/>
      <c r="E44" s="5"/>
      <c r="F44" s="60"/>
      <c r="G44" s="17"/>
      <c r="H44" s="5"/>
      <c r="I44" s="5"/>
      <c r="J44" s="24"/>
      <c r="K44" s="5"/>
      <c r="L44" s="5"/>
      <c r="M44" s="5"/>
      <c r="N44" s="5"/>
      <c r="O44" s="5"/>
      <c r="P44" s="5"/>
      <c r="Q44" s="5"/>
      <c r="R44" s="5"/>
      <c r="S44" s="5"/>
      <c r="T44" s="5"/>
      <c r="U44" s="5"/>
      <c r="V44" s="5"/>
      <c r="W44" s="5"/>
      <c r="X44" s="5"/>
      <c r="Y44" s="5"/>
      <c r="Z44" s="5"/>
      <c r="AA44" s="5"/>
      <c r="AB44" s="5"/>
      <c r="AC44" s="5"/>
      <c r="AD44" s="5"/>
      <c r="AE44" s="5"/>
    </row>
    <row r="45" spans="1:31">
      <c r="B45" s="5"/>
      <c r="C45" s="5"/>
      <c r="D45" s="5"/>
      <c r="E45" s="5"/>
      <c r="F45" s="60"/>
      <c r="G45" s="21"/>
      <c r="H45" s="5"/>
      <c r="I45" s="5"/>
      <c r="J45" s="24"/>
      <c r="K45" s="5"/>
      <c r="L45" s="5"/>
      <c r="M45" s="5"/>
      <c r="N45" s="5"/>
      <c r="O45" s="5"/>
      <c r="P45" s="5"/>
      <c r="Q45" s="5"/>
      <c r="R45" s="5"/>
      <c r="S45" s="5"/>
      <c r="T45" s="5"/>
      <c r="U45" s="5"/>
      <c r="V45" s="5"/>
      <c r="W45" s="5"/>
      <c r="X45" s="5"/>
      <c r="Y45" s="5"/>
      <c r="Z45" s="5"/>
      <c r="AA45" s="5"/>
      <c r="AB45" s="5"/>
      <c r="AC45" s="5"/>
      <c r="AD45" s="5"/>
      <c r="AE45" s="5"/>
    </row>
    <row r="46" spans="1:31">
      <c r="B46" s="5"/>
      <c r="C46" s="5"/>
      <c r="D46" s="5"/>
      <c r="E46" s="5"/>
      <c r="F46" s="60"/>
      <c r="G46" s="17"/>
      <c r="H46" s="5"/>
      <c r="I46" s="5"/>
      <c r="J46" s="24"/>
      <c r="K46" s="5"/>
      <c r="L46" s="5"/>
      <c r="M46" s="5"/>
      <c r="N46" s="5"/>
      <c r="O46" s="5"/>
      <c r="P46" s="5"/>
      <c r="Q46" s="5"/>
      <c r="R46" s="5"/>
      <c r="S46" s="5"/>
      <c r="T46" s="5"/>
      <c r="U46" s="5"/>
      <c r="V46" s="5"/>
      <c r="W46" s="5"/>
      <c r="X46" s="5"/>
      <c r="Y46" s="5"/>
      <c r="Z46" s="5"/>
      <c r="AA46" s="5"/>
      <c r="AB46" s="5"/>
      <c r="AC46" s="5"/>
      <c r="AD46" s="5"/>
      <c r="AE46" s="5"/>
    </row>
    <row r="47" spans="1:31">
      <c r="B47" s="5"/>
      <c r="C47" s="5"/>
      <c r="D47" s="5"/>
      <c r="E47" s="5"/>
      <c r="F47" s="60"/>
      <c r="G47" s="17"/>
      <c r="H47" s="5"/>
      <c r="I47" s="5"/>
      <c r="J47" s="24"/>
      <c r="K47" s="5"/>
      <c r="L47" s="5"/>
      <c r="M47" s="5"/>
      <c r="N47" s="5"/>
      <c r="O47" s="5"/>
      <c r="P47" s="5"/>
      <c r="Q47" s="5"/>
      <c r="R47" s="5"/>
      <c r="S47" s="5"/>
      <c r="T47" s="5"/>
      <c r="U47" s="5"/>
      <c r="V47" s="5"/>
      <c r="W47" s="5"/>
      <c r="X47" s="5"/>
      <c r="Y47" s="5"/>
      <c r="Z47" s="5"/>
      <c r="AA47" s="5"/>
      <c r="AB47" s="5"/>
      <c r="AC47" s="5"/>
      <c r="AD47" s="5"/>
      <c r="AE47" s="5"/>
    </row>
    <row r="48" spans="1:31">
      <c r="A48" s="1"/>
      <c r="B48" s="5"/>
      <c r="C48" s="5"/>
      <c r="D48" s="5"/>
      <c r="E48" s="5"/>
      <c r="F48" s="60"/>
      <c r="G48" s="17"/>
      <c r="H48" s="5"/>
      <c r="I48" s="5"/>
      <c r="J48" s="24"/>
      <c r="K48" s="5"/>
      <c r="L48" s="5"/>
      <c r="M48" s="5"/>
      <c r="N48" s="5"/>
      <c r="O48" s="5"/>
      <c r="P48" s="5"/>
      <c r="Q48" s="5"/>
      <c r="R48" s="5"/>
      <c r="S48" s="5"/>
      <c r="T48" s="5"/>
      <c r="U48" s="5"/>
      <c r="V48" s="5"/>
      <c r="W48" s="5"/>
      <c r="X48" s="5"/>
      <c r="Y48" s="5"/>
      <c r="Z48" s="5"/>
      <c r="AA48" s="5"/>
      <c r="AB48" s="5"/>
      <c r="AC48" s="5"/>
      <c r="AD48" s="5"/>
      <c r="AE48" s="5"/>
    </row>
    <row r="49" spans="1:31">
      <c r="A49" s="1"/>
      <c r="B49" s="5"/>
      <c r="C49" s="5"/>
      <c r="D49" s="5"/>
      <c r="E49" s="17"/>
      <c r="F49" s="55"/>
      <c r="G49" s="17"/>
      <c r="H49" s="5"/>
      <c r="I49" s="5"/>
      <c r="J49" s="24"/>
      <c r="K49" s="5"/>
      <c r="L49" s="5"/>
      <c r="M49" s="5"/>
      <c r="N49" s="5"/>
      <c r="O49" s="5"/>
      <c r="P49" s="5"/>
      <c r="Q49" s="5"/>
      <c r="R49" s="5"/>
      <c r="S49" s="5"/>
      <c r="T49" s="5"/>
      <c r="U49" s="5"/>
      <c r="V49" s="5"/>
      <c r="W49" s="5"/>
      <c r="X49" s="5"/>
      <c r="Y49" s="5"/>
      <c r="Z49" s="5"/>
      <c r="AA49" s="5"/>
      <c r="AB49" s="5"/>
      <c r="AC49" s="5"/>
      <c r="AD49" s="5"/>
      <c r="AE49" s="5"/>
    </row>
    <row r="50" spans="1:31">
      <c r="A50" s="1"/>
      <c r="B50" s="1"/>
      <c r="C50" s="1"/>
      <c r="D50" s="1"/>
      <c r="E50" s="2"/>
      <c r="F50" s="52"/>
      <c r="G50" s="2"/>
      <c r="H50" s="1"/>
      <c r="I50" s="1"/>
      <c r="J50" s="10"/>
      <c r="K50" s="5"/>
      <c r="M50" s="5"/>
      <c r="N50" s="5"/>
      <c r="O50" s="5"/>
      <c r="P50" s="5"/>
      <c r="Q50" s="5"/>
      <c r="R50" s="5"/>
      <c r="S50" s="5"/>
      <c r="T50" s="39"/>
      <c r="U50" s="5"/>
      <c r="W50" s="5"/>
      <c r="X50" s="5"/>
      <c r="Y50" s="5"/>
      <c r="Z50" s="5"/>
      <c r="AA50" s="5"/>
      <c r="AB50" s="39"/>
      <c r="AC50" s="5"/>
      <c r="AD50" s="5"/>
      <c r="AE50" s="5"/>
    </row>
    <row r="51" spans="1:31">
      <c r="A51" s="1"/>
      <c r="B51" s="7"/>
      <c r="C51" s="1"/>
      <c r="D51" s="1"/>
      <c r="E51" s="2"/>
      <c r="F51" s="52"/>
      <c r="G51" s="2"/>
      <c r="H51" s="8"/>
      <c r="I51" s="8"/>
      <c r="J51" s="9"/>
      <c r="K51" s="5"/>
      <c r="M51" s="5"/>
      <c r="N51" s="5"/>
      <c r="O51" s="5"/>
      <c r="P51" s="5"/>
      <c r="Q51" s="5"/>
      <c r="R51" s="5"/>
      <c r="S51" s="5"/>
      <c r="T51" s="5"/>
      <c r="U51" s="5"/>
      <c r="W51" s="5"/>
      <c r="X51" s="5"/>
      <c r="Y51" s="5"/>
      <c r="Z51" s="5"/>
      <c r="AA51" s="5"/>
      <c r="AB51" s="5"/>
      <c r="AC51" s="5"/>
      <c r="AD51" s="5"/>
      <c r="AE51" s="5"/>
    </row>
    <row r="52" spans="1:31">
      <c r="A52" s="1"/>
      <c r="B52" s="3"/>
      <c r="C52" s="1"/>
      <c r="D52" s="1"/>
      <c r="E52" s="2"/>
      <c r="F52" s="52"/>
      <c r="G52" s="2"/>
      <c r="H52" s="1"/>
      <c r="I52" s="1"/>
      <c r="J52" s="10"/>
      <c r="K52" s="5"/>
      <c r="M52" s="5"/>
      <c r="N52" s="5"/>
      <c r="O52" s="5"/>
      <c r="P52" s="5"/>
      <c r="Q52" s="5"/>
      <c r="R52" s="5"/>
      <c r="S52" s="5"/>
      <c r="T52" s="5"/>
      <c r="U52" s="5"/>
      <c r="W52" s="5"/>
      <c r="X52" s="5"/>
      <c r="Y52" s="5"/>
      <c r="Z52" s="5"/>
      <c r="AA52" s="5"/>
      <c r="AB52" s="5"/>
      <c r="AC52" s="5"/>
      <c r="AD52" s="5"/>
      <c r="AE52" s="5"/>
    </row>
    <row r="53" spans="1:31">
      <c r="A53" s="1"/>
      <c r="B53" s="11"/>
      <c r="C53" s="1"/>
      <c r="D53" s="1"/>
      <c r="E53" s="2"/>
      <c r="F53" s="52"/>
      <c r="G53" s="2"/>
      <c r="H53" s="1"/>
      <c r="I53" s="1"/>
      <c r="J53" s="10"/>
      <c r="K53" s="5"/>
      <c r="M53" s="5"/>
      <c r="N53" s="5"/>
      <c r="O53" s="5"/>
      <c r="P53" s="5"/>
      <c r="Q53" s="5"/>
      <c r="R53" s="5"/>
      <c r="S53" s="5"/>
      <c r="T53" s="5"/>
      <c r="U53" s="5"/>
      <c r="W53" s="23"/>
      <c r="X53" s="5"/>
      <c r="Y53" s="5"/>
      <c r="Z53" s="5"/>
      <c r="AA53" s="5"/>
      <c r="AB53" s="5"/>
      <c r="AC53" s="5"/>
      <c r="AD53" s="5"/>
      <c r="AE53" s="5"/>
    </row>
    <row r="54" spans="1:31">
      <c r="A54" s="1"/>
      <c r="B54" s="1"/>
      <c r="C54" s="1"/>
      <c r="D54" s="1"/>
      <c r="E54" s="2"/>
      <c r="F54" s="52"/>
      <c r="G54" s="2"/>
      <c r="H54" s="1"/>
      <c r="I54" s="1"/>
      <c r="J54" s="10"/>
      <c r="K54" s="5"/>
      <c r="L54" s="5"/>
      <c r="M54" s="5"/>
      <c r="N54" s="5"/>
      <c r="O54" s="5"/>
      <c r="P54" s="5"/>
      <c r="Q54" s="5"/>
      <c r="R54" s="5"/>
      <c r="S54" s="5"/>
      <c r="T54" s="5"/>
      <c r="U54" s="5"/>
      <c r="V54" s="5"/>
      <c r="W54" s="5"/>
      <c r="X54" s="5"/>
      <c r="Y54" s="5"/>
      <c r="Z54" s="5"/>
      <c r="AA54" s="5"/>
      <c r="AB54" s="5"/>
      <c r="AC54" s="5"/>
      <c r="AD54" s="5"/>
      <c r="AE54" s="5"/>
    </row>
    <row r="55" spans="1:31">
      <c r="A55" s="1"/>
      <c r="B55" s="1"/>
      <c r="C55" s="1"/>
      <c r="D55" s="1"/>
      <c r="E55" s="2"/>
      <c r="F55" s="52"/>
      <c r="G55" s="2"/>
      <c r="H55" s="1"/>
      <c r="I55" s="1"/>
      <c r="J55" s="10"/>
      <c r="K55" s="5"/>
      <c r="L55" s="5"/>
      <c r="M55" s="5"/>
      <c r="P55" s="42"/>
      <c r="Q55" s="42"/>
      <c r="R55" s="17"/>
      <c r="S55" s="17"/>
      <c r="T55" s="17"/>
      <c r="U55" s="5"/>
      <c r="V55" s="5"/>
      <c r="W55" s="5"/>
      <c r="Z55" s="42"/>
      <c r="AA55" s="17"/>
      <c r="AB55" s="17"/>
      <c r="AE55" s="5"/>
    </row>
    <row r="56" spans="1:31">
      <c r="A56" s="1"/>
      <c r="B56" s="1"/>
      <c r="C56" s="1"/>
      <c r="D56" s="2"/>
      <c r="E56" s="2"/>
      <c r="F56" s="53"/>
      <c r="G56" s="2"/>
      <c r="H56" s="2"/>
      <c r="I56" s="2"/>
      <c r="J56" s="12"/>
      <c r="K56" s="5"/>
      <c r="L56" s="5"/>
      <c r="M56" s="5"/>
      <c r="P56" s="17"/>
      <c r="Q56" s="17"/>
      <c r="R56" s="17"/>
      <c r="S56" s="17"/>
      <c r="T56" s="17"/>
      <c r="U56" s="5"/>
      <c r="V56" s="5"/>
      <c r="W56" s="5"/>
      <c r="Z56" s="17"/>
      <c r="AA56" s="17"/>
      <c r="AB56" s="17"/>
      <c r="AE56" s="5"/>
    </row>
    <row r="57" spans="1:31">
      <c r="A57" s="1"/>
      <c r="B57" s="1"/>
      <c r="C57" s="1"/>
      <c r="D57" s="13"/>
      <c r="E57" s="14"/>
      <c r="F57" s="54"/>
      <c r="G57" s="13"/>
      <c r="H57" s="14"/>
      <c r="I57" s="13"/>
      <c r="J57" s="15"/>
      <c r="K57" s="5"/>
      <c r="L57" s="5"/>
      <c r="M57" s="5"/>
      <c r="P57" s="5"/>
      <c r="Q57" s="5"/>
      <c r="R57" s="5"/>
      <c r="S57" s="5"/>
      <c r="T57" s="5"/>
      <c r="U57" s="5"/>
      <c r="V57" s="5"/>
      <c r="W57" s="5"/>
      <c r="Z57" s="5"/>
      <c r="AA57" s="5"/>
      <c r="AB57" s="5"/>
      <c r="AE57" s="5"/>
    </row>
    <row r="58" spans="1:31">
      <c r="A58" s="1"/>
      <c r="B58" s="16"/>
      <c r="C58" s="5"/>
      <c r="D58" s="5"/>
      <c r="E58" s="17"/>
      <c r="F58" s="55"/>
      <c r="G58" s="17"/>
      <c r="H58" s="5"/>
      <c r="I58" s="5"/>
      <c r="J58" s="12"/>
      <c r="K58" s="5"/>
      <c r="L58" s="5"/>
      <c r="M58" s="5"/>
      <c r="P58" s="4"/>
      <c r="Q58" s="35"/>
      <c r="R58" s="4"/>
      <c r="S58" s="50"/>
      <c r="T58" s="4"/>
      <c r="V58" s="5"/>
      <c r="W58" s="5"/>
      <c r="Z58" s="35"/>
      <c r="AA58" s="50"/>
      <c r="AB58" s="4"/>
      <c r="AE58" s="5"/>
    </row>
    <row r="59" spans="1:31">
      <c r="A59" s="1"/>
      <c r="B59" s="5"/>
      <c r="C59" s="5"/>
      <c r="D59" s="5"/>
      <c r="E59" s="17"/>
      <c r="F59" s="55"/>
      <c r="G59" s="17"/>
      <c r="H59" s="5"/>
      <c r="I59" s="5"/>
      <c r="J59" s="12"/>
      <c r="K59" s="5"/>
      <c r="L59" s="5"/>
      <c r="M59" s="5"/>
      <c r="P59" s="35"/>
      <c r="Q59" s="35"/>
      <c r="R59" s="4"/>
      <c r="S59" s="50"/>
      <c r="T59" s="4"/>
      <c r="U59" s="5"/>
      <c r="V59" s="5"/>
      <c r="W59" s="5"/>
      <c r="Z59" s="35"/>
      <c r="AA59" s="50"/>
      <c r="AB59" s="4"/>
      <c r="AE59" s="5"/>
    </row>
    <row r="60" spans="1:31">
      <c r="A60" s="1"/>
      <c r="B60" s="5"/>
      <c r="C60" s="5"/>
      <c r="D60" s="5"/>
      <c r="E60" s="2"/>
      <c r="F60" s="61"/>
      <c r="G60" s="18"/>
      <c r="H60" s="19"/>
      <c r="I60" s="18"/>
      <c r="J60" s="36"/>
      <c r="K60" s="5"/>
      <c r="L60" s="5"/>
      <c r="M60" s="5"/>
      <c r="P60" s="35"/>
      <c r="Q60" s="35"/>
      <c r="R60" s="4"/>
      <c r="S60" s="50"/>
      <c r="T60" s="4"/>
      <c r="U60" s="5"/>
      <c r="V60" s="5"/>
      <c r="W60" s="5"/>
      <c r="Z60" s="35"/>
      <c r="AA60" s="50"/>
      <c r="AB60" s="4"/>
      <c r="AE60" s="5"/>
    </row>
    <row r="61" spans="1:31">
      <c r="A61" s="1"/>
      <c r="B61" s="5"/>
      <c r="C61" s="5"/>
      <c r="D61" s="5"/>
      <c r="E61" s="20"/>
      <c r="F61" s="57"/>
      <c r="G61" s="21"/>
      <c r="H61" s="21"/>
      <c r="I61" s="21"/>
      <c r="J61" s="22"/>
      <c r="K61" s="5"/>
      <c r="L61" s="5"/>
      <c r="M61" s="5"/>
      <c r="P61" s="35"/>
      <c r="Q61" s="35"/>
      <c r="R61" s="4"/>
      <c r="S61" s="50"/>
      <c r="T61" s="4"/>
      <c r="U61" s="5"/>
      <c r="V61" s="5"/>
      <c r="W61" s="5"/>
      <c r="Z61" s="35"/>
      <c r="AA61" s="50"/>
      <c r="AB61" s="4"/>
      <c r="AE61" s="5"/>
    </row>
    <row r="62" spans="1:31">
      <c r="A62" s="1"/>
      <c r="B62" s="5"/>
      <c r="C62" s="5"/>
      <c r="D62" s="5"/>
      <c r="E62" s="20"/>
      <c r="F62" s="57"/>
      <c r="G62" s="17"/>
      <c r="H62" s="17"/>
      <c r="I62" s="17"/>
      <c r="J62" s="22"/>
      <c r="K62" s="5"/>
      <c r="L62" s="5"/>
      <c r="M62" s="5"/>
      <c r="P62" s="35"/>
      <c r="Q62" s="35"/>
      <c r="R62" s="4"/>
      <c r="S62" s="50"/>
      <c r="T62" s="4"/>
      <c r="U62" s="5"/>
      <c r="V62" s="5"/>
      <c r="W62" s="5"/>
      <c r="Z62" s="4"/>
      <c r="AA62" s="50"/>
      <c r="AB62" s="4"/>
      <c r="AE62" s="5"/>
    </row>
    <row r="63" spans="1:31">
      <c r="A63" s="1"/>
      <c r="B63" s="5"/>
      <c r="C63" s="5"/>
      <c r="D63" s="5"/>
      <c r="E63" s="20"/>
      <c r="F63" s="57"/>
      <c r="G63" s="17"/>
      <c r="H63" s="17"/>
      <c r="I63" s="17"/>
      <c r="J63" s="22"/>
      <c r="K63" s="5"/>
      <c r="L63" s="5"/>
      <c r="M63" s="5"/>
      <c r="P63" s="35"/>
      <c r="Q63" s="35"/>
      <c r="R63" s="4"/>
      <c r="S63" s="50"/>
      <c r="T63" s="4"/>
      <c r="U63" s="5"/>
      <c r="V63" s="5"/>
      <c r="W63" s="5"/>
      <c r="Z63" s="35"/>
      <c r="AA63" s="50"/>
      <c r="AB63" s="4"/>
      <c r="AE63" s="5"/>
    </row>
    <row r="64" spans="1:31">
      <c r="A64" s="1"/>
      <c r="B64" s="5"/>
      <c r="C64" s="5"/>
      <c r="D64" s="5"/>
      <c r="E64" s="20"/>
      <c r="F64" s="57"/>
      <c r="G64" s="17"/>
      <c r="H64" s="17"/>
      <c r="I64" s="17"/>
      <c r="J64" s="22"/>
      <c r="K64" s="5"/>
      <c r="L64" s="5"/>
      <c r="M64" s="5"/>
      <c r="P64" s="35"/>
      <c r="Q64" s="35"/>
      <c r="R64" s="4"/>
      <c r="S64" s="50"/>
      <c r="T64" s="4"/>
      <c r="U64" s="5"/>
      <c r="V64" s="5"/>
      <c r="W64" s="5"/>
      <c r="Z64" s="35"/>
      <c r="AA64" s="50"/>
      <c r="AB64" s="4"/>
      <c r="AE64" s="5"/>
    </row>
    <row r="65" spans="1:31">
      <c r="A65" s="1"/>
      <c r="B65" s="5"/>
      <c r="C65" s="5"/>
      <c r="D65" s="5"/>
      <c r="E65" s="20"/>
      <c r="F65" s="57"/>
      <c r="G65" s="17"/>
      <c r="H65" s="17"/>
      <c r="I65" s="17"/>
      <c r="J65" s="22"/>
      <c r="K65" s="5"/>
      <c r="L65" s="5"/>
      <c r="M65" s="5"/>
      <c r="P65" s="35"/>
      <c r="Q65" s="35"/>
      <c r="R65" s="4"/>
      <c r="S65" s="50"/>
      <c r="T65" s="4"/>
      <c r="U65" s="5"/>
      <c r="V65" s="5"/>
      <c r="W65" s="5"/>
      <c r="Z65" s="35"/>
      <c r="AA65" s="50"/>
      <c r="AB65" s="4"/>
      <c r="AE65" s="5"/>
    </row>
    <row r="66" spans="1:31">
      <c r="A66" s="1"/>
      <c r="B66" s="5"/>
      <c r="C66" s="5"/>
      <c r="D66" s="5"/>
      <c r="E66" s="20"/>
      <c r="F66" s="57"/>
      <c r="G66" s="17"/>
      <c r="H66" s="17"/>
      <c r="I66" s="17"/>
      <c r="J66" s="22"/>
      <c r="K66" s="5"/>
      <c r="L66" s="5"/>
      <c r="M66" s="5"/>
      <c r="P66" s="35"/>
      <c r="Q66" s="35"/>
      <c r="R66" s="4"/>
      <c r="S66" s="50"/>
      <c r="T66" s="4"/>
      <c r="U66" s="5"/>
      <c r="V66" s="5"/>
      <c r="W66" s="5"/>
      <c r="Z66" s="35"/>
      <c r="AA66" s="50"/>
      <c r="AB66" s="4"/>
      <c r="AE66" s="5"/>
    </row>
    <row r="67" spans="1:31">
      <c r="A67" s="1"/>
      <c r="B67" s="5"/>
      <c r="C67" s="5"/>
      <c r="D67" s="5"/>
      <c r="E67" s="20"/>
      <c r="F67" s="57"/>
      <c r="G67" s="21"/>
      <c r="H67" s="21"/>
      <c r="I67" s="21"/>
      <c r="J67" s="22"/>
      <c r="K67" s="5"/>
      <c r="L67" s="5"/>
      <c r="M67" s="5"/>
      <c r="P67" s="35"/>
      <c r="Q67" s="35"/>
      <c r="R67" s="4"/>
      <c r="S67" s="50"/>
      <c r="T67" s="4"/>
      <c r="U67" s="5"/>
      <c r="V67" s="5"/>
      <c r="W67" s="5"/>
      <c r="Z67" s="35"/>
      <c r="AA67" s="50"/>
      <c r="AB67" s="4"/>
      <c r="AE67" s="5"/>
    </row>
    <row r="68" spans="1:31">
      <c r="A68" s="1"/>
      <c r="B68" s="5"/>
      <c r="C68" s="5"/>
      <c r="D68" s="5"/>
      <c r="E68" s="20"/>
      <c r="F68" s="57"/>
      <c r="G68" s="17"/>
      <c r="H68" s="17"/>
      <c r="I68" s="17"/>
      <c r="J68" s="22"/>
      <c r="K68" s="5"/>
      <c r="L68" s="5"/>
      <c r="M68" s="5"/>
      <c r="P68" s="35"/>
      <c r="Q68" s="35"/>
      <c r="R68" s="4"/>
      <c r="S68" s="50"/>
      <c r="T68" s="4"/>
      <c r="U68" s="5"/>
      <c r="V68" s="5"/>
      <c r="W68" s="5"/>
      <c r="Z68" s="35"/>
      <c r="AA68" s="50"/>
      <c r="AB68" s="4"/>
      <c r="AE68" s="5"/>
    </row>
    <row r="69" spans="1:31">
      <c r="A69" s="1"/>
      <c r="B69" s="5"/>
      <c r="C69" s="5"/>
      <c r="D69" s="5"/>
      <c r="E69" s="20"/>
      <c r="F69" s="57"/>
      <c r="G69" s="17"/>
      <c r="H69" s="17"/>
      <c r="I69" s="17"/>
      <c r="J69" s="22"/>
      <c r="K69" s="5"/>
      <c r="L69" s="5"/>
      <c r="M69" s="5"/>
      <c r="P69" s="35"/>
      <c r="Q69" s="35"/>
      <c r="R69" s="4"/>
      <c r="S69" s="50"/>
      <c r="T69" s="4"/>
      <c r="U69" s="5"/>
      <c r="V69" s="5"/>
      <c r="W69" s="5"/>
      <c r="Z69" s="35"/>
      <c r="AA69" s="50"/>
      <c r="AB69" s="4"/>
      <c r="AE69" s="5"/>
    </row>
    <row r="70" spans="1:31">
      <c r="A70" s="1"/>
      <c r="B70" s="16"/>
      <c r="C70" s="5"/>
      <c r="D70" s="5"/>
      <c r="E70" s="17"/>
      <c r="F70" s="55"/>
      <c r="G70" s="17"/>
      <c r="H70" s="5"/>
      <c r="I70" s="5"/>
      <c r="J70" s="24"/>
      <c r="K70" s="5"/>
      <c r="L70" s="5"/>
      <c r="M70" s="5"/>
      <c r="P70" s="35"/>
      <c r="Q70" s="35"/>
      <c r="R70" s="4"/>
      <c r="S70" s="50"/>
      <c r="T70" s="4"/>
      <c r="U70" s="5"/>
      <c r="V70" s="5"/>
      <c r="W70" s="5"/>
      <c r="Z70" s="35"/>
      <c r="AA70" s="50"/>
      <c r="AB70" s="4"/>
      <c r="AE70" s="5"/>
    </row>
    <row r="71" spans="1:31">
      <c r="A71" s="1"/>
      <c r="B71" s="5"/>
      <c r="C71" s="5"/>
      <c r="D71" s="5"/>
      <c r="E71" s="17"/>
      <c r="F71" s="55"/>
      <c r="G71" s="17"/>
      <c r="H71" s="5"/>
      <c r="I71" s="5"/>
      <c r="J71" s="24"/>
      <c r="K71" s="5"/>
      <c r="L71" s="5"/>
      <c r="M71" s="5"/>
      <c r="P71" s="35"/>
      <c r="Q71" s="35"/>
      <c r="R71" s="4"/>
      <c r="S71" s="50"/>
      <c r="T71" s="4"/>
      <c r="U71" s="5"/>
      <c r="V71" s="5"/>
      <c r="W71" s="5"/>
      <c r="Z71" s="35"/>
      <c r="AA71" s="50"/>
      <c r="AB71" s="4"/>
      <c r="AE71" s="5"/>
    </row>
    <row r="72" spans="1:31">
      <c r="A72" s="1"/>
      <c r="B72" s="5"/>
      <c r="C72" s="5"/>
      <c r="D72" s="5"/>
      <c r="E72" s="20"/>
      <c r="F72" s="57"/>
      <c r="G72" s="25"/>
      <c r="H72" s="25"/>
      <c r="I72" s="25"/>
      <c r="J72" s="26"/>
      <c r="K72" s="5"/>
      <c r="L72" s="5"/>
      <c r="M72" s="5"/>
      <c r="P72" s="35"/>
      <c r="Q72" s="35"/>
      <c r="R72" s="4"/>
      <c r="S72" s="50"/>
      <c r="T72" s="4"/>
      <c r="U72" s="5"/>
      <c r="V72" s="5"/>
      <c r="W72" s="5"/>
      <c r="Z72" s="35"/>
      <c r="AA72" s="50"/>
      <c r="AB72" s="4"/>
      <c r="AE72" s="5"/>
    </row>
    <row r="73" spans="1:31">
      <c r="A73" s="1"/>
      <c r="B73" s="5"/>
      <c r="C73" s="5"/>
      <c r="D73" s="5"/>
      <c r="E73" s="20"/>
      <c r="F73" s="57"/>
      <c r="G73" s="25"/>
      <c r="H73" s="25"/>
      <c r="I73" s="25"/>
      <c r="J73" s="26"/>
      <c r="K73" s="5"/>
      <c r="L73" s="5"/>
      <c r="M73" s="5"/>
      <c r="P73" s="35"/>
      <c r="Q73" s="35"/>
      <c r="R73" s="4"/>
      <c r="S73" s="50"/>
      <c r="T73" s="4"/>
      <c r="U73" s="5"/>
      <c r="V73" s="5"/>
      <c r="W73" s="5"/>
      <c r="Z73" s="35"/>
      <c r="AA73" s="50"/>
      <c r="AB73" s="4"/>
      <c r="AE73" s="5"/>
    </row>
    <row r="74" spans="1:31">
      <c r="A74" s="1"/>
      <c r="B74" s="5"/>
      <c r="C74" s="5"/>
      <c r="D74" s="5"/>
      <c r="E74" s="20"/>
      <c r="F74" s="57"/>
      <c r="G74" s="25"/>
      <c r="H74" s="25"/>
      <c r="I74" s="25"/>
      <c r="J74" s="26"/>
      <c r="K74" s="5"/>
      <c r="L74" s="5"/>
      <c r="M74" s="5"/>
      <c r="P74" s="35"/>
      <c r="Q74" s="35"/>
      <c r="R74" s="4"/>
      <c r="S74" s="50"/>
      <c r="T74" s="4"/>
      <c r="U74" s="5"/>
      <c r="V74" s="5"/>
      <c r="W74" s="5"/>
      <c r="Z74" s="35"/>
      <c r="AA74" s="50"/>
      <c r="AB74" s="4"/>
      <c r="AE74" s="5"/>
    </row>
    <row r="75" spans="1:31">
      <c r="A75" s="1"/>
      <c r="B75" s="5"/>
      <c r="C75" s="5"/>
      <c r="D75" s="5"/>
      <c r="E75" s="20"/>
      <c r="F75" s="57"/>
      <c r="G75" s="17"/>
      <c r="H75" s="5"/>
      <c r="I75" s="5"/>
      <c r="J75" s="24"/>
      <c r="K75" s="5"/>
      <c r="L75" s="5"/>
      <c r="M75" s="5"/>
      <c r="P75" s="35"/>
      <c r="Q75" s="35"/>
      <c r="R75" s="4"/>
      <c r="S75" s="50"/>
      <c r="T75" s="4"/>
      <c r="U75" s="5"/>
      <c r="V75" s="5"/>
      <c r="W75" s="5"/>
      <c r="Z75" s="35"/>
      <c r="AA75" s="50"/>
      <c r="AB75" s="4"/>
      <c r="AE75" s="5"/>
    </row>
    <row r="76" spans="1:31">
      <c r="A76" s="1"/>
      <c r="B76" s="5"/>
      <c r="C76" s="5"/>
      <c r="D76" s="5"/>
      <c r="E76" s="20"/>
      <c r="F76" s="57"/>
      <c r="G76" s="17"/>
      <c r="H76" s="5"/>
      <c r="I76" s="5"/>
      <c r="J76" s="24"/>
      <c r="K76" s="5"/>
      <c r="L76" s="5"/>
      <c r="M76" s="5"/>
      <c r="P76" s="35"/>
      <c r="Q76" s="35"/>
      <c r="R76" s="4"/>
      <c r="S76" s="50"/>
      <c r="T76" s="4"/>
      <c r="U76" s="5"/>
      <c r="V76" s="5"/>
      <c r="W76" s="5"/>
      <c r="Z76" s="35"/>
      <c r="AA76" s="50"/>
      <c r="AB76" s="4"/>
      <c r="AE76" s="5"/>
    </row>
    <row r="77" spans="1:31">
      <c r="A77" s="1"/>
      <c r="B77" s="5"/>
      <c r="C77" s="5"/>
      <c r="D77" s="5"/>
      <c r="E77" s="20"/>
      <c r="F77" s="57"/>
      <c r="G77" s="25"/>
      <c r="H77" s="25"/>
      <c r="I77" s="25"/>
      <c r="J77" s="26"/>
      <c r="K77" s="5"/>
      <c r="L77" s="5"/>
      <c r="M77" s="5"/>
      <c r="P77" s="4"/>
      <c r="Q77" s="4"/>
      <c r="R77" s="4"/>
      <c r="S77" s="4"/>
      <c r="T77" s="4"/>
      <c r="U77" s="5"/>
      <c r="V77" s="5"/>
      <c r="W77" s="5"/>
      <c r="Z77" s="4"/>
      <c r="AA77" s="4"/>
      <c r="AB77" s="4"/>
      <c r="AE77" s="5"/>
    </row>
    <row r="78" spans="1:31">
      <c r="A78" s="1"/>
      <c r="B78" s="5"/>
      <c r="C78" s="5"/>
      <c r="D78" s="5"/>
      <c r="E78" s="20"/>
      <c r="F78" s="57"/>
      <c r="G78" s="25"/>
      <c r="H78" s="25"/>
      <c r="I78" s="25"/>
      <c r="J78" s="26"/>
      <c r="K78" s="5"/>
      <c r="L78" s="5"/>
      <c r="M78" s="5"/>
      <c r="P78" s="4"/>
      <c r="Q78" s="4"/>
      <c r="R78" s="4"/>
      <c r="S78" s="4"/>
      <c r="T78" s="4"/>
      <c r="U78" s="5"/>
      <c r="V78" s="5"/>
      <c r="W78" s="5"/>
      <c r="Z78" s="4"/>
      <c r="AA78" s="4"/>
      <c r="AB78" s="4"/>
      <c r="AE78" s="5"/>
    </row>
    <row r="79" spans="1:31">
      <c r="A79" s="1"/>
      <c r="B79" s="5"/>
      <c r="C79" s="5"/>
      <c r="D79" s="5"/>
      <c r="E79" s="20"/>
      <c r="F79" s="57"/>
      <c r="G79" s="25"/>
      <c r="H79" s="25"/>
      <c r="I79" s="25"/>
      <c r="J79" s="26"/>
      <c r="K79" s="5"/>
      <c r="L79" s="5"/>
      <c r="M79" s="5"/>
      <c r="N79" s="5"/>
      <c r="O79" s="5"/>
      <c r="P79" s="5"/>
      <c r="Q79" s="5"/>
      <c r="R79" s="5"/>
      <c r="S79" s="5"/>
      <c r="T79" s="5"/>
      <c r="U79" s="5"/>
      <c r="V79" s="5"/>
      <c r="W79" s="5"/>
      <c r="X79" s="5"/>
      <c r="Y79" s="5"/>
      <c r="Z79" s="5"/>
      <c r="AA79" s="5"/>
      <c r="AB79" s="5"/>
      <c r="AC79" s="5"/>
      <c r="AD79" s="5"/>
      <c r="AE79" s="5"/>
    </row>
    <row r="80" spans="1:31">
      <c r="A80" s="1"/>
      <c r="B80" s="5"/>
      <c r="C80" s="5"/>
      <c r="D80" s="5"/>
      <c r="E80" s="20"/>
      <c r="F80" s="57"/>
      <c r="G80" s="17"/>
      <c r="H80" s="5"/>
      <c r="I80" s="5"/>
      <c r="J80" s="24"/>
      <c r="K80" s="5"/>
      <c r="L80" s="5"/>
      <c r="M80" s="5"/>
      <c r="N80" s="5"/>
      <c r="O80" s="5"/>
      <c r="P80" s="5"/>
      <c r="Q80" s="5"/>
      <c r="R80" s="5"/>
      <c r="S80" s="5"/>
      <c r="T80" s="5"/>
      <c r="U80" s="5"/>
      <c r="V80" s="5"/>
      <c r="W80" s="5"/>
      <c r="X80" s="5"/>
      <c r="Y80" s="5"/>
      <c r="Z80" s="5"/>
      <c r="AA80" s="5"/>
      <c r="AB80" s="5"/>
      <c r="AC80" s="5"/>
      <c r="AD80" s="5"/>
      <c r="AE80" s="5"/>
    </row>
    <row r="81" spans="1:31">
      <c r="A81" s="1"/>
      <c r="B81" s="5"/>
      <c r="C81" s="5"/>
      <c r="D81" s="5"/>
      <c r="E81" s="20"/>
      <c r="F81" s="57"/>
      <c r="G81" s="17"/>
      <c r="H81" s="5"/>
      <c r="I81" s="5"/>
      <c r="J81" s="24"/>
      <c r="K81" s="5"/>
      <c r="L81" s="5"/>
      <c r="M81" s="5"/>
      <c r="N81" s="5"/>
      <c r="O81" s="5"/>
      <c r="P81" s="5"/>
      <c r="Q81" s="5"/>
      <c r="R81" s="5"/>
      <c r="S81" s="5"/>
      <c r="T81" s="5"/>
      <c r="U81" s="5"/>
      <c r="V81" s="5"/>
      <c r="W81" s="5"/>
      <c r="X81" s="5"/>
      <c r="Y81" s="5"/>
      <c r="Z81" s="5"/>
      <c r="AA81" s="5"/>
      <c r="AB81" s="5"/>
      <c r="AC81" s="5"/>
      <c r="AD81" s="5"/>
      <c r="AE81" s="5"/>
    </row>
    <row r="82" spans="1:31">
      <c r="A82" s="1"/>
      <c r="B82" s="37"/>
      <c r="C82" s="5"/>
      <c r="D82" s="5"/>
      <c r="E82" s="20"/>
      <c r="F82" s="57"/>
      <c r="G82" s="25"/>
      <c r="H82" s="25"/>
      <c r="I82" s="25"/>
      <c r="J82" s="26"/>
      <c r="K82" s="5"/>
      <c r="L82" s="5"/>
      <c r="M82" s="5"/>
      <c r="N82" s="5"/>
      <c r="O82" s="5"/>
      <c r="P82" s="5"/>
      <c r="Q82" s="5"/>
      <c r="R82" s="5"/>
      <c r="S82" s="5"/>
      <c r="T82" s="5"/>
      <c r="U82" s="5"/>
      <c r="V82" s="5"/>
      <c r="W82" s="5"/>
      <c r="X82" s="5"/>
      <c r="Y82" s="5"/>
      <c r="Z82" s="5"/>
      <c r="AA82" s="5"/>
      <c r="AB82" s="5"/>
      <c r="AC82" s="5"/>
      <c r="AD82" s="5"/>
      <c r="AE82" s="5"/>
    </row>
    <row r="83" spans="1:31">
      <c r="A83" s="5"/>
      <c r="B83" s="5"/>
      <c r="C83" s="5"/>
      <c r="D83" s="5"/>
      <c r="E83" s="20"/>
      <c r="F83" s="57"/>
      <c r="G83" s="25"/>
      <c r="H83" s="25"/>
      <c r="I83" s="25"/>
      <c r="J83" s="26"/>
      <c r="K83" s="5"/>
      <c r="L83" s="5"/>
      <c r="M83" s="5"/>
      <c r="N83" s="5"/>
      <c r="O83" s="5"/>
      <c r="P83" s="5"/>
      <c r="Q83" s="5"/>
      <c r="R83" s="5"/>
      <c r="S83" s="5"/>
      <c r="T83" s="5"/>
      <c r="U83" s="5"/>
      <c r="V83" s="5"/>
      <c r="W83" s="5"/>
      <c r="X83" s="5"/>
      <c r="Y83" s="5"/>
      <c r="Z83" s="5"/>
      <c r="AA83" s="5"/>
      <c r="AB83" s="5"/>
      <c r="AC83" s="5"/>
      <c r="AD83" s="5"/>
      <c r="AE83" s="5"/>
    </row>
    <row r="84" spans="1:31">
      <c r="A84" s="1"/>
      <c r="B84" s="23"/>
      <c r="C84" s="5"/>
      <c r="D84" s="5"/>
      <c r="E84" s="20"/>
      <c r="F84" s="57"/>
      <c r="G84" s="25"/>
      <c r="H84" s="25"/>
      <c r="I84" s="25"/>
      <c r="J84" s="26"/>
      <c r="K84" s="5"/>
      <c r="L84" s="5"/>
      <c r="M84" s="5"/>
      <c r="N84" s="5"/>
      <c r="O84" s="5"/>
      <c r="P84" s="5"/>
      <c r="Q84" s="5"/>
      <c r="R84" s="5"/>
      <c r="S84" s="5"/>
      <c r="T84" s="5"/>
      <c r="U84" s="5"/>
      <c r="V84" s="5"/>
      <c r="W84" s="5"/>
      <c r="X84" s="5"/>
      <c r="Y84" s="5"/>
      <c r="Z84" s="5"/>
      <c r="AA84" s="5"/>
      <c r="AB84" s="5"/>
      <c r="AC84" s="5"/>
      <c r="AD84" s="5"/>
      <c r="AE84" s="5"/>
    </row>
    <row r="85" spans="1:31">
      <c r="A85" s="5"/>
      <c r="B85" s="23"/>
      <c r="C85" s="5"/>
      <c r="D85" s="5"/>
      <c r="E85" s="20"/>
      <c r="F85" s="57"/>
      <c r="G85" s="20"/>
      <c r="H85" s="28"/>
      <c r="I85" s="28"/>
      <c r="J85" s="29"/>
      <c r="K85" s="5"/>
      <c r="L85" s="5"/>
      <c r="M85" s="5"/>
      <c r="N85" s="5"/>
      <c r="O85" s="5"/>
      <c r="P85" s="5"/>
      <c r="Q85" s="5"/>
      <c r="R85" s="5"/>
      <c r="S85" s="5"/>
      <c r="T85" s="5"/>
      <c r="U85" s="5"/>
      <c r="V85" s="5"/>
      <c r="W85" s="5"/>
      <c r="X85" s="5"/>
      <c r="Y85" s="5"/>
      <c r="Z85" s="5"/>
      <c r="AA85" s="5"/>
      <c r="AB85" s="5"/>
      <c r="AC85" s="5"/>
      <c r="AD85" s="5"/>
      <c r="AE85" s="5"/>
    </row>
    <row r="86" spans="1:31">
      <c r="A86" s="5"/>
      <c r="B86" s="31"/>
      <c r="C86" s="32"/>
      <c r="D86" s="32"/>
      <c r="E86" s="33"/>
      <c r="F86" s="59"/>
      <c r="G86" s="33"/>
      <c r="H86" s="33"/>
      <c r="I86" s="33"/>
      <c r="J86" s="34"/>
      <c r="K86" s="5"/>
      <c r="L86" s="5"/>
      <c r="M86" s="5"/>
      <c r="N86" s="5"/>
      <c r="O86" s="5"/>
      <c r="P86" s="5"/>
      <c r="Q86" s="5"/>
      <c r="R86" s="5"/>
      <c r="S86" s="5"/>
      <c r="T86" s="5"/>
      <c r="U86" s="5"/>
      <c r="V86" s="5"/>
      <c r="W86" s="5"/>
      <c r="X86" s="5"/>
      <c r="Y86" s="5"/>
      <c r="Z86" s="5"/>
      <c r="AA86" s="5"/>
      <c r="AB86" s="5"/>
      <c r="AC86" s="5"/>
      <c r="AD86" s="5"/>
      <c r="AE86" s="5"/>
    </row>
    <row r="87" spans="1:31">
      <c r="A87" s="5"/>
      <c r="B87" s="5"/>
      <c r="C87" s="5"/>
      <c r="D87" s="5"/>
      <c r="E87" s="17"/>
      <c r="F87" s="55"/>
      <c r="G87" s="17"/>
      <c r="H87" s="17"/>
      <c r="I87" s="17"/>
      <c r="J87" s="22"/>
      <c r="K87" s="5"/>
      <c r="L87" s="5"/>
      <c r="M87" s="5"/>
      <c r="N87" s="5"/>
      <c r="O87" s="5"/>
      <c r="P87" s="5"/>
      <c r="Q87" s="5"/>
      <c r="R87" s="5"/>
      <c r="S87" s="5"/>
      <c r="T87" s="5"/>
      <c r="U87" s="5"/>
      <c r="V87" s="5"/>
      <c r="W87" s="5"/>
      <c r="X87" s="5"/>
      <c r="Y87" s="5"/>
      <c r="Z87" s="5"/>
      <c r="AA87" s="5"/>
      <c r="AB87" s="5"/>
      <c r="AC87" s="5"/>
      <c r="AD87" s="5"/>
      <c r="AE87" s="5"/>
    </row>
    <row r="88" spans="1:31">
      <c r="A88" s="5"/>
      <c r="B88" s="5"/>
      <c r="C88" s="5"/>
      <c r="D88" s="5"/>
      <c r="E88" s="17"/>
      <c r="F88" s="55"/>
      <c r="G88" s="17"/>
      <c r="H88" s="17"/>
      <c r="I88" s="17"/>
      <c r="J88" s="22"/>
      <c r="K88" s="5"/>
      <c r="L88" s="5"/>
      <c r="M88" s="5"/>
      <c r="N88" s="5"/>
      <c r="O88" s="5"/>
      <c r="P88" s="5"/>
      <c r="Q88" s="5"/>
      <c r="R88" s="5"/>
      <c r="S88" s="5"/>
      <c r="T88" s="5"/>
      <c r="U88" s="5"/>
      <c r="V88" s="5"/>
      <c r="W88" s="5"/>
      <c r="X88" s="5"/>
      <c r="Y88" s="5"/>
      <c r="Z88" s="5"/>
      <c r="AA88" s="5"/>
      <c r="AB88" s="5"/>
      <c r="AC88" s="5"/>
      <c r="AD88" s="5"/>
      <c r="AE88" s="5"/>
    </row>
    <row r="89" spans="1:31">
      <c r="A89" s="5"/>
      <c r="B89" s="5"/>
      <c r="C89" s="5"/>
      <c r="D89" s="5"/>
      <c r="E89" s="17"/>
      <c r="F89" s="55"/>
      <c r="G89" s="17"/>
      <c r="H89" s="17"/>
      <c r="I89" s="17"/>
      <c r="J89" s="22"/>
      <c r="K89" s="5"/>
      <c r="L89" s="5"/>
      <c r="M89" s="5"/>
      <c r="N89" s="5"/>
      <c r="O89" s="5"/>
      <c r="P89" s="5"/>
      <c r="Q89" s="5"/>
      <c r="R89" s="5"/>
      <c r="S89" s="5"/>
      <c r="T89" s="5"/>
      <c r="U89" s="5"/>
      <c r="V89" s="5"/>
      <c r="W89" s="5"/>
      <c r="X89" s="5"/>
      <c r="Y89" s="5"/>
      <c r="Z89" s="5"/>
      <c r="AA89" s="5"/>
      <c r="AB89" s="5"/>
      <c r="AC89" s="5"/>
      <c r="AD89" s="5"/>
      <c r="AE89" s="5"/>
    </row>
    <row r="90" spans="1:31">
      <c r="A90" s="5"/>
      <c r="B90" s="5"/>
      <c r="C90" s="5"/>
      <c r="D90" s="5"/>
      <c r="E90" s="17"/>
      <c r="F90" s="55"/>
      <c r="G90" s="17"/>
      <c r="H90" s="17"/>
      <c r="I90" s="17"/>
      <c r="J90" s="22"/>
      <c r="K90" s="5"/>
      <c r="L90" s="5"/>
      <c r="M90" s="5"/>
      <c r="N90" s="5"/>
      <c r="O90" s="5"/>
      <c r="P90" s="5"/>
      <c r="Q90" s="5"/>
      <c r="R90" s="5"/>
      <c r="S90" s="5"/>
      <c r="T90" s="5"/>
      <c r="U90" s="5"/>
      <c r="V90" s="5"/>
      <c r="W90" s="5"/>
      <c r="X90" s="5"/>
      <c r="Y90" s="5"/>
      <c r="Z90" s="5"/>
      <c r="AA90" s="5"/>
      <c r="AB90" s="5"/>
      <c r="AC90" s="5"/>
      <c r="AD90" s="5"/>
      <c r="AE90" s="5"/>
    </row>
    <row r="91" spans="1:31">
      <c r="A91" s="5"/>
      <c r="B91" s="5"/>
      <c r="C91" s="5"/>
      <c r="D91" s="5"/>
      <c r="E91" s="17"/>
      <c r="F91" s="55"/>
      <c r="G91" s="17"/>
      <c r="H91" s="5"/>
      <c r="I91" s="5"/>
      <c r="J91" s="24"/>
      <c r="K91" s="5"/>
      <c r="L91" s="5"/>
      <c r="M91" s="5"/>
      <c r="N91" s="5"/>
      <c r="O91" s="5"/>
      <c r="P91" s="5"/>
      <c r="Q91" s="5"/>
      <c r="R91" s="5"/>
      <c r="S91" s="5"/>
      <c r="T91" s="5"/>
      <c r="U91" s="5"/>
      <c r="V91" s="5"/>
      <c r="W91" s="5"/>
      <c r="X91" s="5"/>
      <c r="Y91" s="5"/>
      <c r="Z91" s="5"/>
      <c r="AA91" s="5"/>
      <c r="AB91" s="5"/>
      <c r="AC91" s="5"/>
      <c r="AD91" s="5"/>
      <c r="AE91" s="5"/>
    </row>
    <row r="92" spans="1:31">
      <c r="A92" s="5"/>
      <c r="B92" s="5"/>
      <c r="C92" s="5"/>
      <c r="D92" s="5"/>
      <c r="E92" s="17"/>
      <c r="F92" s="55"/>
      <c r="G92" s="17"/>
      <c r="H92" s="5"/>
      <c r="I92" s="5"/>
      <c r="J92" s="24"/>
      <c r="K92" s="5"/>
      <c r="L92" s="5"/>
      <c r="M92" s="5"/>
      <c r="N92" s="5"/>
      <c r="O92" s="5"/>
      <c r="P92" s="5"/>
      <c r="Q92" s="5"/>
      <c r="R92" s="5"/>
      <c r="S92" s="5"/>
      <c r="T92" s="5"/>
      <c r="U92" s="5"/>
      <c r="V92" s="5"/>
      <c r="W92" s="5"/>
      <c r="X92" s="5"/>
      <c r="Y92" s="5"/>
      <c r="Z92" s="5"/>
      <c r="AA92" s="5"/>
      <c r="AB92" s="5"/>
      <c r="AC92" s="5"/>
      <c r="AD92" s="5"/>
      <c r="AE92" s="5"/>
    </row>
    <row r="93" spans="1:31">
      <c r="A93" s="5"/>
      <c r="B93" s="5"/>
      <c r="C93" s="5"/>
      <c r="D93" s="5"/>
      <c r="E93" s="17"/>
      <c r="F93" s="55"/>
      <c r="G93" s="17"/>
      <c r="H93" s="5"/>
      <c r="I93" s="5"/>
      <c r="J93" s="24"/>
      <c r="K93" s="5"/>
      <c r="L93" s="5"/>
      <c r="M93" s="5"/>
      <c r="N93" s="5"/>
      <c r="O93" s="5"/>
      <c r="P93" s="5"/>
      <c r="Q93" s="5"/>
      <c r="R93" s="5"/>
      <c r="S93" s="5"/>
      <c r="T93" s="5"/>
      <c r="U93" s="5"/>
      <c r="V93" s="5"/>
      <c r="W93" s="5"/>
      <c r="X93" s="5"/>
      <c r="Y93" s="5"/>
      <c r="Z93" s="5"/>
      <c r="AA93" s="5"/>
      <c r="AB93" s="5"/>
      <c r="AC93" s="5"/>
      <c r="AD93" s="5"/>
      <c r="AE93" s="5"/>
    </row>
    <row r="94" spans="1:31">
      <c r="A94" s="5"/>
      <c r="B94" s="5"/>
      <c r="C94" s="5"/>
      <c r="D94" s="5"/>
      <c r="E94" s="17"/>
      <c r="F94" s="55"/>
      <c r="G94" s="17"/>
      <c r="H94" s="5"/>
      <c r="I94" s="5"/>
      <c r="J94" s="24"/>
      <c r="K94" s="5"/>
      <c r="L94" s="5"/>
      <c r="M94" s="5"/>
      <c r="N94" s="5"/>
      <c r="O94" s="5"/>
      <c r="P94" s="5"/>
      <c r="Q94" s="5"/>
      <c r="R94" s="5"/>
      <c r="S94" s="5"/>
      <c r="T94" s="5"/>
      <c r="U94" s="5"/>
      <c r="V94" s="5"/>
      <c r="W94" s="5"/>
      <c r="X94" s="5"/>
      <c r="Y94" s="5"/>
      <c r="Z94" s="5"/>
      <c r="AA94" s="5"/>
      <c r="AB94" s="5"/>
      <c r="AC94" s="5"/>
      <c r="AD94" s="5"/>
      <c r="AE94" s="5"/>
    </row>
    <row r="95" spans="1:31">
      <c r="A95" s="5"/>
      <c r="B95" s="5"/>
      <c r="C95" s="5"/>
      <c r="D95" s="5"/>
      <c r="E95" s="17"/>
      <c r="F95" s="55"/>
      <c r="G95" s="17"/>
      <c r="H95" s="5"/>
      <c r="I95" s="5"/>
      <c r="J95" s="24"/>
      <c r="K95" s="5"/>
      <c r="L95" s="5"/>
      <c r="M95" s="5"/>
      <c r="N95" s="5"/>
      <c r="O95" s="5"/>
      <c r="P95" s="5"/>
      <c r="Q95" s="5"/>
      <c r="R95" s="5"/>
      <c r="S95" s="5"/>
      <c r="T95" s="5"/>
      <c r="U95" s="5"/>
      <c r="V95" s="5"/>
      <c r="W95" s="5"/>
      <c r="X95" s="5"/>
      <c r="Y95" s="5"/>
      <c r="Z95" s="5"/>
      <c r="AA95" s="5"/>
      <c r="AB95" s="5"/>
      <c r="AC95" s="5"/>
      <c r="AD95" s="5"/>
      <c r="AE95" s="5"/>
    </row>
    <row r="96" spans="1:31">
      <c r="A96" s="1"/>
      <c r="B96" s="5"/>
      <c r="C96" s="5"/>
      <c r="D96" s="5"/>
      <c r="E96" s="17"/>
      <c r="F96" s="55"/>
      <c r="G96" s="17"/>
      <c r="H96" s="5"/>
      <c r="I96" s="5"/>
      <c r="J96" s="24"/>
      <c r="K96" s="5"/>
      <c r="L96" s="5"/>
      <c r="M96" s="5"/>
      <c r="N96" s="5"/>
      <c r="O96" s="5"/>
      <c r="P96" s="5"/>
      <c r="Q96" s="5"/>
      <c r="R96" s="5"/>
      <c r="S96" s="5"/>
      <c r="T96" s="5"/>
      <c r="U96" s="5"/>
      <c r="V96" s="5"/>
      <c r="W96" s="5"/>
      <c r="X96" s="5"/>
      <c r="Y96" s="5"/>
      <c r="Z96" s="5"/>
      <c r="AA96" s="5"/>
      <c r="AB96" s="5"/>
      <c r="AC96" s="5"/>
      <c r="AD96" s="5"/>
      <c r="AE96" s="5"/>
    </row>
    <row r="97" spans="2:10">
      <c r="B97" s="1"/>
      <c r="C97" s="1"/>
      <c r="D97" s="1"/>
      <c r="E97" s="2"/>
      <c r="F97" s="52"/>
      <c r="G97" s="2"/>
      <c r="H97" s="1"/>
      <c r="I97" s="1"/>
      <c r="J97" s="10"/>
    </row>
  </sheetData>
  <phoneticPr fontId="11" type="noConversion"/>
  <dataValidations count="2">
    <dataValidation type="list" allowBlank="1" showInputMessage="1" showErrorMessage="1" errorTitle="Account Input Error" error="The account number entered is not valid." sqref="D58:D95 D9:D11 D15:D48">
      <formula1>ValidAccount</formula1>
    </dataValidation>
    <dataValidation type="list" allowBlank="1" showInputMessage="1" showErrorMessage="1" errorTitle="Adjsutment Type Input Error" error="An invalid adjustment type was entered._x000a__x000a_Valid values are 1, 2, or 3." sqref="E58:E95 E9:E10 E15:E18 E21:E48">
      <formula1>"1,2,3"</formula1>
    </dataValidation>
  </dataValidations>
  <pageMargins left="0.75" right="0.75" top="1" bottom="1" header="0.5" footer="0.5"/>
  <pageSetup scale="83" orientation="portrait" r:id="rId1"/>
  <headerFooter alignWithMargins="0"/>
  <rowBreaks count="1" manualBreakCount="1">
    <brk id="49" max="16383" man="1"/>
  </rowBreaks>
  <colBreaks count="2" manualBreakCount="2">
    <brk id="10" max="1048575" man="1"/>
    <brk id="20" max="1048575" man="1"/>
  </col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O95"/>
  <sheetViews>
    <sheetView zoomScale="75" zoomScaleNormal="75" workbookViewId="0">
      <pane xSplit="2" ySplit="2" topLeftCell="C3" activePane="bottomRight" state="frozen"/>
      <selection pane="topRight" activeCell="C1" sqref="C1"/>
      <selection pane="bottomLeft" activeCell="A2" sqref="A2"/>
      <selection pane="bottomRight" activeCell="F83" sqref="F83"/>
    </sheetView>
  </sheetViews>
  <sheetFormatPr defaultRowHeight="12"/>
  <cols>
    <col min="1" max="1" width="26.42578125" style="86" bestFit="1" customWidth="1"/>
    <col min="2" max="2" width="17" style="86" customWidth="1"/>
    <col min="3" max="3" width="10.5703125" style="86" bestFit="1" customWidth="1"/>
    <col min="4" max="4" width="16.7109375" style="88" bestFit="1" customWidth="1"/>
    <col min="5" max="5" width="12.28515625" style="86" customWidth="1"/>
    <col min="6" max="6" width="15.28515625" style="88" customWidth="1"/>
    <col min="7" max="7" width="12.7109375" style="89" customWidth="1"/>
    <col min="8" max="8" width="11.7109375" style="89" bestFit="1" customWidth="1"/>
    <col min="9" max="9" width="13.85546875" style="89" customWidth="1"/>
    <col min="10" max="10" width="12.28515625" style="89" customWidth="1"/>
    <col min="11" max="12" width="11.7109375" style="89" bestFit="1" customWidth="1"/>
    <col min="13" max="13" width="15.7109375" style="88" bestFit="1" customWidth="1"/>
    <col min="14" max="14" width="12.140625" style="88" bestFit="1" customWidth="1"/>
    <col min="15" max="15" width="15.85546875" style="86" customWidth="1"/>
    <col min="16" max="16" width="10.42578125" style="77" bestFit="1" customWidth="1"/>
    <col min="17" max="16384" width="9.140625" style="77"/>
  </cols>
  <sheetData>
    <row r="1" spans="1:15" s="64" customFormat="1" hidden="1">
      <c r="A1" s="62"/>
      <c r="B1" s="62"/>
      <c r="C1" s="62"/>
      <c r="D1" s="63" t="s">
        <v>11</v>
      </c>
      <c r="E1" s="64" t="s">
        <v>12</v>
      </c>
      <c r="F1" s="63" t="s">
        <v>13</v>
      </c>
      <c r="G1" s="65" t="s">
        <v>14</v>
      </c>
      <c r="H1" s="65" t="s">
        <v>15</v>
      </c>
      <c r="I1" s="65" t="s">
        <v>15</v>
      </c>
      <c r="J1" s="65" t="s">
        <v>15</v>
      </c>
      <c r="K1" s="65" t="s">
        <v>15</v>
      </c>
      <c r="L1" s="65" t="s">
        <v>15</v>
      </c>
      <c r="M1" s="63" t="s">
        <v>16</v>
      </c>
      <c r="N1" s="63" t="s">
        <v>17</v>
      </c>
    </row>
    <row r="2" spans="1:15" s="70" customFormat="1" hidden="1">
      <c r="A2" s="66" t="s">
        <v>18</v>
      </c>
      <c r="B2" s="67" t="s">
        <v>76</v>
      </c>
      <c r="C2" s="67" t="s">
        <v>19</v>
      </c>
      <c r="D2" s="68" t="s">
        <v>20</v>
      </c>
      <c r="E2" s="67" t="s">
        <v>21</v>
      </c>
      <c r="F2" s="68" t="s">
        <v>22</v>
      </c>
      <c r="G2" s="69" t="s">
        <v>23</v>
      </c>
      <c r="H2" s="69" t="s">
        <v>24</v>
      </c>
      <c r="I2" s="69" t="s">
        <v>25</v>
      </c>
      <c r="J2" s="69" t="s">
        <v>26</v>
      </c>
      <c r="K2" s="69" t="s">
        <v>27</v>
      </c>
      <c r="L2" s="69" t="s">
        <v>28</v>
      </c>
      <c r="M2" s="68" t="s">
        <v>29</v>
      </c>
      <c r="N2" s="68" t="s">
        <v>30</v>
      </c>
      <c r="O2" s="68" t="s">
        <v>9</v>
      </c>
    </row>
    <row r="3" spans="1:15" ht="13.5" hidden="1">
      <c r="A3" s="71" t="s">
        <v>31</v>
      </c>
      <c r="B3" s="86" t="s">
        <v>77</v>
      </c>
      <c r="C3" s="72">
        <v>10069</v>
      </c>
      <c r="D3" s="73">
        <v>0</v>
      </c>
      <c r="E3" s="73">
        <v>0</v>
      </c>
      <c r="F3" s="73">
        <v>0</v>
      </c>
      <c r="G3" s="74">
        <v>-3256.7127897</v>
      </c>
      <c r="H3" s="74">
        <v>0</v>
      </c>
      <c r="I3" s="74">
        <v>0</v>
      </c>
      <c r="J3" s="74">
        <v>0</v>
      </c>
      <c r="K3" s="74">
        <v>0</v>
      </c>
      <c r="L3" s="74">
        <v>0</v>
      </c>
      <c r="M3" s="75">
        <v>0</v>
      </c>
      <c r="N3" s="75">
        <v>0</v>
      </c>
      <c r="O3" s="76">
        <f t="shared" ref="O3:O46" si="0">SUM(D3:N3)</f>
        <v>-3256.7127897</v>
      </c>
    </row>
    <row r="4" spans="1:15" ht="13.5" hidden="1">
      <c r="A4" s="71" t="s">
        <v>32</v>
      </c>
      <c r="B4" s="86" t="s">
        <v>78</v>
      </c>
      <c r="C4" s="78">
        <v>213488</v>
      </c>
      <c r="D4" s="73">
        <v>0</v>
      </c>
      <c r="E4" s="73">
        <v>0</v>
      </c>
      <c r="F4" s="73">
        <v>0</v>
      </c>
      <c r="G4" s="74">
        <v>-15259.911184399998</v>
      </c>
      <c r="H4" s="74">
        <v>0</v>
      </c>
      <c r="I4" s="74">
        <v>0</v>
      </c>
      <c r="J4" s="74">
        <v>0</v>
      </c>
      <c r="K4" s="74">
        <v>0</v>
      </c>
      <c r="L4" s="74">
        <v>0</v>
      </c>
      <c r="M4" s="75">
        <v>0</v>
      </c>
      <c r="N4" s="75">
        <v>0</v>
      </c>
      <c r="O4" s="79">
        <f t="shared" si="0"/>
        <v>-15259.911184399998</v>
      </c>
    </row>
    <row r="5" spans="1:15" ht="13.5" hidden="1">
      <c r="A5" s="71" t="s">
        <v>33</v>
      </c>
      <c r="B5" s="86" t="s">
        <v>79</v>
      </c>
      <c r="C5" s="78">
        <v>13187</v>
      </c>
      <c r="D5" s="73">
        <v>0</v>
      </c>
      <c r="E5" s="73">
        <v>0</v>
      </c>
      <c r="F5" s="73">
        <v>0</v>
      </c>
      <c r="G5" s="74">
        <v>0</v>
      </c>
      <c r="H5" s="74">
        <v>0</v>
      </c>
      <c r="I5" s="74">
        <v>0</v>
      </c>
      <c r="J5" s="74">
        <v>0</v>
      </c>
      <c r="K5" s="74">
        <v>0</v>
      </c>
      <c r="L5" s="74">
        <v>0</v>
      </c>
      <c r="M5" s="75">
        <v>0</v>
      </c>
      <c r="N5" s="75">
        <v>0</v>
      </c>
      <c r="O5" s="79">
        <f t="shared" si="0"/>
        <v>0</v>
      </c>
    </row>
    <row r="6" spans="1:15" ht="13.5" hidden="1">
      <c r="A6" s="71" t="s">
        <v>34</v>
      </c>
      <c r="B6" s="86" t="s">
        <v>80</v>
      </c>
      <c r="C6" s="78">
        <v>13289</v>
      </c>
      <c r="D6" s="73">
        <v>38076.2616337</v>
      </c>
      <c r="E6" s="73">
        <v>0</v>
      </c>
      <c r="F6" s="73">
        <v>193124.13328759995</v>
      </c>
      <c r="G6" s="74">
        <v>27321.594607300027</v>
      </c>
      <c r="H6" s="74">
        <v>1305</v>
      </c>
      <c r="I6" s="74">
        <v>33153.49</v>
      </c>
      <c r="J6" s="74">
        <v>15202.9</v>
      </c>
      <c r="K6" s="74">
        <v>0</v>
      </c>
      <c r="L6" s="74">
        <v>11970</v>
      </c>
      <c r="M6" s="75">
        <v>37297.379999999997</v>
      </c>
      <c r="N6" s="75">
        <v>7259.1</v>
      </c>
      <c r="O6" s="79">
        <f t="shared" si="0"/>
        <v>364709.85952860001</v>
      </c>
    </row>
    <row r="7" spans="1:15" ht="13.5" hidden="1">
      <c r="A7" s="71" t="s">
        <v>35</v>
      </c>
      <c r="B7" s="86" t="s">
        <v>81</v>
      </c>
      <c r="C7" s="78">
        <v>11690</v>
      </c>
      <c r="D7" s="73">
        <v>52455.903578799996</v>
      </c>
      <c r="E7" s="73">
        <v>236168.52</v>
      </c>
      <c r="F7" s="73">
        <v>235486.16332260001</v>
      </c>
      <c r="G7" s="74">
        <v>59169.615196999992</v>
      </c>
      <c r="H7" s="74">
        <v>1547</v>
      </c>
      <c r="I7" s="74">
        <v>49756.7</v>
      </c>
      <c r="J7" s="74">
        <v>14515</v>
      </c>
      <c r="K7" s="74">
        <v>3797</v>
      </c>
      <c r="L7" s="74">
        <v>11970</v>
      </c>
      <c r="M7" s="75">
        <v>56849.22</v>
      </c>
      <c r="N7" s="75">
        <v>7728</v>
      </c>
      <c r="O7" s="79">
        <f t="shared" si="0"/>
        <v>729443.12209839991</v>
      </c>
    </row>
    <row r="8" spans="1:15" ht="13.5" hidden="1">
      <c r="A8" s="71" t="s">
        <v>36</v>
      </c>
      <c r="B8" s="86" t="s">
        <v>82</v>
      </c>
      <c r="C8" s="78">
        <v>11676</v>
      </c>
      <c r="D8" s="73">
        <v>36991.763500000001</v>
      </c>
      <c r="E8" s="73">
        <v>0</v>
      </c>
      <c r="F8" s="73">
        <v>208023.3476023</v>
      </c>
      <c r="G8" s="74">
        <v>67249.451743299971</v>
      </c>
      <c r="H8" s="74">
        <v>624</v>
      </c>
      <c r="I8" s="74">
        <v>34543.949999999997</v>
      </c>
      <c r="J8" s="74">
        <v>9539.56</v>
      </c>
      <c r="K8" s="74">
        <v>0</v>
      </c>
      <c r="L8" s="74">
        <v>7962</v>
      </c>
      <c r="M8" s="75">
        <v>34195.42</v>
      </c>
      <c r="N8" s="75">
        <v>7845.3</v>
      </c>
      <c r="O8" s="79">
        <f t="shared" si="0"/>
        <v>406974.79284559994</v>
      </c>
    </row>
    <row r="9" spans="1:15" ht="13.5" hidden="1">
      <c r="A9" s="71" t="s">
        <v>37</v>
      </c>
      <c r="B9" s="86" t="s">
        <v>83</v>
      </c>
      <c r="C9" s="78">
        <v>10210</v>
      </c>
      <c r="D9" s="73">
        <v>24447.151164399998</v>
      </c>
      <c r="E9" s="73">
        <v>0</v>
      </c>
      <c r="F9" s="73">
        <v>146076.6054151</v>
      </c>
      <c r="G9" s="74">
        <v>58411.830664899993</v>
      </c>
      <c r="H9" s="74">
        <v>318</v>
      </c>
      <c r="I9" s="74">
        <v>22570.05</v>
      </c>
      <c r="J9" s="74">
        <v>16278.96</v>
      </c>
      <c r="K9" s="74">
        <v>0</v>
      </c>
      <c r="L9" s="74">
        <v>7962</v>
      </c>
      <c r="M9" s="75">
        <v>39486.99</v>
      </c>
      <c r="N9" s="75">
        <v>6502.32</v>
      </c>
      <c r="O9" s="79">
        <f t="shared" si="0"/>
        <v>322053.90724439995</v>
      </c>
    </row>
    <row r="10" spans="1:15" ht="13.5" hidden="1">
      <c r="A10" s="71" t="s">
        <v>38</v>
      </c>
      <c r="B10" s="86" t="s">
        <v>84</v>
      </c>
      <c r="C10" s="78">
        <v>213488</v>
      </c>
      <c r="D10" s="73">
        <v>-19380</v>
      </c>
      <c r="E10" s="73">
        <v>0</v>
      </c>
      <c r="F10" s="73">
        <v>0</v>
      </c>
      <c r="G10" s="74">
        <v>-25682.565190300003</v>
      </c>
      <c r="H10" s="74">
        <v>0</v>
      </c>
      <c r="I10" s="74">
        <v>0</v>
      </c>
      <c r="J10" s="74">
        <v>0</v>
      </c>
      <c r="K10" s="74">
        <v>0</v>
      </c>
      <c r="L10" s="74">
        <v>0</v>
      </c>
      <c r="M10" s="75">
        <v>6150.72</v>
      </c>
      <c r="N10" s="75">
        <v>0</v>
      </c>
      <c r="O10" s="79">
        <f t="shared" si="0"/>
        <v>-38911.845190300002</v>
      </c>
    </row>
    <row r="11" spans="1:15" ht="13.5" hidden="1">
      <c r="A11" s="71" t="s">
        <v>39</v>
      </c>
      <c r="B11" s="86" t="s">
        <v>85</v>
      </c>
      <c r="C11" s="78">
        <v>213488</v>
      </c>
      <c r="D11" s="73">
        <v>0</v>
      </c>
      <c r="E11" s="73">
        <v>0</v>
      </c>
      <c r="F11" s="73">
        <v>0</v>
      </c>
      <c r="G11" s="74">
        <v>-17755.425751299998</v>
      </c>
      <c r="H11" s="74">
        <v>0</v>
      </c>
      <c r="I11" s="74">
        <v>0</v>
      </c>
      <c r="J11" s="74">
        <v>0</v>
      </c>
      <c r="K11" s="74">
        <v>0</v>
      </c>
      <c r="L11" s="74">
        <v>0</v>
      </c>
      <c r="M11" s="75">
        <v>0</v>
      </c>
      <c r="N11" s="75">
        <v>0</v>
      </c>
      <c r="O11" s="79">
        <f t="shared" si="0"/>
        <v>-17755.425751299998</v>
      </c>
    </row>
    <row r="12" spans="1:15" ht="13.5" hidden="1">
      <c r="A12" s="71" t="s">
        <v>40</v>
      </c>
      <c r="B12" s="86" t="s">
        <v>86</v>
      </c>
      <c r="C12" s="78">
        <v>11622</v>
      </c>
      <c r="D12" s="73">
        <v>30455.746056100001</v>
      </c>
      <c r="E12" s="73">
        <v>0</v>
      </c>
      <c r="F12" s="73">
        <v>187977.38241350002</v>
      </c>
      <c r="G12" s="74">
        <v>96392.120894800013</v>
      </c>
      <c r="H12" s="74">
        <v>1435</v>
      </c>
      <c r="I12" s="74">
        <v>22462.22</v>
      </c>
      <c r="J12" s="74">
        <v>23228.880000000001</v>
      </c>
      <c r="K12" s="74">
        <v>240</v>
      </c>
      <c r="L12" s="74">
        <v>11970</v>
      </c>
      <c r="M12" s="75">
        <v>39646.33</v>
      </c>
      <c r="N12" s="75">
        <v>6890.2</v>
      </c>
      <c r="O12" s="79">
        <f t="shared" si="0"/>
        <v>420697.87936440005</v>
      </c>
    </row>
    <row r="13" spans="1:15" ht="13.5" hidden="1">
      <c r="A13" s="71" t="s">
        <v>41</v>
      </c>
      <c r="B13" s="86" t="s">
        <v>87</v>
      </c>
      <c r="C13" s="78">
        <v>13383</v>
      </c>
      <c r="D13" s="73">
        <v>39452.051678799995</v>
      </c>
      <c r="E13" s="73">
        <v>0</v>
      </c>
      <c r="F13" s="73">
        <v>183401.63816870004</v>
      </c>
      <c r="G13" s="74">
        <v>78636.480681399989</v>
      </c>
      <c r="H13" s="74">
        <v>1435</v>
      </c>
      <c r="I13" s="74">
        <v>26663.22</v>
      </c>
      <c r="J13" s="74">
        <v>2349.12</v>
      </c>
      <c r="K13" s="74">
        <v>0</v>
      </c>
      <c r="L13" s="74">
        <v>11970</v>
      </c>
      <c r="M13" s="75">
        <v>52256.47</v>
      </c>
      <c r="N13" s="75">
        <v>7026.88</v>
      </c>
      <c r="O13" s="79">
        <f t="shared" si="0"/>
        <v>403190.86052889994</v>
      </c>
    </row>
    <row r="14" spans="1:15" ht="13.5" hidden="1">
      <c r="A14" s="71" t="s">
        <v>42</v>
      </c>
      <c r="B14" s="86" t="s">
        <v>88</v>
      </c>
      <c r="C14" s="78">
        <v>11650</v>
      </c>
      <c r="D14" s="73">
        <v>0</v>
      </c>
      <c r="E14" s="73">
        <v>0</v>
      </c>
      <c r="F14" s="73">
        <v>0</v>
      </c>
      <c r="G14" s="74">
        <v>-7406.23</v>
      </c>
      <c r="H14" s="74">
        <v>0</v>
      </c>
      <c r="I14" s="74">
        <v>0</v>
      </c>
      <c r="J14" s="74">
        <v>0</v>
      </c>
      <c r="K14" s="74">
        <v>0</v>
      </c>
      <c r="L14" s="74">
        <v>0</v>
      </c>
      <c r="M14" s="75">
        <v>0</v>
      </c>
      <c r="N14" s="75">
        <v>0</v>
      </c>
      <c r="O14" s="79">
        <f t="shared" si="0"/>
        <v>-7406.23</v>
      </c>
    </row>
    <row r="15" spans="1:15" ht="13.5" hidden="1">
      <c r="A15" s="71" t="s">
        <v>43</v>
      </c>
      <c r="B15" s="86" t="s">
        <v>89</v>
      </c>
      <c r="C15" s="78">
        <v>13020</v>
      </c>
      <c r="D15" s="73">
        <v>0</v>
      </c>
      <c r="E15" s="73">
        <v>0</v>
      </c>
      <c r="F15" s="73">
        <v>1070.8886832000001</v>
      </c>
      <c r="G15" s="74">
        <v>-24606.134999999998</v>
      </c>
      <c r="H15" s="74">
        <v>0</v>
      </c>
      <c r="I15" s="74">
        <v>0</v>
      </c>
      <c r="J15" s="74">
        <v>0</v>
      </c>
      <c r="K15" s="74">
        <v>0</v>
      </c>
      <c r="L15" s="74">
        <v>0</v>
      </c>
      <c r="M15" s="75">
        <v>0</v>
      </c>
      <c r="N15" s="75">
        <v>0</v>
      </c>
      <c r="O15" s="79">
        <f t="shared" si="0"/>
        <v>-23535.246316799999</v>
      </c>
    </row>
    <row r="16" spans="1:15" ht="13.5" hidden="1">
      <c r="A16" s="71" t="s">
        <v>44</v>
      </c>
      <c r="B16" s="86" t="s">
        <v>90</v>
      </c>
      <c r="C16" s="78">
        <v>11648</v>
      </c>
      <c r="D16" s="73">
        <v>0</v>
      </c>
      <c r="E16" s="73">
        <v>0</v>
      </c>
      <c r="F16" s="73">
        <v>0</v>
      </c>
      <c r="G16" s="74">
        <v>-11349.22</v>
      </c>
      <c r="H16" s="74">
        <v>0</v>
      </c>
      <c r="I16" s="74">
        <v>-11321.61</v>
      </c>
      <c r="J16" s="74">
        <v>0</v>
      </c>
      <c r="K16" s="74">
        <v>0</v>
      </c>
      <c r="L16" s="74">
        <v>0</v>
      </c>
      <c r="M16" s="75">
        <v>27282.09</v>
      </c>
      <c r="N16" s="75">
        <v>0</v>
      </c>
      <c r="O16" s="79">
        <f t="shared" si="0"/>
        <v>4611.2599999999984</v>
      </c>
    </row>
    <row r="17" spans="1:15" ht="13.5" hidden="1">
      <c r="A17" s="71" t="s">
        <v>45</v>
      </c>
      <c r="B17" s="86" t="s">
        <v>91</v>
      </c>
      <c r="C17" s="78">
        <v>10190</v>
      </c>
      <c r="D17" s="73">
        <v>0</v>
      </c>
      <c r="E17" s="73">
        <v>0</v>
      </c>
      <c r="F17" s="73">
        <v>0</v>
      </c>
      <c r="G17" s="74">
        <v>-129835.52582020001</v>
      </c>
      <c r="H17" s="74">
        <v>0</v>
      </c>
      <c r="I17" s="74">
        <v>0</v>
      </c>
      <c r="J17" s="74">
        <v>0</v>
      </c>
      <c r="K17" s="74">
        <v>0</v>
      </c>
      <c r="L17" s="74">
        <v>0</v>
      </c>
      <c r="M17" s="75">
        <v>0</v>
      </c>
      <c r="N17" s="75">
        <v>0</v>
      </c>
      <c r="O17" s="79">
        <f t="shared" si="0"/>
        <v>-129835.52582020001</v>
      </c>
    </row>
    <row r="18" spans="1:15" ht="13.5" hidden="1">
      <c r="A18" s="71" t="s">
        <v>46</v>
      </c>
      <c r="B18" s="86" t="s">
        <v>92</v>
      </c>
      <c r="C18" s="78">
        <v>213488</v>
      </c>
      <c r="D18" s="73">
        <v>22730.6344025</v>
      </c>
      <c r="E18" s="73">
        <v>0</v>
      </c>
      <c r="F18" s="73">
        <f>113624.2327689+381.4</f>
        <v>114005.63276889999</v>
      </c>
      <c r="G18" s="74">
        <v>64513.226667699993</v>
      </c>
      <c r="H18" s="74">
        <v>1305</v>
      </c>
      <c r="I18" s="74">
        <v>21292.5</v>
      </c>
      <c r="J18" s="74">
        <v>13019.56</v>
      </c>
      <c r="K18" s="74">
        <v>0</v>
      </c>
      <c r="L18" s="74">
        <v>5886</v>
      </c>
      <c r="M18" s="75">
        <v>35067.32</v>
      </c>
      <c r="N18" s="75">
        <v>5207.49</v>
      </c>
      <c r="O18" s="79">
        <f t="shared" si="0"/>
        <v>283027.36383909994</v>
      </c>
    </row>
    <row r="19" spans="1:15" ht="13.5" hidden="1">
      <c r="A19" s="71" t="s">
        <v>47</v>
      </c>
      <c r="B19" s="86" t="s">
        <v>93</v>
      </c>
      <c r="C19" s="78">
        <v>11131</v>
      </c>
      <c r="D19" s="73">
        <v>-4067</v>
      </c>
      <c r="E19" s="73">
        <v>0</v>
      </c>
      <c r="F19" s="73">
        <v>0</v>
      </c>
      <c r="G19" s="74">
        <v>-3357.9437824000001</v>
      </c>
      <c r="H19" s="75">
        <v>0</v>
      </c>
      <c r="I19" s="75">
        <v>0</v>
      </c>
      <c r="J19" s="75">
        <v>0</v>
      </c>
      <c r="K19" s="75">
        <v>0</v>
      </c>
      <c r="L19" s="75">
        <v>0</v>
      </c>
      <c r="M19" s="75">
        <v>0</v>
      </c>
      <c r="N19" s="75">
        <v>0</v>
      </c>
      <c r="O19" s="79">
        <f t="shared" si="0"/>
        <v>-7424.9437823999997</v>
      </c>
    </row>
    <row r="20" spans="1:15" ht="13.5" hidden="1">
      <c r="A20" s="71" t="s">
        <v>48</v>
      </c>
      <c r="B20" s="86" t="s">
        <v>94</v>
      </c>
      <c r="C20" s="78">
        <v>13185</v>
      </c>
      <c r="D20" s="73">
        <v>0</v>
      </c>
      <c r="E20" s="73">
        <v>0</v>
      </c>
      <c r="F20" s="73">
        <v>0</v>
      </c>
      <c r="G20" s="74">
        <v>0</v>
      </c>
      <c r="H20" s="75">
        <v>0</v>
      </c>
      <c r="I20" s="75">
        <v>0</v>
      </c>
      <c r="J20" s="75">
        <v>0</v>
      </c>
      <c r="K20" s="75">
        <v>0</v>
      </c>
      <c r="L20" s="75">
        <v>0</v>
      </c>
      <c r="M20" s="75">
        <v>0</v>
      </c>
      <c r="N20" s="75">
        <v>0</v>
      </c>
      <c r="O20" s="79">
        <f t="shared" si="0"/>
        <v>0</v>
      </c>
    </row>
    <row r="21" spans="1:15" ht="13.5" hidden="1">
      <c r="A21" s="71" t="s">
        <v>49</v>
      </c>
      <c r="B21" s="86" t="s">
        <v>95</v>
      </c>
      <c r="C21" s="78">
        <v>13023</v>
      </c>
      <c r="D21" s="73">
        <v>188945.62354609999</v>
      </c>
      <c r="E21" s="73">
        <v>375821.04</v>
      </c>
      <c r="F21" s="73">
        <v>594478.85867869994</v>
      </c>
      <c r="G21" s="74">
        <v>-35933.173835899986</v>
      </c>
      <c r="H21" s="74">
        <v>0</v>
      </c>
      <c r="I21" s="74">
        <v>167912</v>
      </c>
      <c r="J21" s="74">
        <v>0</v>
      </c>
      <c r="K21" s="74">
        <v>0</v>
      </c>
      <c r="L21" s="74">
        <v>7962</v>
      </c>
      <c r="M21" s="75">
        <f>82940.6+54800</f>
        <v>137740.6</v>
      </c>
      <c r="N21" s="75">
        <v>10710.15</v>
      </c>
      <c r="O21" s="79">
        <f t="shared" si="0"/>
        <v>1447637.0983889</v>
      </c>
    </row>
    <row r="22" spans="1:15" ht="13.5" hidden="1">
      <c r="A22" s="71" t="s">
        <v>50</v>
      </c>
      <c r="B22" s="86" t="s">
        <v>96</v>
      </c>
      <c r="C22" s="78">
        <v>11654</v>
      </c>
      <c r="D22" s="73">
        <v>25088.806411899997</v>
      </c>
      <c r="E22" s="73">
        <v>0</v>
      </c>
      <c r="F22" s="73">
        <f>130553.0333167+485.78</f>
        <v>131038.81331670001</v>
      </c>
      <c r="G22" s="74">
        <v>60718.16338670002</v>
      </c>
      <c r="H22" s="74">
        <v>1200</v>
      </c>
      <c r="I22" s="74">
        <v>22945.8</v>
      </c>
      <c r="J22" s="74">
        <v>7239.6</v>
      </c>
      <c r="K22" s="74">
        <v>0</v>
      </c>
      <c r="L22" s="74">
        <v>2961</v>
      </c>
      <c r="M22" s="75">
        <v>33341.61</v>
      </c>
      <c r="N22" s="75">
        <v>5220.24</v>
      </c>
      <c r="O22" s="79">
        <f t="shared" si="0"/>
        <v>289754.0331153</v>
      </c>
    </row>
    <row r="23" spans="1:15" ht="13.5" hidden="1">
      <c r="A23" s="71" t="s">
        <v>51</v>
      </c>
      <c r="B23" s="86" t="s">
        <v>97</v>
      </c>
      <c r="C23" s="78">
        <v>13185</v>
      </c>
      <c r="D23" s="73">
        <v>15217.809929999999</v>
      </c>
      <c r="E23" s="73">
        <v>0</v>
      </c>
      <c r="F23" s="73">
        <v>0</v>
      </c>
      <c r="G23" s="74">
        <v>-23082.023613299996</v>
      </c>
      <c r="H23" s="74">
        <v>531.75</v>
      </c>
      <c r="I23" s="74">
        <v>14149.41</v>
      </c>
      <c r="J23" s="74">
        <v>0</v>
      </c>
      <c r="K23" s="74">
        <v>0</v>
      </c>
      <c r="L23" s="74">
        <v>0</v>
      </c>
      <c r="M23" s="75">
        <v>-240.62</v>
      </c>
      <c r="N23" s="75">
        <v>-461.1</v>
      </c>
      <c r="O23" s="79">
        <f t="shared" si="0"/>
        <v>6115.2263167000028</v>
      </c>
    </row>
    <row r="24" spans="1:15" ht="13.5" hidden="1">
      <c r="A24" s="71" t="s">
        <v>52</v>
      </c>
      <c r="B24" s="86" t="s">
        <v>98</v>
      </c>
      <c r="C24" s="78">
        <v>13193</v>
      </c>
      <c r="D24" s="73">
        <v>132235.58010249998</v>
      </c>
      <c r="E24" s="73">
        <v>0</v>
      </c>
      <c r="F24" s="73">
        <v>288146.88488169998</v>
      </c>
      <c r="G24" s="74">
        <v>180103.98670569999</v>
      </c>
      <c r="H24" s="74">
        <v>380</v>
      </c>
      <c r="I24" s="74">
        <v>125972.04</v>
      </c>
      <c r="J24" s="74">
        <v>20056.009999999998</v>
      </c>
      <c r="K24" s="74">
        <v>0</v>
      </c>
      <c r="L24" s="74">
        <v>8847</v>
      </c>
      <c r="M24" s="75">
        <v>60447.42</v>
      </c>
      <c r="N24" s="75">
        <v>8063.64</v>
      </c>
      <c r="O24" s="79">
        <f t="shared" si="0"/>
        <v>824252.5616899</v>
      </c>
    </row>
    <row r="25" spans="1:15" ht="13.5" hidden="1">
      <c r="A25" s="71" t="s">
        <v>53</v>
      </c>
      <c r="B25" s="86" t="s">
        <v>99</v>
      </c>
      <c r="C25" s="78">
        <v>13193</v>
      </c>
      <c r="D25" s="73">
        <v>0</v>
      </c>
      <c r="E25" s="73">
        <v>0</v>
      </c>
      <c r="F25" s="73">
        <v>0</v>
      </c>
      <c r="G25" s="74">
        <v>4813.5663066999996</v>
      </c>
      <c r="H25" s="74">
        <v>0</v>
      </c>
      <c r="I25" s="74">
        <v>0</v>
      </c>
      <c r="J25" s="74">
        <v>0</v>
      </c>
      <c r="K25" s="74">
        <v>0</v>
      </c>
      <c r="L25" s="74">
        <v>0</v>
      </c>
      <c r="M25" s="75">
        <v>0</v>
      </c>
      <c r="N25" s="75">
        <v>0</v>
      </c>
      <c r="O25" s="79">
        <f t="shared" si="0"/>
        <v>4813.5663066999996</v>
      </c>
    </row>
    <row r="26" spans="1:15" ht="13.5" hidden="1">
      <c r="A26" s="71" t="s">
        <v>54</v>
      </c>
      <c r="B26" s="77" t="s">
        <v>100</v>
      </c>
      <c r="C26" s="80">
        <v>11650</v>
      </c>
      <c r="D26" s="73">
        <v>0</v>
      </c>
      <c r="E26" s="73">
        <v>0</v>
      </c>
      <c r="F26" s="73">
        <v>-5206.0754399999996</v>
      </c>
      <c r="G26" s="74">
        <v>-19889.867761600002</v>
      </c>
      <c r="H26" s="74">
        <v>0</v>
      </c>
      <c r="I26" s="74">
        <v>0</v>
      </c>
      <c r="J26" s="74">
        <v>0</v>
      </c>
      <c r="K26" s="74">
        <v>0</v>
      </c>
      <c r="L26" s="74">
        <v>0</v>
      </c>
      <c r="M26" s="73">
        <v>0</v>
      </c>
      <c r="N26" s="73">
        <v>0</v>
      </c>
      <c r="O26" s="79">
        <f t="shared" si="0"/>
        <v>-25095.943201600003</v>
      </c>
    </row>
    <row r="27" spans="1:15" ht="13.5" hidden="1">
      <c r="A27" s="71" t="s">
        <v>55</v>
      </c>
      <c r="B27" s="77" t="s">
        <v>101</v>
      </c>
      <c r="C27" s="80">
        <v>213488</v>
      </c>
      <c r="D27" s="73">
        <v>0</v>
      </c>
      <c r="E27" s="73">
        <v>0</v>
      </c>
      <c r="F27" s="73">
        <v>0</v>
      </c>
      <c r="G27" s="74">
        <v>4698.8567148000002</v>
      </c>
      <c r="H27" s="74">
        <v>0</v>
      </c>
      <c r="I27" s="74">
        <v>0</v>
      </c>
      <c r="J27" s="74">
        <v>0</v>
      </c>
      <c r="K27" s="74">
        <v>0</v>
      </c>
      <c r="L27" s="74">
        <v>0</v>
      </c>
      <c r="M27" s="73">
        <v>0</v>
      </c>
      <c r="N27" s="73">
        <v>0</v>
      </c>
      <c r="O27" s="79">
        <f t="shared" si="0"/>
        <v>4698.8567148000002</v>
      </c>
    </row>
    <row r="28" spans="1:15" ht="13.5" hidden="1">
      <c r="A28" s="71" t="s">
        <v>56</v>
      </c>
      <c r="B28" s="77" t="s">
        <v>102</v>
      </c>
      <c r="C28" s="80">
        <v>213488</v>
      </c>
      <c r="D28" s="73">
        <v>67106.524557500001</v>
      </c>
      <c r="E28" s="73">
        <v>317384.55</v>
      </c>
      <c r="F28" s="73">
        <v>307923.69770830002</v>
      </c>
      <c r="G28" s="74">
        <v>-7387.6863546000386</v>
      </c>
      <c r="H28" s="74">
        <v>0</v>
      </c>
      <c r="I28" s="74">
        <v>62815.38</v>
      </c>
      <c r="J28" s="74">
        <v>23725.83</v>
      </c>
      <c r="K28" s="74">
        <v>0</v>
      </c>
      <c r="L28" s="74">
        <v>7962</v>
      </c>
      <c r="M28" s="73">
        <f>59683.82+12000</f>
        <v>71683.820000000007</v>
      </c>
      <c r="N28" s="73">
        <v>10519.29</v>
      </c>
      <c r="O28" s="79">
        <f t="shared" si="0"/>
        <v>861733.40591119998</v>
      </c>
    </row>
    <row r="29" spans="1:15" ht="13.5" hidden="1">
      <c r="A29" s="71" t="s">
        <v>57</v>
      </c>
      <c r="B29" s="77" t="s">
        <v>103</v>
      </c>
      <c r="C29" s="80">
        <v>12634</v>
      </c>
      <c r="D29" s="73">
        <v>30691.228953799997</v>
      </c>
      <c r="E29" s="73">
        <v>0</v>
      </c>
      <c r="F29" s="73">
        <v>63444.503760199994</v>
      </c>
      <c r="G29" s="74">
        <v>-39621.07170830002</v>
      </c>
      <c r="H29" s="74">
        <v>273</v>
      </c>
      <c r="I29" s="74">
        <v>34680.22</v>
      </c>
      <c r="J29" s="74">
        <v>537.46</v>
      </c>
      <c r="K29" s="74">
        <v>0</v>
      </c>
      <c r="L29" s="74">
        <v>987</v>
      </c>
      <c r="M29" s="73">
        <v>4940.3900000000003</v>
      </c>
      <c r="N29" s="73">
        <v>1633.44</v>
      </c>
      <c r="O29" s="79">
        <f t="shared" si="0"/>
        <v>97566.171005699973</v>
      </c>
    </row>
    <row r="30" spans="1:15" ht="13.5" hidden="1">
      <c r="A30" s="81" t="s">
        <v>58</v>
      </c>
      <c r="B30" s="77" t="s">
        <v>104</v>
      </c>
      <c r="C30" s="80">
        <v>213488</v>
      </c>
      <c r="D30" s="73">
        <v>0</v>
      </c>
      <c r="E30" s="73">
        <v>0</v>
      </c>
      <c r="F30" s="73">
        <v>0</v>
      </c>
      <c r="G30" s="74">
        <v>-57877.186789999992</v>
      </c>
      <c r="H30" s="74">
        <v>0</v>
      </c>
      <c r="I30" s="74">
        <v>0</v>
      </c>
      <c r="J30" s="74">
        <v>0</v>
      </c>
      <c r="K30" s="74">
        <v>0</v>
      </c>
      <c r="L30" s="74">
        <v>0</v>
      </c>
      <c r="M30" s="73">
        <v>0</v>
      </c>
      <c r="N30" s="73">
        <v>0</v>
      </c>
      <c r="O30" s="79">
        <f t="shared" si="0"/>
        <v>-57877.186789999992</v>
      </c>
    </row>
    <row r="31" spans="1:15" ht="13.5" hidden="1">
      <c r="A31" s="71" t="s">
        <v>59</v>
      </c>
      <c r="B31" s="86" t="s">
        <v>105</v>
      </c>
      <c r="C31" s="78">
        <v>213488</v>
      </c>
      <c r="D31" s="73">
        <v>12089.762396499995</v>
      </c>
      <c r="E31" s="73">
        <v>0</v>
      </c>
      <c r="F31" s="73">
        <v>20751.317717599995</v>
      </c>
      <c r="G31" s="74">
        <v>-79766.814040500016</v>
      </c>
      <c r="H31" s="74">
        <v>0</v>
      </c>
      <c r="I31" s="74">
        <v>39918.54</v>
      </c>
      <c r="J31" s="74">
        <v>0</v>
      </c>
      <c r="K31" s="74">
        <v>0</v>
      </c>
      <c r="L31" s="74">
        <v>0</v>
      </c>
      <c r="M31" s="75">
        <v>-68.820000000000164</v>
      </c>
      <c r="N31" s="75">
        <v>-660.2</v>
      </c>
      <c r="O31" s="79">
        <f t="shared" si="0"/>
        <v>-7736.2139264000243</v>
      </c>
    </row>
    <row r="32" spans="1:15" ht="13.5" hidden="1">
      <c r="A32" s="71" t="s">
        <v>60</v>
      </c>
      <c r="B32" s="86" t="s">
        <v>106</v>
      </c>
      <c r="C32" s="78">
        <v>213488</v>
      </c>
      <c r="D32" s="73">
        <v>53324.685280999998</v>
      </c>
      <c r="E32" s="73">
        <v>0</v>
      </c>
      <c r="F32" s="73">
        <v>171972.08274069999</v>
      </c>
      <c r="G32" s="74">
        <v>22903.167326400009</v>
      </c>
      <c r="H32" s="74">
        <v>637</v>
      </c>
      <c r="I32" s="74">
        <v>49941.35</v>
      </c>
      <c r="J32" s="74">
        <v>10989.14</v>
      </c>
      <c r="K32" s="74">
        <v>0</v>
      </c>
      <c r="L32" s="74">
        <v>0</v>
      </c>
      <c r="M32" s="75">
        <v>7482.7</v>
      </c>
      <c r="N32" s="75">
        <v>6133.84</v>
      </c>
      <c r="O32" s="79">
        <f t="shared" si="0"/>
        <v>323383.9653481</v>
      </c>
    </row>
    <row r="33" spans="1:15" ht="13.5" hidden="1">
      <c r="A33" s="71" t="s">
        <v>61</v>
      </c>
      <c r="B33" s="86" t="s">
        <v>107</v>
      </c>
      <c r="C33" s="78">
        <v>11622</v>
      </c>
      <c r="D33" s="73">
        <v>5199.5178824999994</v>
      </c>
      <c r="E33" s="73">
        <v>0</v>
      </c>
      <c r="F33" s="73">
        <f>50284.5095691+217.46</f>
        <v>50501.969569100002</v>
      </c>
      <c r="G33" s="74">
        <v>19871.326353100001</v>
      </c>
      <c r="H33" s="74">
        <v>1254.9000000000001</v>
      </c>
      <c r="I33" s="74">
        <v>4258.5</v>
      </c>
      <c r="J33" s="74">
        <v>0</v>
      </c>
      <c r="K33" s="74">
        <v>0</v>
      </c>
      <c r="L33" s="74">
        <v>2303</v>
      </c>
      <c r="M33" s="75">
        <v>16231.28</v>
      </c>
      <c r="N33" s="75">
        <v>2865.9</v>
      </c>
      <c r="O33" s="79">
        <f t="shared" si="0"/>
        <v>102486.39380469998</v>
      </c>
    </row>
    <row r="34" spans="1:15" ht="13.5" hidden="1">
      <c r="A34" s="71" t="s">
        <v>62</v>
      </c>
      <c r="B34" s="86" t="s">
        <v>108</v>
      </c>
      <c r="C34" s="78">
        <v>13026</v>
      </c>
      <c r="D34" s="73">
        <v>142610.1942351</v>
      </c>
      <c r="E34" s="73">
        <v>0</v>
      </c>
      <c r="F34" s="73">
        <v>430894.95087399997</v>
      </c>
      <c r="G34" s="74">
        <v>176805.1313865</v>
      </c>
      <c r="H34" s="74">
        <v>1305</v>
      </c>
      <c r="I34" s="74">
        <v>136150.09</v>
      </c>
      <c r="J34" s="74">
        <v>20513.939999999999</v>
      </c>
      <c r="K34" s="74">
        <v>0</v>
      </c>
      <c r="L34" s="74">
        <v>11970</v>
      </c>
      <c r="M34" s="75">
        <v>64442.27</v>
      </c>
      <c r="N34" s="75">
        <v>10710.96</v>
      </c>
      <c r="O34" s="79">
        <f t="shared" si="0"/>
        <v>995402.5364955999</v>
      </c>
    </row>
    <row r="35" spans="1:15" ht="13.5" hidden="1">
      <c r="A35" s="71" t="s">
        <v>63</v>
      </c>
      <c r="B35" s="86" t="s">
        <v>109</v>
      </c>
      <c r="C35" s="78">
        <v>10190</v>
      </c>
      <c r="D35" s="73">
        <v>0</v>
      </c>
      <c r="E35" s="73">
        <v>0</v>
      </c>
      <c r="F35" s="73">
        <v>3877.9570656000001</v>
      </c>
      <c r="G35" s="74">
        <v>58478.79</v>
      </c>
      <c r="H35" s="74">
        <v>0</v>
      </c>
      <c r="I35" s="74">
        <v>79434</v>
      </c>
      <c r="J35" s="74">
        <v>0</v>
      </c>
      <c r="K35" s="74">
        <v>0</v>
      </c>
      <c r="L35" s="74">
        <v>0</v>
      </c>
      <c r="M35" s="75">
        <v>601.59</v>
      </c>
      <c r="N35" s="75">
        <v>0</v>
      </c>
      <c r="O35" s="79">
        <f t="shared" si="0"/>
        <v>142392.3370656</v>
      </c>
    </row>
    <row r="36" spans="1:15" ht="13.5" hidden="1">
      <c r="A36" s="71" t="s">
        <v>64</v>
      </c>
      <c r="B36" s="86" t="s">
        <v>110</v>
      </c>
      <c r="C36" s="78">
        <v>10179</v>
      </c>
      <c r="D36" s="73">
        <v>23065.575465599999</v>
      </c>
      <c r="E36" s="73">
        <v>0</v>
      </c>
      <c r="F36" s="73">
        <v>48996.480394899998</v>
      </c>
      <c r="G36" s="74">
        <v>21063.677963399998</v>
      </c>
      <c r="H36" s="74">
        <v>580</v>
      </c>
      <c r="I36" s="74">
        <v>25509.17</v>
      </c>
      <c r="J36" s="74">
        <v>10076.700000000001</v>
      </c>
      <c r="K36" s="74">
        <v>1275.46</v>
      </c>
      <c r="L36" s="74">
        <v>3932</v>
      </c>
      <c r="M36" s="75">
        <v>12876.25</v>
      </c>
      <c r="N36" s="75">
        <v>1853.1</v>
      </c>
      <c r="O36" s="79">
        <f t="shared" si="0"/>
        <v>149228.41382390002</v>
      </c>
    </row>
    <row r="37" spans="1:15" ht="13.5" hidden="1">
      <c r="A37" s="71" t="s">
        <v>65</v>
      </c>
      <c r="B37" s="86" t="s">
        <v>111</v>
      </c>
      <c r="C37" s="78">
        <v>13024</v>
      </c>
      <c r="D37" s="73">
        <v>0</v>
      </c>
      <c r="E37" s="73">
        <v>0</v>
      </c>
      <c r="F37" s="73">
        <f>2629.3765522+245.28</f>
        <v>2874.6565522000001</v>
      </c>
      <c r="G37" s="74">
        <v>7388.7566458000001</v>
      </c>
      <c r="H37" s="74">
        <v>0</v>
      </c>
      <c r="I37" s="74">
        <v>-398.55</v>
      </c>
      <c r="J37" s="74">
        <v>6576.64</v>
      </c>
      <c r="K37" s="74">
        <v>0</v>
      </c>
      <c r="L37" s="74">
        <v>0</v>
      </c>
      <c r="M37" s="75">
        <v>14217.85</v>
      </c>
      <c r="N37" s="75">
        <v>-405</v>
      </c>
      <c r="O37" s="79">
        <f t="shared" si="0"/>
        <v>30254.353198000004</v>
      </c>
    </row>
    <row r="38" spans="1:15" ht="13.5" hidden="1">
      <c r="A38" s="71" t="s">
        <v>66</v>
      </c>
      <c r="B38" s="86" t="s">
        <v>112</v>
      </c>
      <c r="C38" s="78">
        <v>13185</v>
      </c>
      <c r="D38" s="73">
        <v>16479.345037499999</v>
      </c>
      <c r="E38" s="73">
        <v>0</v>
      </c>
      <c r="F38" s="73">
        <v>67955.500715800008</v>
      </c>
      <c r="G38" s="74">
        <v>41370.573608800005</v>
      </c>
      <c r="H38" s="74">
        <v>342</v>
      </c>
      <c r="I38" s="74">
        <v>24249.89</v>
      </c>
      <c r="J38" s="74">
        <v>3341.5</v>
      </c>
      <c r="K38" s="74">
        <v>1822</v>
      </c>
      <c r="L38" s="74">
        <v>6881</v>
      </c>
      <c r="M38" s="75">
        <v>28598.21</v>
      </c>
      <c r="N38" s="75">
        <v>3598.28</v>
      </c>
      <c r="O38" s="79">
        <f t="shared" si="0"/>
        <v>194638.29936210002</v>
      </c>
    </row>
    <row r="39" spans="1:15" ht="13.5" hidden="1">
      <c r="A39" s="71" t="s">
        <v>67</v>
      </c>
      <c r="B39" s="86" t="s">
        <v>113</v>
      </c>
      <c r="C39" s="78">
        <v>11643</v>
      </c>
      <c r="D39" s="73">
        <v>52270.279579599999</v>
      </c>
      <c r="E39" s="73">
        <v>0</v>
      </c>
      <c r="F39" s="73">
        <v>181377.56113700001</v>
      </c>
      <c r="G39" s="74">
        <v>104106.33562310002</v>
      </c>
      <c r="H39" s="74">
        <v>975</v>
      </c>
      <c r="I39" s="74">
        <v>46901.82</v>
      </c>
      <c r="J39" s="74">
        <v>9703.27</v>
      </c>
      <c r="K39" s="74">
        <v>0</v>
      </c>
      <c r="L39" s="74">
        <v>5886</v>
      </c>
      <c r="M39" s="75">
        <v>41584.07</v>
      </c>
      <c r="N39" s="75">
        <v>3924.72</v>
      </c>
      <c r="O39" s="79">
        <f t="shared" si="0"/>
        <v>446729.05633970001</v>
      </c>
    </row>
    <row r="40" spans="1:15" ht="13.5" hidden="1">
      <c r="A40" s="81" t="s">
        <v>68</v>
      </c>
      <c r="B40" s="86" t="s">
        <v>114</v>
      </c>
      <c r="C40" s="78">
        <v>11640</v>
      </c>
      <c r="D40" s="73">
        <v>50782.214467099999</v>
      </c>
      <c r="E40" s="73">
        <v>0</v>
      </c>
      <c r="F40" s="73">
        <v>243448.07466180003</v>
      </c>
      <c r="G40" s="74">
        <v>99492.735629400006</v>
      </c>
      <c r="H40" s="74">
        <v>804.92</v>
      </c>
      <c r="I40" s="74">
        <v>47469.75</v>
      </c>
      <c r="J40" s="74">
        <v>15524.28</v>
      </c>
      <c r="K40" s="74">
        <v>94</v>
      </c>
      <c r="L40" s="74">
        <v>11970</v>
      </c>
      <c r="M40" s="75">
        <v>60879.75</v>
      </c>
      <c r="N40" s="75">
        <v>10131.549999999999</v>
      </c>
      <c r="O40" s="79">
        <f t="shared" si="0"/>
        <v>540597.27475830005</v>
      </c>
    </row>
    <row r="41" spans="1:15" ht="13.5" hidden="1">
      <c r="A41" s="71" t="s">
        <v>69</v>
      </c>
      <c r="B41" s="86" t="s">
        <v>115</v>
      </c>
      <c r="C41" s="78">
        <v>13193</v>
      </c>
      <c r="D41" s="73">
        <v>41486.627831099999</v>
      </c>
      <c r="E41" s="73">
        <v>0</v>
      </c>
      <c r="F41" s="73">
        <f>150173.8304146+502.56</f>
        <v>150676.3904146</v>
      </c>
      <c r="G41" s="74">
        <v>72888.099787399988</v>
      </c>
      <c r="H41" s="74">
        <v>1635</v>
      </c>
      <c r="I41" s="74">
        <v>37041.01</v>
      </c>
      <c r="J41" s="74">
        <v>12069.47</v>
      </c>
      <c r="K41" s="74">
        <v>0</v>
      </c>
      <c r="L41" s="74">
        <v>8847</v>
      </c>
      <c r="M41" s="75">
        <f>31424.34+10300</f>
        <v>41724.339999999997</v>
      </c>
      <c r="N41" s="75">
        <v>4689.18</v>
      </c>
      <c r="O41" s="79">
        <f t="shared" si="0"/>
        <v>371057.11803309998</v>
      </c>
    </row>
    <row r="42" spans="1:15" ht="13.5" hidden="1">
      <c r="A42" s="71" t="s">
        <v>70</v>
      </c>
      <c r="B42" s="86" t="s">
        <v>116</v>
      </c>
      <c r="C42" s="78">
        <v>13024</v>
      </c>
      <c r="D42" s="73">
        <v>26487.7891624</v>
      </c>
      <c r="E42" s="73">
        <v>0</v>
      </c>
      <c r="F42" s="73">
        <v>9313.6066787999989</v>
      </c>
      <c r="G42" s="74">
        <v>-40738.061563899995</v>
      </c>
      <c r="H42" s="74">
        <v>0</v>
      </c>
      <c r="I42" s="74">
        <v>6428.37</v>
      </c>
      <c r="J42" s="74">
        <v>0</v>
      </c>
      <c r="K42" s="74">
        <v>0</v>
      </c>
      <c r="L42" s="74">
        <v>0</v>
      </c>
      <c r="M42" s="75">
        <v>-1087.6600000000001</v>
      </c>
      <c r="N42" s="75">
        <v>-518.54999999999995</v>
      </c>
      <c r="O42" s="79">
        <f t="shared" si="0"/>
        <v>-114.50572269999611</v>
      </c>
    </row>
    <row r="43" spans="1:15" ht="13.5" hidden="1">
      <c r="A43" s="71" t="s">
        <v>71</v>
      </c>
      <c r="B43" s="86" t="s">
        <v>117</v>
      </c>
      <c r="C43" s="78">
        <v>213488</v>
      </c>
      <c r="D43" s="73">
        <v>0</v>
      </c>
      <c r="E43" s="73">
        <v>0</v>
      </c>
      <c r="F43" s="73">
        <v>0</v>
      </c>
      <c r="G43" s="74">
        <v>-35141.488172799996</v>
      </c>
      <c r="H43" s="74">
        <v>0</v>
      </c>
      <c r="I43" s="74">
        <v>0</v>
      </c>
      <c r="J43" s="74">
        <v>0</v>
      </c>
      <c r="K43" s="74">
        <v>0</v>
      </c>
      <c r="L43" s="74">
        <v>0</v>
      </c>
      <c r="M43" s="75">
        <v>0</v>
      </c>
      <c r="N43" s="75">
        <v>0</v>
      </c>
      <c r="O43" s="79">
        <f t="shared" si="0"/>
        <v>-35141.488172799996</v>
      </c>
    </row>
    <row r="44" spans="1:15" ht="13.5" hidden="1">
      <c r="A44" s="81" t="s">
        <v>72</v>
      </c>
      <c r="B44" s="86" t="s">
        <v>118</v>
      </c>
      <c r="C44" s="78">
        <v>13150</v>
      </c>
      <c r="D44" s="73">
        <v>27659.896821899998</v>
      </c>
      <c r="E44" s="73">
        <v>0</v>
      </c>
      <c r="F44" s="73">
        <v>165084.86679</v>
      </c>
      <c r="G44" s="74">
        <v>64962.869157399982</v>
      </c>
      <c r="H44" s="74">
        <v>0</v>
      </c>
      <c r="I44" s="74">
        <v>25551</v>
      </c>
      <c r="J44" s="74">
        <v>11038.12</v>
      </c>
      <c r="K44" s="74">
        <v>109</v>
      </c>
      <c r="L44" s="74">
        <v>11970</v>
      </c>
      <c r="M44" s="75">
        <v>51119.360000000001</v>
      </c>
      <c r="N44" s="75">
        <v>6744.78</v>
      </c>
      <c r="O44" s="79">
        <f t="shared" si="0"/>
        <v>364239.89276930003</v>
      </c>
    </row>
    <row r="45" spans="1:15" ht="13.5" hidden="1">
      <c r="A45" s="71" t="s">
        <v>73</v>
      </c>
      <c r="B45" s="86" t="s">
        <v>119</v>
      </c>
      <c r="C45" s="78">
        <v>12633</v>
      </c>
      <c r="D45" s="73">
        <v>0</v>
      </c>
      <c r="E45" s="73">
        <v>0</v>
      </c>
      <c r="F45" s="73">
        <v>0</v>
      </c>
      <c r="G45" s="82">
        <v>-6194.25</v>
      </c>
      <c r="H45" s="82">
        <v>0</v>
      </c>
      <c r="I45" s="82">
        <v>0</v>
      </c>
      <c r="J45" s="82">
        <v>0</v>
      </c>
      <c r="K45" s="82">
        <v>0</v>
      </c>
      <c r="L45" s="82">
        <v>0</v>
      </c>
      <c r="M45" s="75">
        <v>0</v>
      </c>
      <c r="N45" s="75">
        <v>0</v>
      </c>
      <c r="O45" s="79">
        <f t="shared" si="0"/>
        <v>-6194.25</v>
      </c>
    </row>
    <row r="46" spans="1:15" ht="13.5" hidden="1">
      <c r="A46" s="71" t="s">
        <v>74</v>
      </c>
      <c r="B46" s="86" t="s">
        <v>120</v>
      </c>
      <c r="C46" s="78">
        <v>213488</v>
      </c>
      <c r="D46" s="73">
        <v>133457.41</v>
      </c>
      <c r="E46" s="73">
        <v>0</v>
      </c>
      <c r="F46" s="73">
        <v>323471.56</v>
      </c>
      <c r="G46" s="82">
        <v>69070.509999999995</v>
      </c>
      <c r="H46" s="82">
        <v>0</v>
      </c>
      <c r="I46" s="82">
        <v>124824.06</v>
      </c>
      <c r="J46" s="82">
        <v>0</v>
      </c>
      <c r="K46" s="82">
        <v>0</v>
      </c>
      <c r="L46" s="82">
        <v>8847</v>
      </c>
      <c r="M46" s="75">
        <v>34674.199999999997</v>
      </c>
      <c r="N46" s="75">
        <v>7567.45</v>
      </c>
      <c r="O46" s="79">
        <f t="shared" si="0"/>
        <v>701912.19</v>
      </c>
    </row>
    <row r="47" spans="1:15" ht="12.75" hidden="1" thickBot="1">
      <c r="A47" s="83"/>
      <c r="C47" s="83"/>
      <c r="D47" s="84">
        <f t="shared" ref="D47:O47" si="1">SUM(D3:D46)</f>
        <v>1265361.3836763997</v>
      </c>
      <c r="E47" s="84">
        <f t="shared" si="1"/>
        <v>929374.10999999987</v>
      </c>
      <c r="F47" s="84">
        <f t="shared" si="1"/>
        <v>4520189.4498795997</v>
      </c>
      <c r="G47" s="84">
        <f t="shared" si="1"/>
        <v>876289.57369240001</v>
      </c>
      <c r="H47" s="84">
        <f t="shared" si="1"/>
        <v>17887.57</v>
      </c>
      <c r="I47" s="84">
        <f t="shared" si="1"/>
        <v>1274874.3700000001</v>
      </c>
      <c r="J47" s="84">
        <f t="shared" si="1"/>
        <v>245525.93999999997</v>
      </c>
      <c r="K47" s="84">
        <f t="shared" si="1"/>
        <v>7337.46</v>
      </c>
      <c r="L47" s="84">
        <f t="shared" si="1"/>
        <v>171015</v>
      </c>
      <c r="M47" s="84">
        <f t="shared" si="1"/>
        <v>1009420.5499999998</v>
      </c>
      <c r="N47" s="84">
        <f t="shared" si="1"/>
        <v>140780.96000000005</v>
      </c>
      <c r="O47" s="85">
        <f t="shared" si="1"/>
        <v>10458056.367248399</v>
      </c>
    </row>
    <row r="48" spans="1:15" ht="12.75" hidden="1" thickTop="1">
      <c r="D48" s="87"/>
    </row>
    <row r="49" spans="1:15">
      <c r="A49" s="86" t="s">
        <v>75</v>
      </c>
    </row>
    <row r="51" spans="1:15">
      <c r="A51" s="62"/>
      <c r="B51" s="62"/>
      <c r="C51" s="62"/>
      <c r="D51" s="63" t="s">
        <v>11</v>
      </c>
      <c r="E51" s="64" t="s">
        <v>12</v>
      </c>
      <c r="F51" s="63" t="s">
        <v>13</v>
      </c>
      <c r="G51" s="65" t="s">
        <v>14</v>
      </c>
      <c r="H51" s="65" t="s">
        <v>15</v>
      </c>
      <c r="I51" s="65" t="s">
        <v>15</v>
      </c>
      <c r="J51" s="65" t="s">
        <v>15</v>
      </c>
      <c r="K51" s="65" t="s">
        <v>15</v>
      </c>
      <c r="L51" s="65" t="s">
        <v>15</v>
      </c>
      <c r="M51" s="63" t="s">
        <v>16</v>
      </c>
      <c r="N51" s="63" t="s">
        <v>17</v>
      </c>
      <c r="O51" s="64"/>
    </row>
    <row r="52" spans="1:15">
      <c r="A52" s="66" t="s">
        <v>18</v>
      </c>
      <c r="B52" s="67" t="s">
        <v>76</v>
      </c>
      <c r="C52" s="67" t="s">
        <v>19</v>
      </c>
      <c r="D52" s="68" t="s">
        <v>20</v>
      </c>
      <c r="E52" s="67" t="s">
        <v>21</v>
      </c>
      <c r="F52" s="68" t="s">
        <v>22</v>
      </c>
      <c r="G52" s="69" t="s">
        <v>23</v>
      </c>
      <c r="H52" s="69" t="s">
        <v>24</v>
      </c>
      <c r="I52" s="69" t="s">
        <v>25</v>
      </c>
      <c r="J52" s="69" t="s">
        <v>26</v>
      </c>
      <c r="K52" s="69" t="s">
        <v>27</v>
      </c>
      <c r="L52" s="69" t="s">
        <v>28</v>
      </c>
      <c r="M52" s="68" t="s">
        <v>29</v>
      </c>
      <c r="N52" s="68" t="s">
        <v>30</v>
      </c>
      <c r="O52" s="68" t="s">
        <v>9</v>
      </c>
    </row>
    <row r="53" spans="1:15" ht="13.5">
      <c r="A53" s="71" t="s">
        <v>31</v>
      </c>
      <c r="B53" s="90" t="s">
        <v>77</v>
      </c>
      <c r="C53" s="72">
        <v>10069</v>
      </c>
      <c r="D53" s="73">
        <v>0</v>
      </c>
      <c r="E53" s="73">
        <v>0</v>
      </c>
      <c r="F53" s="319">
        <v>0</v>
      </c>
      <c r="G53" s="74">
        <v>-3256.7127897</v>
      </c>
      <c r="H53" s="74">
        <v>0</v>
      </c>
      <c r="I53" s="74">
        <v>0</v>
      </c>
      <c r="J53" s="74">
        <v>0</v>
      </c>
      <c r="K53" s="74">
        <v>0</v>
      </c>
      <c r="L53" s="74">
        <v>0</v>
      </c>
      <c r="M53" s="75">
        <v>0</v>
      </c>
      <c r="N53" s="75">
        <v>0</v>
      </c>
      <c r="O53" s="76">
        <f t="shared" ref="O53:O88" si="2">SUM(D53:N53)</f>
        <v>-3256.7127897</v>
      </c>
    </row>
    <row r="54" spans="1:15" ht="13.5">
      <c r="A54" s="71" t="s">
        <v>64</v>
      </c>
      <c r="B54" s="90" t="s">
        <v>110</v>
      </c>
      <c r="C54" s="78">
        <v>10179</v>
      </c>
      <c r="D54" s="73">
        <v>23065.575465599999</v>
      </c>
      <c r="E54" s="73">
        <v>0</v>
      </c>
      <c r="F54" s="319">
        <v>48996.480394899998</v>
      </c>
      <c r="G54" s="74">
        <v>21063.677963399998</v>
      </c>
      <c r="H54" s="74">
        <v>580</v>
      </c>
      <c r="I54" s="74">
        <v>25509.17</v>
      </c>
      <c r="J54" s="74">
        <v>10076.700000000001</v>
      </c>
      <c r="K54" s="74">
        <v>1275.46</v>
      </c>
      <c r="L54" s="74">
        <v>3932</v>
      </c>
      <c r="M54" s="75">
        <v>12876.25</v>
      </c>
      <c r="N54" s="75">
        <v>1853.1</v>
      </c>
      <c r="O54" s="79">
        <f t="shared" si="2"/>
        <v>149228.41382390002</v>
      </c>
    </row>
    <row r="55" spans="1:15" ht="13.5">
      <c r="A55" s="71" t="s">
        <v>45</v>
      </c>
      <c r="B55" s="90" t="s">
        <v>91</v>
      </c>
      <c r="C55" s="78">
        <v>10190</v>
      </c>
      <c r="D55" s="73">
        <v>0</v>
      </c>
      <c r="E55" s="73">
        <v>0</v>
      </c>
      <c r="F55" s="319">
        <v>0</v>
      </c>
      <c r="G55" s="74">
        <v>-129835.52582020001</v>
      </c>
      <c r="H55" s="74">
        <v>0</v>
      </c>
      <c r="I55" s="74">
        <v>0</v>
      </c>
      <c r="J55" s="74">
        <v>0</v>
      </c>
      <c r="K55" s="74">
        <v>0</v>
      </c>
      <c r="L55" s="74">
        <v>0</v>
      </c>
      <c r="M55" s="75">
        <v>0</v>
      </c>
      <c r="N55" s="75">
        <v>0</v>
      </c>
      <c r="O55" s="79">
        <f t="shared" si="2"/>
        <v>-129835.52582020001</v>
      </c>
    </row>
    <row r="56" spans="1:15" ht="13.5">
      <c r="A56" s="71" t="s">
        <v>63</v>
      </c>
      <c r="B56" s="90" t="s">
        <v>109</v>
      </c>
      <c r="C56" s="78">
        <v>10190</v>
      </c>
      <c r="D56" s="73">
        <v>0</v>
      </c>
      <c r="E56" s="73">
        <v>0</v>
      </c>
      <c r="F56" s="319">
        <v>3877.9570656000001</v>
      </c>
      <c r="G56" s="74">
        <v>58478.79</v>
      </c>
      <c r="H56" s="74">
        <v>0</v>
      </c>
      <c r="I56" s="74">
        <v>79434</v>
      </c>
      <c r="J56" s="74">
        <v>0</v>
      </c>
      <c r="K56" s="74">
        <v>0</v>
      </c>
      <c r="L56" s="74">
        <v>0</v>
      </c>
      <c r="M56" s="75">
        <v>601.59</v>
      </c>
      <c r="N56" s="75">
        <v>0</v>
      </c>
      <c r="O56" s="79">
        <f t="shared" si="2"/>
        <v>142392.3370656</v>
      </c>
    </row>
    <row r="57" spans="1:15" ht="13.5">
      <c r="A57" s="71" t="s">
        <v>47</v>
      </c>
      <c r="B57" s="90" t="s">
        <v>93</v>
      </c>
      <c r="C57" s="78">
        <v>11131</v>
      </c>
      <c r="D57" s="73">
        <v>-4067</v>
      </c>
      <c r="E57" s="73">
        <v>0</v>
      </c>
      <c r="F57" s="319">
        <v>0</v>
      </c>
      <c r="G57" s="74">
        <v>-3357.9437824000001</v>
      </c>
      <c r="H57" s="75">
        <v>0</v>
      </c>
      <c r="I57" s="75">
        <v>0</v>
      </c>
      <c r="J57" s="75">
        <v>0</v>
      </c>
      <c r="K57" s="75">
        <v>0</v>
      </c>
      <c r="L57" s="75">
        <v>0</v>
      </c>
      <c r="M57" s="75">
        <v>0</v>
      </c>
      <c r="N57" s="75">
        <v>0</v>
      </c>
      <c r="O57" s="79">
        <f t="shared" si="2"/>
        <v>-7424.9437823999997</v>
      </c>
    </row>
    <row r="58" spans="1:15" ht="13.5">
      <c r="A58" s="71" t="s">
        <v>61</v>
      </c>
      <c r="B58" s="90" t="s">
        <v>107</v>
      </c>
      <c r="C58" s="78">
        <v>11622</v>
      </c>
      <c r="D58" s="73">
        <v>5199.5178824999994</v>
      </c>
      <c r="E58" s="73">
        <v>0</v>
      </c>
      <c r="F58" s="319">
        <f>50284.5095691+217.46</f>
        <v>50501.969569100002</v>
      </c>
      <c r="G58" s="74">
        <v>19871.326353100001</v>
      </c>
      <c r="H58" s="74">
        <v>1254.9000000000001</v>
      </c>
      <c r="I58" s="74">
        <v>4258.5</v>
      </c>
      <c r="J58" s="74">
        <v>0</v>
      </c>
      <c r="K58" s="74">
        <v>0</v>
      </c>
      <c r="L58" s="74">
        <v>2303</v>
      </c>
      <c r="M58" s="75">
        <v>16231.28</v>
      </c>
      <c r="N58" s="75">
        <v>2865.9</v>
      </c>
      <c r="O58" s="79">
        <f t="shared" si="2"/>
        <v>102486.39380469998</v>
      </c>
    </row>
    <row r="59" spans="1:15" ht="13.5">
      <c r="A59" s="71" t="s">
        <v>67</v>
      </c>
      <c r="B59" s="90" t="s">
        <v>113</v>
      </c>
      <c r="C59" s="78">
        <v>11643</v>
      </c>
      <c r="D59" s="73">
        <v>52270.279579599999</v>
      </c>
      <c r="E59" s="73">
        <v>0</v>
      </c>
      <c r="F59" s="319">
        <v>181377.56113700001</v>
      </c>
      <c r="G59" s="74">
        <v>104106.33562310002</v>
      </c>
      <c r="H59" s="74">
        <v>975</v>
      </c>
      <c r="I59" s="74">
        <v>46901.82</v>
      </c>
      <c r="J59" s="74">
        <v>9703.27</v>
      </c>
      <c r="K59" s="74">
        <v>0</v>
      </c>
      <c r="L59" s="74">
        <v>5886</v>
      </c>
      <c r="M59" s="75">
        <v>41584.07</v>
      </c>
      <c r="N59" s="75">
        <v>3924.72</v>
      </c>
      <c r="O59" s="79">
        <f t="shared" si="2"/>
        <v>446729.05633970001</v>
      </c>
    </row>
    <row r="60" spans="1:15" ht="13.5">
      <c r="A60" s="71" t="s">
        <v>44</v>
      </c>
      <c r="B60" s="90" t="s">
        <v>90</v>
      </c>
      <c r="C60" s="78">
        <v>11648</v>
      </c>
      <c r="D60" s="73">
        <v>0</v>
      </c>
      <c r="E60" s="73">
        <v>0</v>
      </c>
      <c r="F60" s="319">
        <v>0</v>
      </c>
      <c r="G60" s="74">
        <v>-11349.22</v>
      </c>
      <c r="H60" s="74">
        <v>0</v>
      </c>
      <c r="I60" s="74">
        <v>-11321.61</v>
      </c>
      <c r="J60" s="74">
        <v>0</v>
      </c>
      <c r="K60" s="74">
        <v>0</v>
      </c>
      <c r="L60" s="74">
        <v>0</v>
      </c>
      <c r="M60" s="75">
        <v>27282.09</v>
      </c>
      <c r="N60" s="75">
        <v>0</v>
      </c>
      <c r="O60" s="79">
        <f t="shared" si="2"/>
        <v>4611.2599999999984</v>
      </c>
    </row>
    <row r="61" spans="1:15" ht="13.5">
      <c r="A61" s="71" t="s">
        <v>42</v>
      </c>
      <c r="B61" s="90" t="s">
        <v>88</v>
      </c>
      <c r="C61" s="78">
        <v>11650</v>
      </c>
      <c r="D61" s="73">
        <v>0</v>
      </c>
      <c r="E61" s="73">
        <v>0</v>
      </c>
      <c r="F61" s="319">
        <v>0</v>
      </c>
      <c r="G61" s="74">
        <v>-7406.23</v>
      </c>
      <c r="H61" s="74">
        <v>0</v>
      </c>
      <c r="I61" s="74">
        <v>0</v>
      </c>
      <c r="J61" s="74">
        <v>0</v>
      </c>
      <c r="K61" s="74">
        <v>0</v>
      </c>
      <c r="L61" s="74">
        <v>0</v>
      </c>
      <c r="M61" s="75">
        <v>0</v>
      </c>
      <c r="N61" s="75">
        <v>0</v>
      </c>
      <c r="O61" s="79">
        <f t="shared" si="2"/>
        <v>-7406.23</v>
      </c>
    </row>
    <row r="62" spans="1:15" ht="13.5">
      <c r="A62" s="71" t="s">
        <v>54</v>
      </c>
      <c r="B62" s="91" t="s">
        <v>100</v>
      </c>
      <c r="C62" s="80">
        <v>11650</v>
      </c>
      <c r="D62" s="73">
        <v>0</v>
      </c>
      <c r="E62" s="73">
        <v>0</v>
      </c>
      <c r="F62" s="319">
        <v>-5206.0754399999996</v>
      </c>
      <c r="G62" s="74">
        <v>-19889.867761600002</v>
      </c>
      <c r="H62" s="74">
        <v>0</v>
      </c>
      <c r="I62" s="74">
        <v>0</v>
      </c>
      <c r="J62" s="74">
        <v>0</v>
      </c>
      <c r="K62" s="74">
        <v>0</v>
      </c>
      <c r="L62" s="74">
        <v>0</v>
      </c>
      <c r="M62" s="73">
        <v>0</v>
      </c>
      <c r="N62" s="73">
        <v>0</v>
      </c>
      <c r="O62" s="79">
        <f t="shared" si="2"/>
        <v>-25095.943201600003</v>
      </c>
    </row>
    <row r="63" spans="1:15" ht="13.5">
      <c r="A63" s="71" t="s">
        <v>50</v>
      </c>
      <c r="B63" s="90" t="s">
        <v>96</v>
      </c>
      <c r="C63" s="78">
        <v>11654</v>
      </c>
      <c r="D63" s="73">
        <v>25088.806411899997</v>
      </c>
      <c r="E63" s="73">
        <v>0</v>
      </c>
      <c r="F63" s="319">
        <f>130553.0333167+485.78</f>
        <v>131038.81331670001</v>
      </c>
      <c r="G63" s="74">
        <v>60718.16338670002</v>
      </c>
      <c r="H63" s="74">
        <v>1200</v>
      </c>
      <c r="I63" s="74">
        <v>22945.8</v>
      </c>
      <c r="J63" s="74">
        <v>7239.6</v>
      </c>
      <c r="K63" s="74">
        <v>0</v>
      </c>
      <c r="L63" s="74">
        <v>2961</v>
      </c>
      <c r="M63" s="75">
        <v>33341.61</v>
      </c>
      <c r="N63" s="75">
        <v>5220.24</v>
      </c>
      <c r="O63" s="79">
        <f t="shared" si="2"/>
        <v>289754.0331153</v>
      </c>
    </row>
    <row r="64" spans="1:15" ht="13.5">
      <c r="A64" s="71" t="s">
        <v>35</v>
      </c>
      <c r="B64" s="90" t="s">
        <v>81</v>
      </c>
      <c r="C64" s="78">
        <v>11690</v>
      </c>
      <c r="D64" s="73">
        <v>52455.903578799996</v>
      </c>
      <c r="E64" s="73">
        <v>236168.52</v>
      </c>
      <c r="F64" s="319">
        <v>235486.16332260001</v>
      </c>
      <c r="G64" s="74">
        <v>59169.615196999992</v>
      </c>
      <c r="H64" s="74">
        <v>1547</v>
      </c>
      <c r="I64" s="74">
        <v>49756.7</v>
      </c>
      <c r="J64" s="74">
        <v>14515</v>
      </c>
      <c r="K64" s="74">
        <v>3797</v>
      </c>
      <c r="L64" s="74">
        <v>11970</v>
      </c>
      <c r="M64" s="75">
        <v>56849.22</v>
      </c>
      <c r="N64" s="75">
        <v>7728</v>
      </c>
      <c r="O64" s="79">
        <f t="shared" si="2"/>
        <v>729443.12209839991</v>
      </c>
    </row>
    <row r="65" spans="1:15" ht="13.5">
      <c r="A65" s="71" t="s">
        <v>73</v>
      </c>
      <c r="B65" s="90" t="s">
        <v>119</v>
      </c>
      <c r="C65" s="78">
        <v>12633</v>
      </c>
      <c r="D65" s="73">
        <v>0</v>
      </c>
      <c r="E65" s="73">
        <v>0</v>
      </c>
      <c r="F65" s="319">
        <v>0</v>
      </c>
      <c r="G65" s="82">
        <v>-6194.25</v>
      </c>
      <c r="H65" s="82">
        <v>0</v>
      </c>
      <c r="I65" s="82">
        <v>0</v>
      </c>
      <c r="J65" s="82">
        <v>0</v>
      </c>
      <c r="K65" s="82">
        <v>0</v>
      </c>
      <c r="L65" s="82">
        <v>0</v>
      </c>
      <c r="M65" s="75">
        <v>0</v>
      </c>
      <c r="N65" s="75">
        <v>0</v>
      </c>
      <c r="O65" s="79">
        <f t="shared" si="2"/>
        <v>-6194.25</v>
      </c>
    </row>
    <row r="66" spans="1:15" ht="13.5">
      <c r="A66" s="71" t="s">
        <v>57</v>
      </c>
      <c r="B66" s="91" t="s">
        <v>103</v>
      </c>
      <c r="C66" s="80">
        <v>12634</v>
      </c>
      <c r="D66" s="73">
        <v>30691.228953799997</v>
      </c>
      <c r="E66" s="73">
        <v>0</v>
      </c>
      <c r="F66" s="319">
        <v>63444.503760199994</v>
      </c>
      <c r="G66" s="74">
        <v>-39621.07170830002</v>
      </c>
      <c r="H66" s="74">
        <v>273</v>
      </c>
      <c r="I66" s="74">
        <v>34680.22</v>
      </c>
      <c r="J66" s="74">
        <v>537.46</v>
      </c>
      <c r="K66" s="74">
        <v>0</v>
      </c>
      <c r="L66" s="74">
        <v>987</v>
      </c>
      <c r="M66" s="73">
        <v>4940.3900000000003</v>
      </c>
      <c r="N66" s="73">
        <v>1633.44</v>
      </c>
      <c r="O66" s="79">
        <f t="shared" si="2"/>
        <v>97566.171005699973</v>
      </c>
    </row>
    <row r="67" spans="1:15" ht="13.5">
      <c r="A67" s="71" t="s">
        <v>43</v>
      </c>
      <c r="B67" s="90" t="s">
        <v>89</v>
      </c>
      <c r="C67" s="78">
        <v>13020</v>
      </c>
      <c r="D67" s="73">
        <v>0</v>
      </c>
      <c r="E67" s="73">
        <v>0</v>
      </c>
      <c r="F67" s="319">
        <v>1070.8886832000001</v>
      </c>
      <c r="G67" s="74">
        <v>-24606.134999999998</v>
      </c>
      <c r="H67" s="74">
        <v>0</v>
      </c>
      <c r="I67" s="74">
        <v>0</v>
      </c>
      <c r="J67" s="74">
        <v>0</v>
      </c>
      <c r="K67" s="74">
        <v>0</v>
      </c>
      <c r="L67" s="74">
        <v>0</v>
      </c>
      <c r="M67" s="75">
        <v>0</v>
      </c>
      <c r="N67" s="75">
        <v>0</v>
      </c>
      <c r="O67" s="79">
        <f t="shared" si="2"/>
        <v>-23535.246316799999</v>
      </c>
    </row>
    <row r="68" spans="1:15" ht="13.5">
      <c r="A68" s="71" t="s">
        <v>49</v>
      </c>
      <c r="B68" s="90" t="s">
        <v>95</v>
      </c>
      <c r="C68" s="78">
        <v>13023</v>
      </c>
      <c r="D68" s="73">
        <v>188945.62354609999</v>
      </c>
      <c r="E68" s="73">
        <v>375821.04</v>
      </c>
      <c r="F68" s="319">
        <v>594478.85867869994</v>
      </c>
      <c r="G68" s="74">
        <v>-35933.173835899986</v>
      </c>
      <c r="H68" s="74">
        <v>0</v>
      </c>
      <c r="I68" s="74">
        <v>167912</v>
      </c>
      <c r="J68" s="74">
        <v>0</v>
      </c>
      <c r="K68" s="74">
        <v>0</v>
      </c>
      <c r="L68" s="74">
        <v>7962</v>
      </c>
      <c r="M68" s="75">
        <f>82940.6+54800</f>
        <v>137740.6</v>
      </c>
      <c r="N68" s="75">
        <v>10710.15</v>
      </c>
      <c r="O68" s="79">
        <f t="shared" si="2"/>
        <v>1447637.0983889</v>
      </c>
    </row>
    <row r="69" spans="1:15" ht="13.5">
      <c r="A69" s="71" t="s">
        <v>65</v>
      </c>
      <c r="B69" s="90" t="s">
        <v>111</v>
      </c>
      <c r="C69" s="78">
        <v>13024</v>
      </c>
      <c r="D69" s="73">
        <v>0</v>
      </c>
      <c r="E69" s="73">
        <v>0</v>
      </c>
      <c r="F69" s="319">
        <f>2629.3765522+245.28</f>
        <v>2874.6565522000001</v>
      </c>
      <c r="G69" s="74">
        <v>7388.7566458000001</v>
      </c>
      <c r="H69" s="74">
        <v>0</v>
      </c>
      <c r="I69" s="74">
        <v>-398.55</v>
      </c>
      <c r="J69" s="74">
        <v>6576.64</v>
      </c>
      <c r="K69" s="74">
        <v>0</v>
      </c>
      <c r="L69" s="74">
        <v>0</v>
      </c>
      <c r="M69" s="75">
        <v>14217.85</v>
      </c>
      <c r="N69" s="75">
        <v>-405</v>
      </c>
      <c r="O69" s="79">
        <f t="shared" si="2"/>
        <v>30254.353198000004</v>
      </c>
    </row>
    <row r="70" spans="1:15" ht="13.5">
      <c r="A70" s="71" t="s">
        <v>70</v>
      </c>
      <c r="B70" s="90" t="s">
        <v>116</v>
      </c>
      <c r="C70" s="78">
        <v>13024</v>
      </c>
      <c r="D70" s="73">
        <v>26487.7891624</v>
      </c>
      <c r="E70" s="73">
        <v>0</v>
      </c>
      <c r="F70" s="319">
        <v>9313.6066787999989</v>
      </c>
      <c r="G70" s="74">
        <v>-40738.061563899995</v>
      </c>
      <c r="H70" s="74">
        <v>0</v>
      </c>
      <c r="I70" s="74">
        <v>6428.37</v>
      </c>
      <c r="J70" s="74">
        <v>0</v>
      </c>
      <c r="K70" s="74">
        <v>0</v>
      </c>
      <c r="L70" s="74">
        <v>0</v>
      </c>
      <c r="M70" s="75">
        <v>-1087.6600000000001</v>
      </c>
      <c r="N70" s="75">
        <v>-518.54999999999995</v>
      </c>
      <c r="O70" s="79">
        <f t="shared" si="2"/>
        <v>-114.50572269999611</v>
      </c>
    </row>
    <row r="71" spans="1:15" ht="13.5">
      <c r="A71" s="71" t="s">
        <v>48</v>
      </c>
      <c r="B71" s="90" t="s">
        <v>94</v>
      </c>
      <c r="C71" s="78">
        <v>13185</v>
      </c>
      <c r="D71" s="73">
        <v>0</v>
      </c>
      <c r="E71" s="73">
        <v>0</v>
      </c>
      <c r="F71" s="319">
        <v>0</v>
      </c>
      <c r="G71" s="74">
        <v>0</v>
      </c>
      <c r="H71" s="75">
        <v>0</v>
      </c>
      <c r="I71" s="75">
        <v>0</v>
      </c>
      <c r="J71" s="75">
        <v>0</v>
      </c>
      <c r="K71" s="75">
        <v>0</v>
      </c>
      <c r="L71" s="75">
        <v>0</v>
      </c>
      <c r="M71" s="75">
        <v>0</v>
      </c>
      <c r="N71" s="75">
        <v>0</v>
      </c>
      <c r="O71" s="79">
        <f t="shared" si="2"/>
        <v>0</v>
      </c>
    </row>
    <row r="72" spans="1:15" ht="13.5">
      <c r="A72" s="71" t="s">
        <v>51</v>
      </c>
      <c r="B72" s="90" t="s">
        <v>97</v>
      </c>
      <c r="C72" s="78">
        <v>13185</v>
      </c>
      <c r="D72" s="73">
        <v>0</v>
      </c>
      <c r="E72" s="73">
        <v>0</v>
      </c>
      <c r="F72" s="319">
        <v>0</v>
      </c>
      <c r="G72" s="74">
        <v>0</v>
      </c>
      <c r="H72" s="74">
        <v>0</v>
      </c>
      <c r="I72" s="74">
        <v>0</v>
      </c>
      <c r="J72" s="74">
        <v>0</v>
      </c>
      <c r="K72" s="74">
        <v>0</v>
      </c>
      <c r="L72" s="74">
        <v>0</v>
      </c>
      <c r="M72" s="75">
        <v>0</v>
      </c>
      <c r="N72" s="75">
        <v>0</v>
      </c>
      <c r="O72" s="79">
        <f t="shared" si="2"/>
        <v>0</v>
      </c>
    </row>
    <row r="73" spans="1:15" ht="13.5">
      <c r="A73" s="71" t="s">
        <v>66</v>
      </c>
      <c r="B73" s="90" t="s">
        <v>112</v>
      </c>
      <c r="C73" s="78">
        <v>13185</v>
      </c>
      <c r="D73" s="73">
        <v>16479.345037499999</v>
      </c>
      <c r="E73" s="73">
        <v>0</v>
      </c>
      <c r="F73" s="319">
        <v>67955.500715800008</v>
      </c>
      <c r="G73" s="74">
        <v>41370.573608800005</v>
      </c>
      <c r="H73" s="74">
        <v>342</v>
      </c>
      <c r="I73" s="74">
        <v>24249.89</v>
      </c>
      <c r="J73" s="74">
        <v>3341.5</v>
      </c>
      <c r="K73" s="74">
        <v>1822</v>
      </c>
      <c r="L73" s="74">
        <v>6881</v>
      </c>
      <c r="M73" s="75">
        <v>28598.21</v>
      </c>
      <c r="N73" s="75">
        <v>3598.28</v>
      </c>
      <c r="O73" s="79">
        <f t="shared" si="2"/>
        <v>194638.29936210002</v>
      </c>
    </row>
    <row r="74" spans="1:15" ht="13.5">
      <c r="A74" s="71" t="s">
        <v>33</v>
      </c>
      <c r="B74" s="90" t="s">
        <v>79</v>
      </c>
      <c r="C74" s="78">
        <v>13187</v>
      </c>
      <c r="D74" s="73">
        <v>0</v>
      </c>
      <c r="E74" s="73">
        <v>0</v>
      </c>
      <c r="F74" s="319">
        <v>0</v>
      </c>
      <c r="G74" s="74">
        <v>0</v>
      </c>
      <c r="H74" s="74">
        <v>0</v>
      </c>
      <c r="I74" s="74">
        <v>0</v>
      </c>
      <c r="J74" s="74">
        <v>0</v>
      </c>
      <c r="K74" s="74">
        <v>0</v>
      </c>
      <c r="L74" s="74">
        <v>0</v>
      </c>
      <c r="M74" s="75">
        <v>0</v>
      </c>
      <c r="N74" s="75">
        <v>0</v>
      </c>
      <c r="O74" s="79">
        <f t="shared" si="2"/>
        <v>0</v>
      </c>
    </row>
    <row r="75" spans="1:15" ht="13.5">
      <c r="A75" s="71" t="s">
        <v>52</v>
      </c>
      <c r="B75" s="90" t="s">
        <v>98</v>
      </c>
      <c r="C75" s="78">
        <v>13193</v>
      </c>
      <c r="D75" s="73">
        <v>132235.58010249998</v>
      </c>
      <c r="E75" s="73">
        <v>0</v>
      </c>
      <c r="F75" s="319">
        <v>288146.88488169998</v>
      </c>
      <c r="G75" s="74">
        <v>180103.98670569999</v>
      </c>
      <c r="H75" s="74">
        <v>380</v>
      </c>
      <c r="I75" s="74">
        <v>125972.04</v>
      </c>
      <c r="J75" s="74">
        <v>20056.009999999998</v>
      </c>
      <c r="K75" s="74">
        <v>0</v>
      </c>
      <c r="L75" s="74">
        <v>8847</v>
      </c>
      <c r="M75" s="75">
        <v>60447.42</v>
      </c>
      <c r="N75" s="75">
        <v>8063.64</v>
      </c>
      <c r="O75" s="79">
        <f t="shared" si="2"/>
        <v>824252.5616899</v>
      </c>
    </row>
    <row r="76" spans="1:15" ht="13.5">
      <c r="A76" s="71" t="s">
        <v>53</v>
      </c>
      <c r="B76" s="90" t="s">
        <v>99</v>
      </c>
      <c r="C76" s="78">
        <v>13193</v>
      </c>
      <c r="D76" s="73">
        <v>0</v>
      </c>
      <c r="E76" s="73">
        <v>0</v>
      </c>
      <c r="F76" s="319">
        <v>0</v>
      </c>
      <c r="G76" s="74">
        <v>4813.5663066999996</v>
      </c>
      <c r="H76" s="74">
        <v>0</v>
      </c>
      <c r="I76" s="74">
        <v>0</v>
      </c>
      <c r="J76" s="74">
        <v>0</v>
      </c>
      <c r="K76" s="74">
        <v>0</v>
      </c>
      <c r="L76" s="74">
        <v>0</v>
      </c>
      <c r="M76" s="75">
        <v>0</v>
      </c>
      <c r="N76" s="75">
        <v>0</v>
      </c>
      <c r="O76" s="79">
        <f t="shared" si="2"/>
        <v>4813.5663066999996</v>
      </c>
    </row>
    <row r="77" spans="1:15" ht="13.5">
      <c r="A77" s="71" t="s">
        <v>69</v>
      </c>
      <c r="B77" s="90" t="s">
        <v>115</v>
      </c>
      <c r="C77" s="78">
        <v>13193</v>
      </c>
      <c r="D77" s="73">
        <v>41486.627831099999</v>
      </c>
      <c r="E77" s="73">
        <v>0</v>
      </c>
      <c r="F77" s="319">
        <f>150173.8304146+502.56</f>
        <v>150676.3904146</v>
      </c>
      <c r="G77" s="74">
        <v>72888.099787399988</v>
      </c>
      <c r="H77" s="74">
        <v>1635</v>
      </c>
      <c r="I77" s="74">
        <v>37041.01</v>
      </c>
      <c r="J77" s="74">
        <v>12069.47</v>
      </c>
      <c r="K77" s="74">
        <v>0</v>
      </c>
      <c r="L77" s="74">
        <v>8847</v>
      </c>
      <c r="M77" s="75">
        <f>31424.34+10300</f>
        <v>41724.339999999997</v>
      </c>
      <c r="N77" s="75">
        <v>4689.18</v>
      </c>
      <c r="O77" s="79">
        <f t="shared" si="2"/>
        <v>371057.11803309998</v>
      </c>
    </row>
    <row r="78" spans="1:15" ht="13.5">
      <c r="A78" s="71" t="s">
        <v>32</v>
      </c>
      <c r="B78" s="90" t="s">
        <v>78</v>
      </c>
      <c r="C78" s="78">
        <v>213488</v>
      </c>
      <c r="D78" s="73">
        <v>0</v>
      </c>
      <c r="E78" s="73">
        <v>0</v>
      </c>
      <c r="F78" s="319">
        <v>0</v>
      </c>
      <c r="G78" s="74">
        <v>-15259.911184399998</v>
      </c>
      <c r="H78" s="74">
        <v>0</v>
      </c>
      <c r="I78" s="74">
        <v>0</v>
      </c>
      <c r="J78" s="74">
        <v>0</v>
      </c>
      <c r="K78" s="74">
        <v>0</v>
      </c>
      <c r="L78" s="74">
        <v>0</v>
      </c>
      <c r="M78" s="75">
        <v>0</v>
      </c>
      <c r="N78" s="75">
        <v>0</v>
      </c>
      <c r="O78" s="79">
        <f t="shared" si="2"/>
        <v>-15259.911184399998</v>
      </c>
    </row>
    <row r="79" spans="1:15" ht="13.5">
      <c r="A79" s="71" t="s">
        <v>38</v>
      </c>
      <c r="B79" s="90" t="s">
        <v>84</v>
      </c>
      <c r="C79" s="78">
        <v>213488</v>
      </c>
      <c r="D79" s="73">
        <v>-19380</v>
      </c>
      <c r="E79" s="73">
        <v>0</v>
      </c>
      <c r="F79" s="319">
        <v>0</v>
      </c>
      <c r="G79" s="74">
        <v>-25682.565190300003</v>
      </c>
      <c r="H79" s="74">
        <v>0</v>
      </c>
      <c r="I79" s="74">
        <v>0</v>
      </c>
      <c r="J79" s="74">
        <v>0</v>
      </c>
      <c r="K79" s="74">
        <v>0</v>
      </c>
      <c r="L79" s="74">
        <v>0</v>
      </c>
      <c r="M79" s="75">
        <v>6150.72</v>
      </c>
      <c r="N79" s="75">
        <v>0</v>
      </c>
      <c r="O79" s="79">
        <f t="shared" si="2"/>
        <v>-38911.845190300002</v>
      </c>
    </row>
    <row r="80" spans="1:15" ht="13.5">
      <c r="A80" s="71" t="s">
        <v>39</v>
      </c>
      <c r="B80" s="90" t="s">
        <v>85</v>
      </c>
      <c r="C80" s="78">
        <v>213488</v>
      </c>
      <c r="D80" s="73">
        <v>0</v>
      </c>
      <c r="E80" s="73">
        <v>0</v>
      </c>
      <c r="F80" s="319">
        <v>0</v>
      </c>
      <c r="G80" s="74">
        <v>-17755.425751299998</v>
      </c>
      <c r="H80" s="74">
        <v>0</v>
      </c>
      <c r="I80" s="74">
        <v>0</v>
      </c>
      <c r="J80" s="74">
        <v>0</v>
      </c>
      <c r="K80" s="74">
        <v>0</v>
      </c>
      <c r="L80" s="74">
        <v>0</v>
      </c>
      <c r="M80" s="75">
        <v>0</v>
      </c>
      <c r="N80" s="75">
        <v>0</v>
      </c>
      <c r="O80" s="79">
        <f t="shared" si="2"/>
        <v>-17755.425751299998</v>
      </c>
    </row>
    <row r="81" spans="1:15" ht="13.5">
      <c r="A81" s="71" t="s">
        <v>46</v>
      </c>
      <c r="B81" s="90" t="s">
        <v>92</v>
      </c>
      <c r="C81" s="78">
        <v>213488</v>
      </c>
      <c r="D81" s="73">
        <v>22730.6344025</v>
      </c>
      <c r="E81" s="73">
        <v>0</v>
      </c>
      <c r="F81" s="319">
        <f>113624.2327689+381.4</f>
        <v>114005.63276889999</v>
      </c>
      <c r="G81" s="74">
        <v>64513.226667699993</v>
      </c>
      <c r="H81" s="74">
        <v>1305</v>
      </c>
      <c r="I81" s="74">
        <v>21292.5</v>
      </c>
      <c r="J81" s="74">
        <v>13019.56</v>
      </c>
      <c r="K81" s="74">
        <v>0</v>
      </c>
      <c r="L81" s="74">
        <v>5886</v>
      </c>
      <c r="M81" s="75">
        <v>35067.32</v>
      </c>
      <c r="N81" s="75">
        <v>5207.49</v>
      </c>
      <c r="O81" s="79">
        <f t="shared" si="2"/>
        <v>283027.36383909994</v>
      </c>
    </row>
    <row r="82" spans="1:15" ht="13.5">
      <c r="A82" s="71" t="s">
        <v>55</v>
      </c>
      <c r="B82" s="91" t="s">
        <v>101</v>
      </c>
      <c r="C82" s="80">
        <v>213488</v>
      </c>
      <c r="D82" s="73">
        <v>0</v>
      </c>
      <c r="E82" s="73">
        <v>0</v>
      </c>
      <c r="F82" s="319">
        <v>0</v>
      </c>
      <c r="G82" s="74">
        <v>4698.8567148000002</v>
      </c>
      <c r="H82" s="74">
        <v>0</v>
      </c>
      <c r="I82" s="74">
        <v>0</v>
      </c>
      <c r="J82" s="74">
        <v>0</v>
      </c>
      <c r="K82" s="74">
        <v>0</v>
      </c>
      <c r="L82" s="74">
        <v>0</v>
      </c>
      <c r="M82" s="73">
        <v>0</v>
      </c>
      <c r="N82" s="73">
        <v>0</v>
      </c>
      <c r="O82" s="79">
        <f t="shared" si="2"/>
        <v>4698.8567148000002</v>
      </c>
    </row>
    <row r="83" spans="1:15" ht="13.5">
      <c r="A83" s="71" t="s">
        <v>56</v>
      </c>
      <c r="B83" s="91" t="s">
        <v>102</v>
      </c>
      <c r="C83" s="80">
        <v>213488</v>
      </c>
      <c r="D83" s="73">
        <v>67106.524557500001</v>
      </c>
      <c r="E83" s="73">
        <v>317384.55</v>
      </c>
      <c r="F83" s="319">
        <v>307923.69770830002</v>
      </c>
      <c r="G83" s="74">
        <v>-7387.6863546000386</v>
      </c>
      <c r="H83" s="74">
        <v>0</v>
      </c>
      <c r="I83" s="74">
        <v>62815.38</v>
      </c>
      <c r="J83" s="74">
        <v>23725.83</v>
      </c>
      <c r="K83" s="74">
        <v>0</v>
      </c>
      <c r="L83" s="74">
        <v>7962</v>
      </c>
      <c r="M83" s="73">
        <f>59683.82+12000</f>
        <v>71683.820000000007</v>
      </c>
      <c r="N83" s="73">
        <v>10519.29</v>
      </c>
      <c r="O83" s="79">
        <f t="shared" si="2"/>
        <v>861733.40591119998</v>
      </c>
    </row>
    <row r="84" spans="1:15" ht="13.5">
      <c r="A84" s="81" t="s">
        <v>58</v>
      </c>
      <c r="B84" s="91" t="s">
        <v>104</v>
      </c>
      <c r="C84" s="80">
        <v>213488</v>
      </c>
      <c r="D84" s="73">
        <v>0</v>
      </c>
      <c r="E84" s="73">
        <v>0</v>
      </c>
      <c r="F84" s="319">
        <v>0</v>
      </c>
      <c r="G84" s="74">
        <v>-57877.186789999992</v>
      </c>
      <c r="H84" s="74">
        <v>0</v>
      </c>
      <c r="I84" s="74">
        <v>0</v>
      </c>
      <c r="J84" s="74">
        <v>0</v>
      </c>
      <c r="K84" s="74">
        <v>0</v>
      </c>
      <c r="L84" s="74">
        <v>0</v>
      </c>
      <c r="M84" s="73">
        <v>0</v>
      </c>
      <c r="N84" s="73">
        <v>0</v>
      </c>
      <c r="O84" s="79">
        <f t="shared" si="2"/>
        <v>-57877.186789999992</v>
      </c>
    </row>
    <row r="85" spans="1:15" ht="13.5">
      <c r="A85" s="71" t="s">
        <v>59</v>
      </c>
      <c r="B85" s="90" t="s">
        <v>105</v>
      </c>
      <c r="C85" s="78">
        <v>213488</v>
      </c>
      <c r="D85" s="73">
        <v>12089.762396499995</v>
      </c>
      <c r="E85" s="73">
        <v>0</v>
      </c>
      <c r="F85" s="319">
        <v>20751.317717599995</v>
      </c>
      <c r="G85" s="74">
        <v>-79766.814040500016</v>
      </c>
      <c r="H85" s="74">
        <v>0</v>
      </c>
      <c r="I85" s="74">
        <v>39918.54</v>
      </c>
      <c r="J85" s="74">
        <v>0</v>
      </c>
      <c r="K85" s="74">
        <v>0</v>
      </c>
      <c r="L85" s="74">
        <v>0</v>
      </c>
      <c r="M85" s="75">
        <v>-68.820000000000164</v>
      </c>
      <c r="N85" s="75">
        <v>-660.2</v>
      </c>
      <c r="O85" s="79">
        <f t="shared" si="2"/>
        <v>-7736.2139264000243</v>
      </c>
    </row>
    <row r="86" spans="1:15" ht="13.5">
      <c r="A86" s="71" t="s">
        <v>60</v>
      </c>
      <c r="B86" s="90" t="s">
        <v>106</v>
      </c>
      <c r="C86" s="78">
        <v>213488</v>
      </c>
      <c r="D86" s="73">
        <v>53324.685280999998</v>
      </c>
      <c r="E86" s="73">
        <v>0</v>
      </c>
      <c r="F86" s="319">
        <v>171972.08274069999</v>
      </c>
      <c r="G86" s="74">
        <v>22903.167326400009</v>
      </c>
      <c r="H86" s="74">
        <v>637</v>
      </c>
      <c r="I86" s="74">
        <v>49941.35</v>
      </c>
      <c r="J86" s="74">
        <v>10989.14</v>
      </c>
      <c r="K86" s="74">
        <v>0</v>
      </c>
      <c r="L86" s="74">
        <v>0</v>
      </c>
      <c r="M86" s="75">
        <v>7482.7</v>
      </c>
      <c r="N86" s="75">
        <v>6133.84</v>
      </c>
      <c r="O86" s="79">
        <f t="shared" si="2"/>
        <v>323383.9653481</v>
      </c>
    </row>
    <row r="87" spans="1:15" ht="13.5">
      <c r="A87" s="71" t="s">
        <v>71</v>
      </c>
      <c r="B87" s="90" t="s">
        <v>117</v>
      </c>
      <c r="C87" s="78">
        <v>213488</v>
      </c>
      <c r="D87" s="73">
        <v>0</v>
      </c>
      <c r="E87" s="73">
        <v>0</v>
      </c>
      <c r="F87" s="319">
        <v>0</v>
      </c>
      <c r="G87" s="74">
        <v>-35141.488172799996</v>
      </c>
      <c r="H87" s="74">
        <v>0</v>
      </c>
      <c r="I87" s="74">
        <v>0</v>
      </c>
      <c r="J87" s="74">
        <v>0</v>
      </c>
      <c r="K87" s="74">
        <v>0</v>
      </c>
      <c r="L87" s="74">
        <v>0</v>
      </c>
      <c r="M87" s="75">
        <v>0</v>
      </c>
      <c r="N87" s="75">
        <v>0</v>
      </c>
      <c r="O87" s="79">
        <f t="shared" si="2"/>
        <v>-35141.488172799996</v>
      </c>
    </row>
    <row r="88" spans="1:15" ht="13.5">
      <c r="A88" s="71" t="s">
        <v>74</v>
      </c>
      <c r="B88" s="90" t="s">
        <v>120</v>
      </c>
      <c r="C88" s="78">
        <v>213488</v>
      </c>
      <c r="D88" s="73">
        <v>133457.41</v>
      </c>
      <c r="E88" s="73">
        <v>0</v>
      </c>
      <c r="F88" s="319">
        <v>323471.56</v>
      </c>
      <c r="G88" s="82">
        <v>69070.509999999995</v>
      </c>
      <c r="H88" s="82">
        <v>0</v>
      </c>
      <c r="I88" s="82">
        <v>124824.06</v>
      </c>
      <c r="J88" s="82">
        <v>0</v>
      </c>
      <c r="K88" s="82">
        <v>0</v>
      </c>
      <c r="L88" s="82">
        <v>8847</v>
      </c>
      <c r="M88" s="75">
        <v>34674.199999999997</v>
      </c>
      <c r="N88" s="75">
        <v>7567.45</v>
      </c>
      <c r="O88" s="79">
        <f t="shared" si="2"/>
        <v>701912.19</v>
      </c>
    </row>
    <row r="89" spans="1:15" ht="12.75" thickBot="1">
      <c r="A89" s="83"/>
      <c r="B89" s="92"/>
      <c r="C89" s="83"/>
      <c r="D89" s="317">
        <f t="shared" ref="D89:O89" si="3">SUM(D53:D88)</f>
        <v>859668.29418930004</v>
      </c>
      <c r="E89" s="317">
        <f t="shared" si="3"/>
        <v>929374.10999999987</v>
      </c>
      <c r="F89" s="317">
        <f t="shared" si="3"/>
        <v>2762158.4506665999</v>
      </c>
      <c r="G89" s="317">
        <f t="shared" si="3"/>
        <v>230099.38254069991</v>
      </c>
      <c r="H89" s="317">
        <f t="shared" si="3"/>
        <v>10128.9</v>
      </c>
      <c r="I89" s="317">
        <f t="shared" si="3"/>
        <v>912161.19</v>
      </c>
      <c r="J89" s="317">
        <f t="shared" si="3"/>
        <v>131850.18</v>
      </c>
      <c r="K89" s="317">
        <f t="shared" si="3"/>
        <v>6894.46</v>
      </c>
      <c r="L89" s="317">
        <f t="shared" si="3"/>
        <v>83271</v>
      </c>
      <c r="M89" s="317">
        <f t="shared" si="3"/>
        <v>630337.19999999995</v>
      </c>
      <c r="N89" s="317">
        <f t="shared" si="3"/>
        <v>78130.969999999987</v>
      </c>
      <c r="O89" s="318">
        <f t="shared" si="3"/>
        <v>6634074.1373966001</v>
      </c>
    </row>
    <row r="90" spans="1:15" ht="12.75" thickTop="1">
      <c r="D90" s="87"/>
    </row>
    <row r="94" spans="1:15">
      <c r="C94" s="86">
        <v>213488</v>
      </c>
      <c r="D94" s="88" t="s">
        <v>121</v>
      </c>
      <c r="O94" s="93">
        <f>SUM(O78:O88)</f>
        <v>2002073.7107979998</v>
      </c>
    </row>
    <row r="95" spans="1:15">
      <c r="D95" s="88" t="s">
        <v>122</v>
      </c>
      <c r="O95" s="93">
        <f>O89-O94</f>
        <v>4632000.4265986001</v>
      </c>
    </row>
  </sheetData>
  <phoneticPr fontId="11" type="noConversion"/>
  <printOptions horizontalCentered="1"/>
  <pageMargins left="0.25" right="0.25" top="0.5" bottom="0.5" header="0.5" footer="0.5"/>
  <pageSetup scale="63" orientation="landscape" r:id="rId1"/>
  <headerFooter alignWithMargins="0">
    <oddFooter>&amp;R&amp;12 4.5.1</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T252"/>
  <sheetViews>
    <sheetView topLeftCell="B1" zoomScale="75" zoomScaleNormal="75" zoomScaleSheetLayoutView="80" workbookViewId="0">
      <pane ySplit="4" topLeftCell="A82" activePane="bottomLeft" state="frozen"/>
      <selection activeCell="B1" sqref="B1"/>
      <selection pane="bottomLeft" activeCell="Q126" sqref="Q126"/>
    </sheetView>
  </sheetViews>
  <sheetFormatPr defaultRowHeight="12.75" outlineLevelCol="1"/>
  <cols>
    <col min="1" max="1" width="29.42578125" hidden="1" customWidth="1" outlineLevel="1"/>
    <col min="2" max="2" width="49.140625" style="203" customWidth="1" collapsed="1"/>
    <col min="3" max="3" width="9.5703125" hidden="1" customWidth="1" outlineLevel="1"/>
    <col min="4" max="4" width="9.140625" collapsed="1"/>
    <col min="5" max="5" width="9.5703125" customWidth="1"/>
    <col min="6" max="6" width="12" hidden="1" customWidth="1" outlineLevel="1"/>
    <col min="7" max="7" width="14.7109375" bestFit="1" customWidth="1" collapsed="1"/>
    <col min="8" max="8" width="15.28515625" bestFit="1" customWidth="1"/>
    <col min="9" max="9" width="16.42578125" bestFit="1" customWidth="1"/>
    <col min="10" max="10" width="15" bestFit="1" customWidth="1"/>
    <col min="11" max="13" width="12.7109375" bestFit="1" customWidth="1"/>
    <col min="14" max="14" width="14.140625" bestFit="1" customWidth="1"/>
    <col min="15" max="15" width="13.85546875" bestFit="1" customWidth="1"/>
    <col min="16" max="16" width="13.5703125" bestFit="1" customWidth="1"/>
    <col min="17" max="17" width="16.7109375" bestFit="1" customWidth="1"/>
    <col min="18" max="18" width="5.5703125" customWidth="1"/>
    <col min="19" max="19" width="12.85546875" customWidth="1"/>
  </cols>
  <sheetData>
    <row r="1" spans="1:19" ht="15.75">
      <c r="A1" s="204"/>
      <c r="B1" s="216" t="s">
        <v>287</v>
      </c>
      <c r="C1" s="204"/>
      <c r="D1" s="204"/>
      <c r="E1" s="204"/>
      <c r="F1" s="204"/>
      <c r="G1" s="204"/>
      <c r="H1" s="204"/>
      <c r="I1" s="204"/>
      <c r="J1" s="204"/>
      <c r="K1" s="204"/>
      <c r="L1" s="204"/>
      <c r="M1" s="204"/>
      <c r="N1" s="204"/>
      <c r="O1" s="204"/>
      <c r="P1" s="204"/>
      <c r="Q1" s="320" t="str">
        <f>'Lead Sheet'!$J$1&amp;".1"</f>
        <v>Page 4.4.1</v>
      </c>
      <c r="R1" s="320"/>
    </row>
    <row r="2" spans="1:19">
      <c r="A2" s="204"/>
      <c r="B2" s="204" t="str">
        <f>+'Lead Sheet'!B2</f>
        <v>Washington General Rate Case - December 2009</v>
      </c>
      <c r="C2" s="217"/>
      <c r="D2" s="217"/>
      <c r="E2" s="217"/>
      <c r="F2" s="204"/>
      <c r="G2" s="204"/>
      <c r="H2" s="204"/>
      <c r="I2" s="204"/>
      <c r="J2" s="204"/>
      <c r="K2" s="204"/>
      <c r="L2" s="204"/>
      <c r="M2" s="204"/>
      <c r="N2" s="204"/>
      <c r="O2" s="204"/>
      <c r="P2" s="204"/>
      <c r="Q2" s="204"/>
    </row>
    <row r="3" spans="1:19">
      <c r="A3" s="218"/>
      <c r="B3" s="219"/>
      <c r="C3" s="219"/>
      <c r="D3" s="219"/>
      <c r="E3" s="219"/>
      <c r="F3" s="220"/>
      <c r="G3" s="280" t="s">
        <v>11</v>
      </c>
      <c r="H3" s="281" t="s">
        <v>12</v>
      </c>
      <c r="I3" s="281" t="s">
        <v>13</v>
      </c>
      <c r="J3" s="281" t="s">
        <v>14</v>
      </c>
      <c r="K3" s="281" t="s">
        <v>124</v>
      </c>
      <c r="L3" s="281" t="s">
        <v>17</v>
      </c>
      <c r="M3" s="281" t="s">
        <v>15</v>
      </c>
      <c r="N3" s="281" t="s">
        <v>16</v>
      </c>
      <c r="O3" s="281" t="s">
        <v>125</v>
      </c>
      <c r="P3" s="281" t="s">
        <v>126</v>
      </c>
      <c r="Q3" s="221"/>
    </row>
    <row r="4" spans="1:19" s="204" customFormat="1">
      <c r="A4" s="218" t="s">
        <v>76</v>
      </c>
      <c r="B4" s="277" t="s">
        <v>18</v>
      </c>
      <c r="C4" s="278" t="s">
        <v>192</v>
      </c>
      <c r="D4" s="278" t="s">
        <v>329</v>
      </c>
      <c r="E4" s="278" t="s">
        <v>330</v>
      </c>
      <c r="F4" s="279" t="s">
        <v>19</v>
      </c>
      <c r="G4" s="223" t="s">
        <v>127</v>
      </c>
      <c r="H4" s="224" t="s">
        <v>21</v>
      </c>
      <c r="I4" s="224" t="s">
        <v>22</v>
      </c>
      <c r="J4" s="224" t="s">
        <v>23</v>
      </c>
      <c r="K4" s="224" t="s">
        <v>128</v>
      </c>
      <c r="L4" s="224" t="s">
        <v>30</v>
      </c>
      <c r="M4" s="224" t="s">
        <v>25</v>
      </c>
      <c r="N4" s="224" t="s">
        <v>129</v>
      </c>
      <c r="O4" s="224" t="s">
        <v>195</v>
      </c>
      <c r="P4" s="224" t="s">
        <v>196</v>
      </c>
      <c r="Q4" s="225" t="s">
        <v>9</v>
      </c>
      <c r="R4" s="282"/>
    </row>
    <row r="5" spans="1:19">
      <c r="A5" s="321" t="s">
        <v>205</v>
      </c>
      <c r="B5" s="331" t="s">
        <v>309</v>
      </c>
      <c r="C5" s="332" t="s">
        <v>189</v>
      </c>
      <c r="D5" s="333" t="s">
        <v>328</v>
      </c>
      <c r="E5" s="333">
        <v>557</v>
      </c>
      <c r="F5" s="334">
        <v>13389</v>
      </c>
      <c r="G5" s="335">
        <v>64444.36</v>
      </c>
      <c r="H5" s="336"/>
      <c r="I5" s="336">
        <v>221085</v>
      </c>
      <c r="J5" s="336">
        <v>51825.23</v>
      </c>
      <c r="K5" s="336">
        <v>13940.53</v>
      </c>
      <c r="L5" s="336">
        <v>5276.7</v>
      </c>
      <c r="M5" s="336">
        <v>2768</v>
      </c>
      <c r="N5" s="336">
        <v>29563.69</v>
      </c>
      <c r="O5" s="336"/>
      <c r="P5" s="336"/>
      <c r="Q5" s="337">
        <v>388903.51</v>
      </c>
      <c r="R5" s="204"/>
      <c r="S5" s="98">
        <f>SUM(G5:P5)</f>
        <v>388903.51</v>
      </c>
    </row>
    <row r="6" spans="1:19">
      <c r="A6" s="218" t="s">
        <v>219</v>
      </c>
      <c r="B6" s="226" t="s">
        <v>220</v>
      </c>
      <c r="C6" s="295" t="s">
        <v>191</v>
      </c>
      <c r="D6" s="227" t="s">
        <v>328</v>
      </c>
      <c r="E6" s="227">
        <v>557</v>
      </c>
      <c r="F6" s="222">
        <v>10210</v>
      </c>
      <c r="G6" s="228">
        <v>29388.67</v>
      </c>
      <c r="H6" s="229"/>
      <c r="I6" s="229">
        <v>73758.006821267394</v>
      </c>
      <c r="J6" s="229">
        <v>8042.155999999999</v>
      </c>
      <c r="K6" s="229">
        <v>1897.22</v>
      </c>
      <c r="L6" s="229">
        <v>2470.8000000000002</v>
      </c>
      <c r="M6" s="229">
        <v>2768</v>
      </c>
      <c r="N6" s="229">
        <v>16872.169999999998</v>
      </c>
      <c r="O6" s="229">
        <v>963.935682584083</v>
      </c>
      <c r="P6" s="229">
        <v>781.68444471434259</v>
      </c>
      <c r="Q6" s="230">
        <v>136942.64294856583</v>
      </c>
      <c r="R6" s="204"/>
    </row>
    <row r="7" spans="1:19">
      <c r="A7" s="218" t="s">
        <v>254</v>
      </c>
      <c r="B7" s="226" t="s">
        <v>57</v>
      </c>
      <c r="C7" s="295" t="s">
        <v>191</v>
      </c>
      <c r="D7" s="227" t="s">
        <v>328</v>
      </c>
      <c r="E7" s="227">
        <v>557</v>
      </c>
      <c r="F7" s="222">
        <v>12634</v>
      </c>
      <c r="G7" s="228">
        <v>-21370</v>
      </c>
      <c r="H7" s="229"/>
      <c r="I7" s="229">
        <v>26143.533357907763</v>
      </c>
      <c r="J7" s="229">
        <v>-27784.18</v>
      </c>
      <c r="K7" s="229"/>
      <c r="L7" s="229"/>
      <c r="M7" s="229"/>
      <c r="N7" s="229"/>
      <c r="O7" s="229">
        <v>2614.3533370311679</v>
      </c>
      <c r="P7" s="229">
        <v>4167.2494431506111</v>
      </c>
      <c r="Q7" s="230">
        <v>-16229.043861910459</v>
      </c>
      <c r="R7" s="204"/>
    </row>
    <row r="8" spans="1:19">
      <c r="A8" s="218" t="s">
        <v>274</v>
      </c>
      <c r="B8" s="226" t="s">
        <v>469</v>
      </c>
      <c r="C8" s="296" t="s">
        <v>190</v>
      </c>
      <c r="D8" s="227" t="s">
        <v>332</v>
      </c>
      <c r="E8" s="227">
        <v>560</v>
      </c>
      <c r="F8" s="222">
        <v>13582</v>
      </c>
      <c r="G8" s="228">
        <v>-23520</v>
      </c>
      <c r="H8" s="229"/>
      <c r="I8" s="229">
        <v>73089.811308255841</v>
      </c>
      <c r="J8" s="229">
        <v>-19028.080000000002</v>
      </c>
      <c r="K8" s="229"/>
      <c r="L8" s="229"/>
      <c r="M8" s="229"/>
      <c r="N8" s="229"/>
      <c r="O8" s="229">
        <v>3575.4211325219612</v>
      </c>
      <c r="P8" s="229">
        <v>6217.7303511543196</v>
      </c>
      <c r="Q8" s="230">
        <v>40334.882791932119</v>
      </c>
      <c r="R8" s="204"/>
    </row>
    <row r="9" spans="1:19">
      <c r="A9" s="218" t="s">
        <v>234</v>
      </c>
      <c r="B9" s="226" t="s">
        <v>46</v>
      </c>
      <c r="C9" s="296" t="s">
        <v>190</v>
      </c>
      <c r="D9" s="227" t="s">
        <v>327</v>
      </c>
      <c r="E9" s="227">
        <v>580</v>
      </c>
      <c r="F9" s="222">
        <v>213488</v>
      </c>
      <c r="G9" s="228">
        <v>-5242</v>
      </c>
      <c r="H9" s="229"/>
      <c r="I9" s="229">
        <v>47393.406401643173</v>
      </c>
      <c r="J9" s="229">
        <v>-3479.6</v>
      </c>
      <c r="K9" s="229"/>
      <c r="L9" s="229"/>
      <c r="M9" s="229"/>
      <c r="N9" s="229"/>
      <c r="O9" s="229">
        <v>1010.0186406435248</v>
      </c>
      <c r="P9" s="229">
        <v>926.71749936376614</v>
      </c>
      <c r="Q9" s="230">
        <v>40608.542541650466</v>
      </c>
      <c r="R9" s="204"/>
    </row>
    <row r="10" spans="1:19">
      <c r="A10" s="218" t="s">
        <v>258</v>
      </c>
      <c r="B10" s="226" t="s">
        <v>470</v>
      </c>
      <c r="C10" s="296" t="s">
        <v>190</v>
      </c>
      <c r="D10" s="227" t="s">
        <v>327</v>
      </c>
      <c r="E10" s="227">
        <v>580</v>
      </c>
      <c r="F10" s="222">
        <v>213488</v>
      </c>
      <c r="G10" s="228">
        <v>-38080</v>
      </c>
      <c r="H10" s="229"/>
      <c r="I10" s="229">
        <v>65414.385846861187</v>
      </c>
      <c r="J10" s="229">
        <v>-51974.625999999997</v>
      </c>
      <c r="K10" s="229"/>
      <c r="L10" s="229"/>
      <c r="M10" s="229"/>
      <c r="N10" s="229"/>
      <c r="O10" s="229">
        <v>4673.6825869035683</v>
      </c>
      <c r="P10" s="229">
        <v>5620.0281064560259</v>
      </c>
      <c r="Q10" s="230">
        <v>-14346.529459779216</v>
      </c>
      <c r="R10" s="204"/>
    </row>
    <row r="11" spans="1:19">
      <c r="A11" s="218" t="s">
        <v>284</v>
      </c>
      <c r="B11" s="226" t="s">
        <v>476</v>
      </c>
      <c r="C11" s="296" t="s">
        <v>190</v>
      </c>
      <c r="D11" s="227" t="s">
        <v>327</v>
      </c>
      <c r="E11" s="227">
        <v>580</v>
      </c>
      <c r="F11" s="222">
        <v>213488</v>
      </c>
      <c r="G11" s="228">
        <v>-85156</v>
      </c>
      <c r="H11" s="229"/>
      <c r="I11" s="229">
        <v>55968.18990894928</v>
      </c>
      <c r="J11" s="229">
        <v>-97495.864000000016</v>
      </c>
      <c r="K11" s="229"/>
      <c r="L11" s="229"/>
      <c r="M11" s="229"/>
      <c r="N11" s="229"/>
      <c r="O11" s="229">
        <v>3447.2089925304717</v>
      </c>
      <c r="P11" s="229">
        <v>4542.0868262182958</v>
      </c>
      <c r="Q11" s="230">
        <v>-118694.37827230197</v>
      </c>
      <c r="R11" s="204"/>
    </row>
    <row r="12" spans="1:19">
      <c r="A12" s="218" t="s">
        <v>199</v>
      </c>
      <c r="B12" s="226" t="s">
        <v>306</v>
      </c>
      <c r="C12" s="295" t="s">
        <v>191</v>
      </c>
      <c r="D12" s="227" t="s">
        <v>327</v>
      </c>
      <c r="E12" s="227">
        <v>580</v>
      </c>
      <c r="F12" s="222">
        <v>213488</v>
      </c>
      <c r="G12" s="228"/>
      <c r="H12" s="229"/>
      <c r="I12" s="229">
        <v>228.24689739526426</v>
      </c>
      <c r="J12" s="229"/>
      <c r="K12" s="229"/>
      <c r="L12" s="229"/>
      <c r="M12" s="229"/>
      <c r="N12" s="229"/>
      <c r="O12" s="229">
        <v>22.824689750355706</v>
      </c>
      <c r="P12" s="229">
        <v>28.374743837165351</v>
      </c>
      <c r="Q12" s="230">
        <v>279.4463309827853</v>
      </c>
      <c r="R12" s="204"/>
    </row>
    <row r="13" spans="1:19">
      <c r="A13" s="218" t="s">
        <v>200</v>
      </c>
      <c r="B13" s="226" t="s">
        <v>306</v>
      </c>
      <c r="C13" s="295" t="s">
        <v>191</v>
      </c>
      <c r="D13" s="227" t="s">
        <v>327</v>
      </c>
      <c r="E13" s="227">
        <v>580</v>
      </c>
      <c r="F13" s="222">
        <v>213488</v>
      </c>
      <c r="G13" s="228"/>
      <c r="H13" s="229"/>
      <c r="I13" s="229">
        <v>14.470031411005847</v>
      </c>
      <c r="J13" s="229"/>
      <c r="K13" s="229"/>
      <c r="L13" s="229"/>
      <c r="M13" s="229"/>
      <c r="N13" s="229"/>
      <c r="O13" s="229">
        <v>1.4470031417871214</v>
      </c>
      <c r="P13" s="229">
        <v>1.7988565859539525</v>
      </c>
      <c r="Q13" s="230">
        <v>17.715891138746919</v>
      </c>
      <c r="R13" s="204"/>
    </row>
    <row r="14" spans="1:19">
      <c r="A14" s="218" t="s">
        <v>201</v>
      </c>
      <c r="B14" s="226" t="s">
        <v>306</v>
      </c>
      <c r="C14" s="295" t="s">
        <v>191</v>
      </c>
      <c r="D14" s="227" t="s">
        <v>327</v>
      </c>
      <c r="E14" s="227">
        <v>580</v>
      </c>
      <c r="F14" s="222">
        <v>213488</v>
      </c>
      <c r="G14" s="228"/>
      <c r="H14" s="229"/>
      <c r="I14" s="229">
        <v>21.71375351326629</v>
      </c>
      <c r="J14" s="229"/>
      <c r="K14" s="229"/>
      <c r="L14" s="229"/>
      <c r="M14" s="229"/>
      <c r="N14" s="229"/>
      <c r="O14" s="229">
        <v>2.171375352356848</v>
      </c>
      <c r="P14" s="229">
        <v>2.6993672234471462</v>
      </c>
      <c r="Q14" s="230">
        <v>26.584496089070285</v>
      </c>
      <c r="R14" s="204"/>
    </row>
    <row r="15" spans="1:19">
      <c r="A15" s="218" t="s">
        <v>202</v>
      </c>
      <c r="B15" s="226" t="s">
        <v>306</v>
      </c>
      <c r="C15" s="295" t="s">
        <v>191</v>
      </c>
      <c r="D15" s="227" t="s">
        <v>327</v>
      </c>
      <c r="E15" s="227">
        <v>580</v>
      </c>
      <c r="F15" s="222">
        <v>213488</v>
      </c>
      <c r="G15" s="228"/>
      <c r="H15" s="229"/>
      <c r="I15" s="229">
        <v>6396.5722849597905</v>
      </c>
      <c r="J15" s="229"/>
      <c r="K15" s="229"/>
      <c r="L15" s="229"/>
      <c r="M15" s="229"/>
      <c r="N15" s="229"/>
      <c r="O15" s="229">
        <v>639.65722879946713</v>
      </c>
      <c r="P15" s="229">
        <v>1247.7847614036286</v>
      </c>
      <c r="Q15" s="230">
        <v>8284.0142751628864</v>
      </c>
      <c r="R15" s="204"/>
    </row>
    <row r="16" spans="1:19">
      <c r="A16" s="218" t="s">
        <v>204</v>
      </c>
      <c r="B16" s="226" t="s">
        <v>306</v>
      </c>
      <c r="C16" s="295" t="s">
        <v>191</v>
      </c>
      <c r="D16" s="227" t="s">
        <v>327</v>
      </c>
      <c r="E16" s="227">
        <v>580</v>
      </c>
      <c r="F16" s="222">
        <v>213488</v>
      </c>
      <c r="G16" s="228"/>
      <c r="H16" s="229"/>
      <c r="I16" s="229">
        <v>21.71375351326629</v>
      </c>
      <c r="J16" s="229"/>
      <c r="K16" s="229"/>
      <c r="L16" s="229"/>
      <c r="M16" s="229"/>
      <c r="N16" s="229"/>
      <c r="O16" s="229">
        <v>2.171375352356848</v>
      </c>
      <c r="P16" s="229">
        <v>2.6993672234471462</v>
      </c>
      <c r="Q16" s="230">
        <v>26.584496089070285</v>
      </c>
      <c r="R16" s="204"/>
    </row>
    <row r="17" spans="1:19">
      <c r="A17" s="218" t="s">
        <v>206</v>
      </c>
      <c r="B17" s="226" t="s">
        <v>207</v>
      </c>
      <c r="C17" s="295" t="s">
        <v>191</v>
      </c>
      <c r="D17" s="227" t="s">
        <v>327</v>
      </c>
      <c r="E17" s="227">
        <v>580</v>
      </c>
      <c r="F17" s="222">
        <v>213488</v>
      </c>
      <c r="G17" s="228"/>
      <c r="H17" s="229"/>
      <c r="I17" s="229">
        <v>18238.299230010602</v>
      </c>
      <c r="J17" s="229"/>
      <c r="K17" s="229"/>
      <c r="L17" s="229"/>
      <c r="M17" s="229"/>
      <c r="N17" s="229"/>
      <c r="O17" s="229">
        <v>1823.8299238663844</v>
      </c>
      <c r="P17" s="229">
        <v>2503.1876289996571</v>
      </c>
      <c r="Q17" s="230">
        <v>22565.316782876645</v>
      </c>
      <c r="R17" s="204"/>
    </row>
    <row r="18" spans="1:19">
      <c r="A18" s="218" t="s">
        <v>209</v>
      </c>
      <c r="B18" s="226" t="s">
        <v>210</v>
      </c>
      <c r="C18" s="295" t="s">
        <v>191</v>
      </c>
      <c r="D18" s="227" t="s">
        <v>327</v>
      </c>
      <c r="E18" s="227">
        <v>580</v>
      </c>
      <c r="F18" s="222">
        <v>213488</v>
      </c>
      <c r="G18" s="228">
        <v>53684.78</v>
      </c>
      <c r="H18" s="229"/>
      <c r="I18" s="229">
        <v>89024.808247178866</v>
      </c>
      <c r="J18" s="229">
        <v>17307.413999999997</v>
      </c>
      <c r="K18" s="229">
        <v>2212.5300000000002</v>
      </c>
      <c r="L18" s="229">
        <v>4032.85</v>
      </c>
      <c r="M18" s="229">
        <v>4164</v>
      </c>
      <c r="N18" s="229">
        <v>13102.48</v>
      </c>
      <c r="O18" s="229">
        <v>2096.7528257127001</v>
      </c>
      <c r="P18" s="229">
        <v>2624.0533661976415</v>
      </c>
      <c r="Q18" s="230">
        <v>188249.66843908923</v>
      </c>
      <c r="R18" s="204"/>
    </row>
    <row r="19" spans="1:19">
      <c r="A19" s="218" t="s">
        <v>211</v>
      </c>
      <c r="B19" s="226" t="s">
        <v>212</v>
      </c>
      <c r="C19" s="295" t="s">
        <v>191</v>
      </c>
      <c r="D19" s="227" t="s">
        <v>327</v>
      </c>
      <c r="E19" s="227">
        <v>580</v>
      </c>
      <c r="F19" s="222">
        <v>213488</v>
      </c>
      <c r="G19" s="228">
        <v>21976.560000000001</v>
      </c>
      <c r="H19" s="229">
        <v>-4148.8799999999756</v>
      </c>
      <c r="I19" s="229">
        <v>91530.876120314191</v>
      </c>
      <c r="J19" s="229">
        <v>-47581.07</v>
      </c>
      <c r="K19" s="229"/>
      <c r="L19" s="229"/>
      <c r="M19" s="229">
        <v>1245</v>
      </c>
      <c r="N19" s="229">
        <v>4746.2299999999996</v>
      </c>
      <c r="O19" s="229">
        <v>4573.1916142011896</v>
      </c>
      <c r="P19" s="229">
        <v>6499.4899824350541</v>
      </c>
      <c r="Q19" s="230">
        <v>78841.397716950465</v>
      </c>
      <c r="R19" s="204"/>
    </row>
    <row r="20" spans="1:19">
      <c r="A20" s="218" t="s">
        <v>221</v>
      </c>
      <c r="B20" s="226" t="s">
        <v>222</v>
      </c>
      <c r="C20" s="295" t="s">
        <v>191</v>
      </c>
      <c r="D20" s="227" t="s">
        <v>327</v>
      </c>
      <c r="E20" s="227">
        <v>580</v>
      </c>
      <c r="F20" s="222">
        <v>213488</v>
      </c>
      <c r="G20" s="228"/>
      <c r="H20" s="229"/>
      <c r="I20" s="229">
        <v>49553.131965048597</v>
      </c>
      <c r="J20" s="229"/>
      <c r="K20" s="229"/>
      <c r="L20" s="229"/>
      <c r="M20" s="229"/>
      <c r="N20" s="229"/>
      <c r="O20" s="229">
        <v>4915.6141988370946</v>
      </c>
      <c r="P20" s="229">
        <v>5306.9176693915497</v>
      </c>
      <c r="Q20" s="230">
        <v>59775.663833277242</v>
      </c>
      <c r="R20" s="204"/>
    </row>
    <row r="21" spans="1:19">
      <c r="A21" s="218" t="s">
        <v>223</v>
      </c>
      <c r="B21" s="226" t="s">
        <v>306</v>
      </c>
      <c r="C21" s="295" t="s">
        <v>191</v>
      </c>
      <c r="D21" s="227" t="s">
        <v>327</v>
      </c>
      <c r="E21" s="227">
        <v>580</v>
      </c>
      <c r="F21" s="222">
        <v>213488</v>
      </c>
      <c r="G21" s="228"/>
      <c r="H21" s="229"/>
      <c r="I21" s="229">
        <v>6.9477046125046114</v>
      </c>
      <c r="J21" s="229"/>
      <c r="K21" s="229"/>
      <c r="L21" s="229"/>
      <c r="M21" s="229"/>
      <c r="N21" s="229"/>
      <c r="O21" s="229">
        <v>0.69477046158009803</v>
      </c>
      <c r="P21" s="229">
        <v>0.8637109239417895</v>
      </c>
      <c r="Q21" s="230">
        <v>8.5061859980264991</v>
      </c>
      <c r="R21" s="204"/>
    </row>
    <row r="22" spans="1:19">
      <c r="A22" s="218" t="s">
        <v>224</v>
      </c>
      <c r="B22" s="226" t="s">
        <v>39</v>
      </c>
      <c r="C22" s="295" t="s">
        <v>191</v>
      </c>
      <c r="D22" s="227" t="s">
        <v>327</v>
      </c>
      <c r="E22" s="227">
        <v>580</v>
      </c>
      <c r="F22" s="222">
        <v>213488</v>
      </c>
      <c r="G22" s="228"/>
      <c r="H22" s="229"/>
      <c r="I22" s="229">
        <v>3082.3430568599401</v>
      </c>
      <c r="J22" s="229"/>
      <c r="K22" s="229"/>
      <c r="L22" s="229"/>
      <c r="M22" s="229"/>
      <c r="N22" s="229"/>
      <c r="O22" s="229">
        <v>308.23430583223717</v>
      </c>
      <c r="P22" s="229">
        <v>153.61775477698393</v>
      </c>
      <c r="Q22" s="230">
        <v>3544.1951174691612</v>
      </c>
      <c r="R22" s="204"/>
    </row>
    <row r="23" spans="1:19">
      <c r="A23" s="218" t="s">
        <v>232</v>
      </c>
      <c r="B23" s="226" t="s">
        <v>306</v>
      </c>
      <c r="C23" s="295" t="s">
        <v>191</v>
      </c>
      <c r="D23" s="227" t="s">
        <v>327</v>
      </c>
      <c r="E23" s="227">
        <v>580</v>
      </c>
      <c r="F23" s="222">
        <v>213488</v>
      </c>
      <c r="G23" s="228"/>
      <c r="H23" s="229"/>
      <c r="I23" s="229">
        <v>47.362798360933688</v>
      </c>
      <c r="J23" s="229"/>
      <c r="K23" s="229"/>
      <c r="L23" s="229"/>
      <c r="M23" s="229"/>
      <c r="N23" s="229"/>
      <c r="O23" s="229">
        <v>4.7362798383405176</v>
      </c>
      <c r="P23" s="229">
        <v>9.239101102814681</v>
      </c>
      <c r="Q23" s="230">
        <v>61.338179302088882</v>
      </c>
      <c r="R23" s="204"/>
    </row>
    <row r="24" spans="1:19">
      <c r="A24" s="218" t="s">
        <v>235</v>
      </c>
      <c r="B24" s="226" t="s">
        <v>47</v>
      </c>
      <c r="C24" s="295" t="s">
        <v>191</v>
      </c>
      <c r="D24" s="227" t="s">
        <v>327</v>
      </c>
      <c r="E24" s="227">
        <v>580</v>
      </c>
      <c r="F24" s="222">
        <v>213488</v>
      </c>
      <c r="G24" s="228"/>
      <c r="H24" s="229"/>
      <c r="I24" s="229">
        <v>10996.247707511426</v>
      </c>
      <c r="J24" s="229"/>
      <c r="K24" s="229"/>
      <c r="L24" s="229"/>
      <c r="M24" s="229"/>
      <c r="N24" s="229"/>
      <c r="O24" s="229">
        <v>1098.447771272306</v>
      </c>
      <c r="P24" s="229">
        <v>1273.9858402276689</v>
      </c>
      <c r="Q24" s="230">
        <v>13368.681319011401</v>
      </c>
      <c r="R24" s="204"/>
    </row>
    <row r="25" spans="1:19">
      <c r="A25" s="218" t="s">
        <v>242</v>
      </c>
      <c r="B25" s="226" t="s">
        <v>306</v>
      </c>
      <c r="C25" s="295" t="s">
        <v>191</v>
      </c>
      <c r="D25" s="227" t="s">
        <v>327</v>
      </c>
      <c r="E25" s="227">
        <v>580</v>
      </c>
      <c r="F25" s="222">
        <v>213488</v>
      </c>
      <c r="G25" s="228"/>
      <c r="H25" s="229"/>
      <c r="I25" s="229">
        <v>18.457561125952097</v>
      </c>
      <c r="J25" s="229"/>
      <c r="K25" s="229"/>
      <c r="L25" s="229"/>
      <c r="M25" s="229"/>
      <c r="N25" s="229"/>
      <c r="O25" s="229">
        <v>1.845756113470937</v>
      </c>
      <c r="P25" s="229">
        <v>2.2945703743816961</v>
      </c>
      <c r="Q25" s="230">
        <v>22.59788761380473</v>
      </c>
      <c r="R25" s="204"/>
    </row>
    <row r="26" spans="1:19">
      <c r="A26" s="218" t="s">
        <v>252</v>
      </c>
      <c r="B26" s="226" t="s">
        <v>55</v>
      </c>
      <c r="C26" s="295" t="s">
        <v>191</v>
      </c>
      <c r="D26" s="227" t="s">
        <v>327</v>
      </c>
      <c r="E26" s="227">
        <v>580</v>
      </c>
      <c r="F26" s="222">
        <v>213488</v>
      </c>
      <c r="G26" s="228"/>
      <c r="H26" s="229"/>
      <c r="I26" s="229">
        <v>48502.517934874202</v>
      </c>
      <c r="J26" s="229">
        <v>-6056.05</v>
      </c>
      <c r="K26" s="229"/>
      <c r="L26" s="229"/>
      <c r="M26" s="229"/>
      <c r="N26" s="229"/>
      <c r="O26" s="229">
        <v>4850.2517957886439</v>
      </c>
      <c r="P26" s="229">
        <v>5658.2030415041263</v>
      </c>
      <c r="Q26" s="230">
        <v>52954.922772166974</v>
      </c>
      <c r="R26" s="204"/>
    </row>
    <row r="27" spans="1:19">
      <c r="A27" s="218" t="s">
        <v>253</v>
      </c>
      <c r="B27" s="226" t="s">
        <v>56</v>
      </c>
      <c r="C27" s="295" t="s">
        <v>191</v>
      </c>
      <c r="D27" s="227" t="s">
        <v>327</v>
      </c>
      <c r="E27" s="227">
        <v>580</v>
      </c>
      <c r="F27" s="222">
        <v>213488</v>
      </c>
      <c r="G27" s="228">
        <v>19968.349999999999</v>
      </c>
      <c r="H27" s="229">
        <v>-7179.320000000007</v>
      </c>
      <c r="I27" s="229">
        <v>126761.58622592685</v>
      </c>
      <c r="J27" s="229">
        <v>-70431.490000000005</v>
      </c>
      <c r="K27" s="229"/>
      <c r="L27" s="229"/>
      <c r="M27" s="229"/>
      <c r="N27" s="229">
        <v>791.62</v>
      </c>
      <c r="O27" s="229">
        <v>6129.6916255009455</v>
      </c>
      <c r="P27" s="229">
        <v>6373.4456746223641</v>
      </c>
      <c r="Q27" s="230">
        <v>82413.883526050136</v>
      </c>
      <c r="R27" s="204"/>
    </row>
    <row r="28" spans="1:19">
      <c r="A28" s="218" t="s">
        <v>255</v>
      </c>
      <c r="B28" s="226" t="s">
        <v>58</v>
      </c>
      <c r="C28" s="295" t="s">
        <v>191</v>
      </c>
      <c r="D28" s="227" t="s">
        <v>327</v>
      </c>
      <c r="E28" s="227">
        <v>580</v>
      </c>
      <c r="F28" s="222">
        <v>213488</v>
      </c>
      <c r="G28" s="228"/>
      <c r="H28" s="229"/>
      <c r="I28" s="229">
        <v>35205.29040548746</v>
      </c>
      <c r="J28" s="229"/>
      <c r="K28" s="229"/>
      <c r="L28" s="229"/>
      <c r="M28" s="229"/>
      <c r="N28" s="229"/>
      <c r="O28" s="229">
        <v>3520.5290422190765</v>
      </c>
      <c r="P28" s="229">
        <v>5780.9458720436096</v>
      </c>
      <c r="Q28" s="230">
        <v>44506.765319750142</v>
      </c>
      <c r="R28" s="204"/>
    </row>
    <row r="29" spans="1:19">
      <c r="A29" s="218" t="s">
        <v>256</v>
      </c>
      <c r="B29" s="226" t="s">
        <v>257</v>
      </c>
      <c r="C29" s="295" t="s">
        <v>191</v>
      </c>
      <c r="D29" s="227" t="s">
        <v>327</v>
      </c>
      <c r="E29" s="227">
        <v>580</v>
      </c>
      <c r="F29" s="222">
        <v>213488</v>
      </c>
      <c r="G29" s="228"/>
      <c r="H29" s="229"/>
      <c r="I29" s="229">
        <v>37887.11339864257</v>
      </c>
      <c r="J29" s="229"/>
      <c r="K29" s="229"/>
      <c r="L29" s="229"/>
      <c r="M29" s="229"/>
      <c r="N29" s="229"/>
      <c r="O29" s="229">
        <v>2944.9613412615067</v>
      </c>
      <c r="P29" s="229">
        <v>3812.5938549599182</v>
      </c>
      <c r="Q29" s="230">
        <v>44644.668594863993</v>
      </c>
      <c r="R29" s="204"/>
    </row>
    <row r="30" spans="1:19">
      <c r="A30" s="218" t="s">
        <v>278</v>
      </c>
      <c r="B30" s="226" t="s">
        <v>71</v>
      </c>
      <c r="C30" s="295" t="s">
        <v>191</v>
      </c>
      <c r="D30" s="227" t="s">
        <v>327</v>
      </c>
      <c r="E30" s="227">
        <v>580</v>
      </c>
      <c r="F30" s="222">
        <v>213488</v>
      </c>
      <c r="G30" s="228"/>
      <c r="H30" s="229"/>
      <c r="I30" s="229">
        <v>35390.458051726491</v>
      </c>
      <c r="J30" s="229"/>
      <c r="K30" s="229"/>
      <c r="L30" s="229"/>
      <c r="M30" s="229"/>
      <c r="N30" s="229"/>
      <c r="O30" s="229">
        <v>3539.0458068517651</v>
      </c>
      <c r="P30" s="229">
        <v>5098.962321652898</v>
      </c>
      <c r="Q30" s="230">
        <v>44028.466180231153</v>
      </c>
      <c r="R30" s="204"/>
    </row>
    <row r="31" spans="1:19">
      <c r="A31" s="321" t="s">
        <v>203</v>
      </c>
      <c r="B31" s="331" t="s">
        <v>290</v>
      </c>
      <c r="C31" s="332" t="s">
        <v>189</v>
      </c>
      <c r="D31" s="333" t="s">
        <v>325</v>
      </c>
      <c r="E31" s="333">
        <v>921</v>
      </c>
      <c r="F31" s="334">
        <v>11622</v>
      </c>
      <c r="G31" s="335">
        <v>40320</v>
      </c>
      <c r="H31" s="336"/>
      <c r="I31" s="336">
        <v>150012.81</v>
      </c>
      <c r="J31" s="336">
        <v>45739.79</v>
      </c>
      <c r="K31" s="336">
        <v>902.5</v>
      </c>
      <c r="L31" s="336">
        <v>3766.42</v>
      </c>
      <c r="M31" s="336">
        <v>1250</v>
      </c>
      <c r="N31" s="336">
        <v>26458.68</v>
      </c>
      <c r="O31" s="336"/>
      <c r="P31" s="336"/>
      <c r="Q31" s="337">
        <v>268450.2</v>
      </c>
      <c r="R31" s="204"/>
      <c r="S31" s="98">
        <f>SUM(G31:P31)</f>
        <v>268450.2</v>
      </c>
    </row>
    <row r="32" spans="1:19">
      <c r="A32" s="321" t="s">
        <v>261</v>
      </c>
      <c r="B32" s="331" t="s">
        <v>62</v>
      </c>
      <c r="C32" s="332" t="s">
        <v>189</v>
      </c>
      <c r="D32" s="333" t="s">
        <v>325</v>
      </c>
      <c r="E32" s="333">
        <v>921</v>
      </c>
      <c r="F32" s="334">
        <v>13026</v>
      </c>
      <c r="G32" s="335">
        <v>184807.37</v>
      </c>
      <c r="H32" s="336"/>
      <c r="I32" s="336">
        <v>514097.81641553139</v>
      </c>
      <c r="J32" s="336">
        <v>140770.35600000003</v>
      </c>
      <c r="K32" s="336">
        <v>19152.88</v>
      </c>
      <c r="L32" s="336">
        <v>10800</v>
      </c>
      <c r="M32" s="336">
        <v>42676.65</v>
      </c>
      <c r="N32" s="336">
        <v>64944.2</v>
      </c>
      <c r="O32" s="336">
        <v>785.03664192558836</v>
      </c>
      <c r="P32" s="336">
        <v>514.96687630253223</v>
      </c>
      <c r="Q32" s="337">
        <v>978549.27593375952</v>
      </c>
      <c r="R32" s="204"/>
      <c r="S32" s="98">
        <f>SUM(G32:P32)</f>
        <v>978549.27593375952</v>
      </c>
    </row>
    <row r="33" spans="1:19" collapsed="1">
      <c r="A33" s="218" t="s">
        <v>259</v>
      </c>
      <c r="B33" s="226" t="s">
        <v>471</v>
      </c>
      <c r="C33" s="296" t="s">
        <v>190</v>
      </c>
      <c r="D33" s="227" t="s">
        <v>325</v>
      </c>
      <c r="E33" s="227">
        <v>921</v>
      </c>
      <c r="F33" s="222">
        <v>11622</v>
      </c>
      <c r="G33" s="228">
        <v>-3360</v>
      </c>
      <c r="H33" s="229"/>
      <c r="I33" s="229">
        <v>25501.927466505971</v>
      </c>
      <c r="J33" s="229">
        <v>-1644</v>
      </c>
      <c r="K33" s="229"/>
      <c r="L33" s="229"/>
      <c r="M33" s="229"/>
      <c r="N33" s="229"/>
      <c r="O33" s="229">
        <v>715.928746990273</v>
      </c>
      <c r="P33" s="229">
        <v>493.1183928617192</v>
      </c>
      <c r="Q33" s="230">
        <v>21706.974606357962</v>
      </c>
      <c r="R33" s="204"/>
    </row>
    <row r="34" spans="1:19">
      <c r="A34" s="218" t="s">
        <v>214</v>
      </c>
      <c r="B34" s="226" t="s">
        <v>472</v>
      </c>
      <c r="C34" s="296" t="s">
        <v>190</v>
      </c>
      <c r="D34" s="227" t="s">
        <v>325</v>
      </c>
      <c r="E34" s="227">
        <v>921</v>
      </c>
      <c r="F34" s="222">
        <v>11676</v>
      </c>
      <c r="G34" s="228">
        <v>71782.600000000006</v>
      </c>
      <c r="H34" s="229"/>
      <c r="I34" s="229">
        <v>303517.97238132468</v>
      </c>
      <c r="J34" s="229">
        <v>86401.14</v>
      </c>
      <c r="K34" s="229">
        <v>10695.66</v>
      </c>
      <c r="L34" s="229">
        <v>6631.8</v>
      </c>
      <c r="M34" s="229">
        <v>3360</v>
      </c>
      <c r="N34" s="229">
        <v>32363.86</v>
      </c>
      <c r="O34" s="229">
        <v>285.9842382681507</v>
      </c>
      <c r="P34" s="229">
        <v>138.55886854320397</v>
      </c>
      <c r="Q34" s="230">
        <v>515177.57548813603</v>
      </c>
      <c r="R34" s="204"/>
    </row>
    <row r="35" spans="1:19">
      <c r="A35" s="218" t="s">
        <v>265</v>
      </c>
      <c r="B35" s="226" t="s">
        <v>473</v>
      </c>
      <c r="C35" s="296" t="s">
        <v>190</v>
      </c>
      <c r="D35" s="227" t="s">
        <v>325</v>
      </c>
      <c r="E35" s="227">
        <v>921</v>
      </c>
      <c r="F35" s="222">
        <v>13024</v>
      </c>
      <c r="G35" s="228"/>
      <c r="H35" s="229"/>
      <c r="I35" s="229">
        <v>39973.209628430435</v>
      </c>
      <c r="J35" s="229">
        <v>-536.41999999999996</v>
      </c>
      <c r="K35" s="229"/>
      <c r="L35" s="229"/>
      <c r="M35" s="229"/>
      <c r="N35" s="229"/>
      <c r="O35" s="229">
        <v>2986.3689642599402</v>
      </c>
      <c r="P35" s="229">
        <v>3853.7459577223663</v>
      </c>
      <c r="Q35" s="230">
        <v>46276.904550412743</v>
      </c>
      <c r="R35" s="204"/>
      <c r="S35" s="98">
        <f>SUM(S5:S34)</f>
        <v>1635902.9859337595</v>
      </c>
    </row>
    <row r="36" spans="1:19">
      <c r="A36" s="218" t="s">
        <v>243</v>
      </c>
      <c r="B36" s="226" t="s">
        <v>474</v>
      </c>
      <c r="C36" s="296" t="s">
        <v>190</v>
      </c>
      <c r="D36" s="227" t="s">
        <v>325</v>
      </c>
      <c r="E36" s="227">
        <v>921</v>
      </c>
      <c r="F36" s="222">
        <v>13193</v>
      </c>
      <c r="G36" s="228">
        <v>-96207</v>
      </c>
      <c r="H36" s="229"/>
      <c r="I36" s="229">
        <v>114032.91314563395</v>
      </c>
      <c r="J36" s="229">
        <v>-46463.513999999996</v>
      </c>
      <c r="K36" s="229"/>
      <c r="L36" s="229"/>
      <c r="M36" s="229"/>
      <c r="N36" s="229"/>
      <c r="O36" s="229">
        <v>7567.6993181539237</v>
      </c>
      <c r="P36" s="229">
        <v>13922.764649221437</v>
      </c>
      <c r="Q36" s="230">
        <v>-7147.1368869906837</v>
      </c>
      <c r="R36" s="204"/>
    </row>
    <row r="37" spans="1:19" s="204" customFormat="1">
      <c r="A37" s="218" t="s">
        <v>251</v>
      </c>
      <c r="B37" s="226" t="s">
        <v>475</v>
      </c>
      <c r="C37" s="296" t="s">
        <v>190</v>
      </c>
      <c r="D37" s="227" t="s">
        <v>325</v>
      </c>
      <c r="E37" s="227">
        <v>921</v>
      </c>
      <c r="F37" s="222">
        <v>13846</v>
      </c>
      <c r="G37" s="228">
        <v>165734.84</v>
      </c>
      <c r="H37" s="229"/>
      <c r="I37" s="229">
        <v>116199.98</v>
      </c>
      <c r="J37" s="229">
        <v>34296</v>
      </c>
      <c r="K37" s="229"/>
      <c r="L37" s="229"/>
      <c r="M37" s="229"/>
      <c r="N37" s="229"/>
      <c r="O37" s="229"/>
      <c r="P37" s="229"/>
      <c r="Q37" s="230">
        <v>316230.82</v>
      </c>
    </row>
    <row r="38" spans="1:19">
      <c r="A38" s="218" t="s">
        <v>197</v>
      </c>
      <c r="B38" s="226" t="s">
        <v>31</v>
      </c>
      <c r="C38" s="295" t="s">
        <v>191</v>
      </c>
      <c r="D38" s="227" t="s">
        <v>325</v>
      </c>
      <c r="E38" s="227">
        <v>921</v>
      </c>
      <c r="F38" s="222">
        <v>10069</v>
      </c>
      <c r="G38" s="228"/>
      <c r="H38" s="229"/>
      <c r="I38" s="229">
        <v>31463.855701289394</v>
      </c>
      <c r="J38" s="229"/>
      <c r="K38" s="229"/>
      <c r="L38" s="229"/>
      <c r="M38" s="229"/>
      <c r="N38" s="229"/>
      <c r="O38" s="229">
        <v>3146.3855716217563</v>
      </c>
      <c r="P38" s="229">
        <v>6241.4804129642307</v>
      </c>
      <c r="Q38" s="230">
        <v>40851.721685875382</v>
      </c>
      <c r="R38" s="204"/>
    </row>
    <row r="39" spans="1:19">
      <c r="A39" s="218" t="s">
        <v>271</v>
      </c>
      <c r="B39" s="226" t="s">
        <v>272</v>
      </c>
      <c r="C39" s="295" t="s">
        <v>191</v>
      </c>
      <c r="D39" s="227" t="s">
        <v>325</v>
      </c>
      <c r="E39" s="227">
        <v>921</v>
      </c>
      <c r="F39" s="222">
        <v>11640</v>
      </c>
      <c r="G39" s="228">
        <v>74012.88</v>
      </c>
      <c r="H39" s="229"/>
      <c r="I39" s="229">
        <v>285802.57442636392</v>
      </c>
      <c r="J39" s="229">
        <v>67258.78</v>
      </c>
      <c r="K39" s="229">
        <v>21528.89</v>
      </c>
      <c r="L39" s="229">
        <v>9352.2000000000007</v>
      </c>
      <c r="M39" s="229">
        <v>11659</v>
      </c>
      <c r="N39" s="229">
        <v>60405.78</v>
      </c>
      <c r="O39" s="229">
        <v>-31.137557378384244</v>
      </c>
      <c r="P39" s="229">
        <v>-18.531658586573599</v>
      </c>
      <c r="Q39" s="230">
        <v>529970.43521039898</v>
      </c>
      <c r="R39" s="204"/>
    </row>
    <row r="40" spans="1:19">
      <c r="A40" s="218" t="s">
        <v>260</v>
      </c>
      <c r="B40" s="226" t="s">
        <v>294</v>
      </c>
      <c r="C40" s="295" t="s">
        <v>191</v>
      </c>
      <c r="D40" s="227" t="s">
        <v>325</v>
      </c>
      <c r="E40" s="227">
        <v>921</v>
      </c>
      <c r="F40" s="222">
        <v>10111</v>
      </c>
      <c r="G40" s="228"/>
      <c r="H40" s="229"/>
      <c r="I40" s="229">
        <v>161.01610163365953</v>
      </c>
      <c r="J40" s="229"/>
      <c r="K40" s="229"/>
      <c r="L40" s="229"/>
      <c r="M40" s="229"/>
      <c r="N40" s="229"/>
      <c r="O40" s="229">
        <v>16.101610171005433</v>
      </c>
      <c r="P40" s="229">
        <v>31.968778963894231</v>
      </c>
      <c r="Q40" s="230">
        <v>209.0864907685592</v>
      </c>
      <c r="R40" s="204"/>
    </row>
    <row r="41" spans="1:19">
      <c r="A41" s="218" t="s">
        <v>233</v>
      </c>
      <c r="B41" s="226" t="s">
        <v>45</v>
      </c>
      <c r="C41" s="295" t="s">
        <v>191</v>
      </c>
      <c r="D41" s="227" t="s">
        <v>325</v>
      </c>
      <c r="E41" s="227">
        <v>921</v>
      </c>
      <c r="F41" s="222">
        <v>10190</v>
      </c>
      <c r="G41" s="228"/>
      <c r="H41" s="229"/>
      <c r="I41" s="229">
        <v>11379.103846942986</v>
      </c>
      <c r="J41" s="229">
        <v>-16286.672</v>
      </c>
      <c r="K41" s="229"/>
      <c r="L41" s="229"/>
      <c r="M41" s="229"/>
      <c r="N41" s="229"/>
      <c r="O41" s="229">
        <v>1137.9103852341852</v>
      </c>
      <c r="P41" s="229">
        <v>1231.2766128901392</v>
      </c>
      <c r="Q41" s="230">
        <v>-2538.3811549326902</v>
      </c>
    </row>
    <row r="42" spans="1:19">
      <c r="A42" s="218" t="s">
        <v>262</v>
      </c>
      <c r="B42" s="226" t="s">
        <v>263</v>
      </c>
      <c r="C42" s="295" t="s">
        <v>191</v>
      </c>
      <c r="D42" s="227" t="s">
        <v>325</v>
      </c>
      <c r="E42" s="227">
        <v>921</v>
      </c>
      <c r="F42" s="222">
        <v>10190</v>
      </c>
      <c r="G42" s="228"/>
      <c r="H42" s="229"/>
      <c r="I42" s="229">
        <v>70810.413375667486</v>
      </c>
      <c r="J42" s="229">
        <v>-335968.56</v>
      </c>
      <c r="K42" s="229"/>
      <c r="L42" s="229"/>
      <c r="M42" s="229"/>
      <c r="N42" s="229"/>
      <c r="O42" s="229">
        <v>7081.0413409263801</v>
      </c>
      <c r="P42" s="229">
        <v>15678.24762047176</v>
      </c>
      <c r="Q42" s="230">
        <v>-242398.8576629344</v>
      </c>
    </row>
    <row r="43" spans="1:19">
      <c r="A43" s="218" t="s">
        <v>198</v>
      </c>
      <c r="B43" s="226" t="s">
        <v>295</v>
      </c>
      <c r="C43" s="295" t="s">
        <v>191</v>
      </c>
      <c r="D43" s="227" t="s">
        <v>325</v>
      </c>
      <c r="E43" s="227">
        <v>921</v>
      </c>
      <c r="F43" s="222">
        <v>11620</v>
      </c>
      <c r="G43" s="228"/>
      <c r="H43" s="229"/>
      <c r="I43" s="229">
        <v>46.143902814880249</v>
      </c>
      <c r="J43" s="229"/>
      <c r="K43" s="229"/>
      <c r="L43" s="229"/>
      <c r="M43" s="229"/>
      <c r="N43" s="229"/>
      <c r="O43" s="229">
        <v>4.6143902836773432</v>
      </c>
      <c r="P43" s="229">
        <v>12.911527079178997</v>
      </c>
      <c r="Q43" s="230">
        <v>63.66982017773659</v>
      </c>
    </row>
    <row r="44" spans="1:19">
      <c r="A44" s="218" t="s">
        <v>225</v>
      </c>
      <c r="B44" s="226" t="s">
        <v>40</v>
      </c>
      <c r="C44" s="295" t="s">
        <v>191</v>
      </c>
      <c r="D44" s="227" t="s">
        <v>325</v>
      </c>
      <c r="E44" s="227">
        <v>921</v>
      </c>
      <c r="F44" s="222">
        <v>11622</v>
      </c>
      <c r="G44" s="228">
        <v>48692.160000000003</v>
      </c>
      <c r="H44" s="229"/>
      <c r="I44" s="229">
        <v>79103.974583731673</v>
      </c>
      <c r="J44" s="229">
        <v>-42656.582000000009</v>
      </c>
      <c r="K44" s="229">
        <v>8098.33</v>
      </c>
      <c r="L44" s="229">
        <v>1231.7</v>
      </c>
      <c r="M44" s="229">
        <v>2881.6</v>
      </c>
      <c r="N44" s="229">
        <v>15515.33</v>
      </c>
      <c r="O44" s="229">
        <v>2635.3444596235195</v>
      </c>
      <c r="P44" s="229">
        <v>1996.8219896411208</v>
      </c>
      <c r="Q44" s="230">
        <v>117498.67903299631</v>
      </c>
    </row>
    <row r="45" spans="1:19">
      <c r="A45" s="218" t="s">
        <v>239</v>
      </c>
      <c r="B45" s="226" t="s">
        <v>296</v>
      </c>
      <c r="C45" s="295" t="s">
        <v>191</v>
      </c>
      <c r="D45" s="227" t="s">
        <v>325</v>
      </c>
      <c r="E45" s="227">
        <v>921</v>
      </c>
      <c r="F45" s="222">
        <v>11631</v>
      </c>
      <c r="G45" s="228"/>
      <c r="H45" s="229"/>
      <c r="I45" s="229">
        <v>4093.9044705296906</v>
      </c>
      <c r="J45" s="229"/>
      <c r="K45" s="229"/>
      <c r="L45" s="229"/>
      <c r="M45" s="229"/>
      <c r="N45" s="229"/>
      <c r="O45" s="229">
        <v>409.39044724720623</v>
      </c>
      <c r="P45" s="229">
        <v>494.31726318542974</v>
      </c>
      <c r="Q45" s="230">
        <v>4997.6121809623264</v>
      </c>
    </row>
    <row r="46" spans="1:19">
      <c r="A46" s="218" t="s">
        <v>231</v>
      </c>
      <c r="B46" s="226" t="s">
        <v>297</v>
      </c>
      <c r="C46" s="295" t="s">
        <v>191</v>
      </c>
      <c r="D46" s="227" t="s">
        <v>325</v>
      </c>
      <c r="E46" s="227">
        <v>921</v>
      </c>
      <c r="F46" s="222">
        <v>11638</v>
      </c>
      <c r="G46" s="228"/>
      <c r="H46" s="229"/>
      <c r="I46" s="229">
        <v>217.71215731865951</v>
      </c>
      <c r="J46" s="229"/>
      <c r="K46" s="229"/>
      <c r="L46" s="229"/>
      <c r="M46" s="229"/>
      <c r="N46" s="229"/>
      <c r="O46" s="229">
        <v>21.771215742195402</v>
      </c>
      <c r="P46" s="229">
        <v>60.918046441877379</v>
      </c>
      <c r="Q46" s="230">
        <v>300.40141950273232</v>
      </c>
    </row>
    <row r="47" spans="1:19">
      <c r="A47" s="218" t="s">
        <v>280</v>
      </c>
      <c r="B47" s="226" t="s">
        <v>298</v>
      </c>
      <c r="C47" s="295" t="s">
        <v>191</v>
      </c>
      <c r="D47" s="227" t="s">
        <v>325</v>
      </c>
      <c r="E47" s="227">
        <v>921</v>
      </c>
      <c r="F47" s="222">
        <v>11640</v>
      </c>
      <c r="G47" s="228"/>
      <c r="H47" s="229"/>
      <c r="I47" s="229">
        <v>11970.511965888112</v>
      </c>
      <c r="J47" s="229"/>
      <c r="K47" s="229"/>
      <c r="L47" s="229"/>
      <c r="M47" s="229"/>
      <c r="N47" s="229"/>
      <c r="O47" s="229">
        <v>1197.0511971567576</v>
      </c>
      <c r="P47" s="229">
        <v>2815.9989920281569</v>
      </c>
      <c r="Q47" s="230">
        <v>15983.562155073027</v>
      </c>
    </row>
    <row r="48" spans="1:19">
      <c r="A48" s="218" t="s">
        <v>269</v>
      </c>
      <c r="B48" s="226" t="s">
        <v>67</v>
      </c>
      <c r="C48" s="295" t="s">
        <v>191</v>
      </c>
      <c r="D48" s="227" t="s">
        <v>325</v>
      </c>
      <c r="E48" s="227">
        <v>921</v>
      </c>
      <c r="F48" s="222">
        <v>11643</v>
      </c>
      <c r="G48" s="228">
        <v>-38528</v>
      </c>
      <c r="H48" s="229"/>
      <c r="I48" s="229">
        <v>62100.783060449976</v>
      </c>
      <c r="J48" s="229">
        <v>-20978.080000000002</v>
      </c>
      <c r="K48" s="229"/>
      <c r="L48" s="229"/>
      <c r="M48" s="229"/>
      <c r="N48" s="229"/>
      <c r="O48" s="229">
        <v>4442.7663081528872</v>
      </c>
      <c r="P48" s="229">
        <v>7133.9214863941052</v>
      </c>
      <c r="Q48" s="230">
        <v>14171.390854996971</v>
      </c>
    </row>
    <row r="49" spans="1:17">
      <c r="A49" s="218" t="s">
        <v>230</v>
      </c>
      <c r="B49" s="226" t="s">
        <v>44</v>
      </c>
      <c r="C49" s="295" t="s">
        <v>191</v>
      </c>
      <c r="D49" s="227" t="s">
        <v>325</v>
      </c>
      <c r="E49" s="227">
        <v>921</v>
      </c>
      <c r="F49" s="222">
        <v>11648</v>
      </c>
      <c r="G49" s="228"/>
      <c r="H49" s="229"/>
      <c r="I49" s="229">
        <v>35181.922436590263</v>
      </c>
      <c r="J49" s="229">
        <v>-22982.400000000001</v>
      </c>
      <c r="K49" s="229"/>
      <c r="L49" s="229"/>
      <c r="M49" s="229"/>
      <c r="N49" s="229"/>
      <c r="O49" s="229">
        <v>3518.1922453282482</v>
      </c>
      <c r="P49" s="229">
        <v>4972.4718726909605</v>
      </c>
      <c r="Q49" s="230">
        <v>20690.18655460947</v>
      </c>
    </row>
    <row r="50" spans="1:17">
      <c r="A50" s="218" t="s">
        <v>228</v>
      </c>
      <c r="B50" s="226" t="s">
        <v>42</v>
      </c>
      <c r="C50" s="295" t="s">
        <v>191</v>
      </c>
      <c r="D50" s="227" t="s">
        <v>325</v>
      </c>
      <c r="E50" s="227">
        <v>921</v>
      </c>
      <c r="F50" s="222">
        <v>11650</v>
      </c>
      <c r="G50" s="228"/>
      <c r="H50" s="229"/>
      <c r="I50" s="229">
        <v>9714.2144205885907</v>
      </c>
      <c r="J50" s="229">
        <v>-3469.072000000001</v>
      </c>
      <c r="K50" s="229"/>
      <c r="L50" s="229"/>
      <c r="M50" s="229"/>
      <c r="N50" s="229"/>
      <c r="O50" s="229">
        <v>971.42144251975435</v>
      </c>
      <c r="P50" s="229">
        <v>687.49512403913843</v>
      </c>
      <c r="Q50" s="230">
        <v>7904.0589871474822</v>
      </c>
    </row>
    <row r="51" spans="1:17">
      <c r="A51" s="218" t="s">
        <v>247</v>
      </c>
      <c r="B51" s="226" t="s">
        <v>248</v>
      </c>
      <c r="C51" s="295" t="s">
        <v>191</v>
      </c>
      <c r="D51" s="227" t="s">
        <v>325</v>
      </c>
      <c r="E51" s="227">
        <v>921</v>
      </c>
      <c r="F51" s="222">
        <v>11650</v>
      </c>
      <c r="G51" s="228"/>
      <c r="H51" s="229"/>
      <c r="I51" s="229">
        <v>12232.034711690636</v>
      </c>
      <c r="J51" s="229"/>
      <c r="K51" s="229"/>
      <c r="L51" s="229"/>
      <c r="M51" s="229"/>
      <c r="N51" s="229"/>
      <c r="O51" s="229">
        <v>1223.2034717494182</v>
      </c>
      <c r="P51" s="229">
        <v>3078.5757193466961</v>
      </c>
      <c r="Q51" s="230">
        <v>16533.813902786751</v>
      </c>
    </row>
    <row r="52" spans="1:17">
      <c r="A52" s="218" t="s">
        <v>215</v>
      </c>
      <c r="B52" s="226" t="s">
        <v>299</v>
      </c>
      <c r="C52" s="295" t="s">
        <v>191</v>
      </c>
      <c r="D52" s="227" t="s">
        <v>325</v>
      </c>
      <c r="E52" s="227">
        <v>921</v>
      </c>
      <c r="F52" s="222">
        <v>11653</v>
      </c>
      <c r="G52" s="228"/>
      <c r="H52" s="229"/>
      <c r="I52" s="229">
        <v>98.103678663786908</v>
      </c>
      <c r="J52" s="229"/>
      <c r="K52" s="229"/>
      <c r="L52" s="229"/>
      <c r="M52" s="229"/>
      <c r="N52" s="229"/>
      <c r="O52" s="229">
        <v>9.8103678710332627</v>
      </c>
      <c r="P52" s="229">
        <v>19.137167504874231</v>
      </c>
      <c r="Q52" s="230">
        <v>127.0512140396944</v>
      </c>
    </row>
    <row r="53" spans="1:17">
      <c r="A53" s="218" t="s">
        <v>273</v>
      </c>
      <c r="B53" s="226" t="s">
        <v>299</v>
      </c>
      <c r="C53" s="295" t="s">
        <v>191</v>
      </c>
      <c r="D53" s="227" t="s">
        <v>325</v>
      </c>
      <c r="E53" s="227">
        <v>921</v>
      </c>
      <c r="F53" s="222">
        <v>11653</v>
      </c>
      <c r="G53" s="228"/>
      <c r="H53" s="229"/>
      <c r="I53" s="229">
        <v>13.024769549256764</v>
      </c>
      <c r="J53" s="229"/>
      <c r="K53" s="229"/>
      <c r="L53" s="229"/>
      <c r="M53" s="229"/>
      <c r="N53" s="229"/>
      <c r="O53" s="229">
        <v>1.3024769555436424</v>
      </c>
      <c r="P53" s="229">
        <v>1.6191873962618004</v>
      </c>
      <c r="Q53" s="230">
        <v>15.946433901062207</v>
      </c>
    </row>
    <row r="54" spans="1:17">
      <c r="A54" s="218" t="s">
        <v>240</v>
      </c>
      <c r="B54" s="226" t="s">
        <v>50</v>
      </c>
      <c r="C54" s="295" t="s">
        <v>191</v>
      </c>
      <c r="D54" s="227" t="s">
        <v>325</v>
      </c>
      <c r="E54" s="227">
        <v>921</v>
      </c>
      <c r="F54" s="222">
        <v>11654</v>
      </c>
      <c r="G54" s="228">
        <v>-19236</v>
      </c>
      <c r="H54" s="229"/>
      <c r="I54" s="229">
        <v>55058.602389874519</v>
      </c>
      <c r="J54" s="229">
        <v>-9701.49</v>
      </c>
      <c r="K54" s="229"/>
      <c r="L54" s="229"/>
      <c r="M54" s="229"/>
      <c r="N54" s="229"/>
      <c r="O54" s="229">
        <v>2051.9932399610298</v>
      </c>
      <c r="P54" s="229">
        <v>3559.2858269370754</v>
      </c>
      <c r="Q54" s="230">
        <v>31732.391456772624</v>
      </c>
    </row>
    <row r="55" spans="1:17">
      <c r="A55" s="218" t="s">
        <v>250</v>
      </c>
      <c r="B55" s="226" t="s">
        <v>314</v>
      </c>
      <c r="C55" s="295" t="s">
        <v>191</v>
      </c>
      <c r="D55" s="227" t="s">
        <v>325</v>
      </c>
      <c r="E55" s="227">
        <v>921</v>
      </c>
      <c r="F55" s="222">
        <v>11766</v>
      </c>
      <c r="G55" s="228"/>
      <c r="H55" s="229"/>
      <c r="I55" s="229">
        <v>267.84358984848603</v>
      </c>
      <c r="J55" s="229"/>
      <c r="K55" s="229"/>
      <c r="L55" s="229"/>
      <c r="M55" s="229"/>
      <c r="N55" s="229"/>
      <c r="O55" s="229">
        <v>26.784358997556559</v>
      </c>
      <c r="P55" s="229">
        <v>52.248475427755672</v>
      </c>
      <c r="Q55" s="230">
        <v>346.87642427379831</v>
      </c>
    </row>
    <row r="56" spans="1:17">
      <c r="A56" s="218" t="s">
        <v>285</v>
      </c>
      <c r="B56" s="226" t="s">
        <v>315</v>
      </c>
      <c r="C56" s="295" t="s">
        <v>191</v>
      </c>
      <c r="D56" s="227" t="s">
        <v>325</v>
      </c>
      <c r="E56" s="227">
        <v>921</v>
      </c>
      <c r="F56" s="222">
        <v>11766</v>
      </c>
      <c r="G56" s="228"/>
      <c r="H56" s="229"/>
      <c r="I56" s="229">
        <v>14.208839508280105</v>
      </c>
      <c r="J56" s="229"/>
      <c r="K56" s="229"/>
      <c r="L56" s="229"/>
      <c r="M56" s="229"/>
      <c r="N56" s="229"/>
      <c r="O56" s="229"/>
      <c r="P56" s="229">
        <v>2.7717303308444041</v>
      </c>
      <c r="Q56" s="230">
        <v>16.980569839124509</v>
      </c>
    </row>
    <row r="57" spans="1:17">
      <c r="A57" s="218" t="s">
        <v>268</v>
      </c>
      <c r="B57" s="226" t="s">
        <v>300</v>
      </c>
      <c r="C57" s="295" t="s">
        <v>191</v>
      </c>
      <c r="D57" s="227" t="s">
        <v>325</v>
      </c>
      <c r="E57" s="227">
        <v>921</v>
      </c>
      <c r="F57" s="222">
        <v>12633</v>
      </c>
      <c r="G57" s="228"/>
      <c r="H57" s="229"/>
      <c r="I57" s="229">
        <v>6.0770649367521532</v>
      </c>
      <c r="J57" s="229"/>
      <c r="K57" s="229"/>
      <c r="L57" s="229"/>
      <c r="M57" s="229"/>
      <c r="N57" s="229"/>
      <c r="O57" s="229">
        <v>0.60770649396354437</v>
      </c>
      <c r="P57" s="229">
        <v>0.75547647232001136</v>
      </c>
      <c r="Q57" s="230">
        <v>7.4402479030357087</v>
      </c>
    </row>
    <row r="58" spans="1:17">
      <c r="A58" s="218" t="s">
        <v>282</v>
      </c>
      <c r="B58" s="226" t="s">
        <v>283</v>
      </c>
      <c r="C58" s="295" t="s">
        <v>191</v>
      </c>
      <c r="D58" s="227" t="s">
        <v>325</v>
      </c>
      <c r="E58" s="227">
        <v>921</v>
      </c>
      <c r="F58" s="222">
        <v>12633</v>
      </c>
      <c r="G58" s="228"/>
      <c r="H58" s="229"/>
      <c r="I58" s="229">
        <v>30020.805264316728</v>
      </c>
      <c r="J58" s="229">
        <v>-467.53</v>
      </c>
      <c r="K58" s="229"/>
      <c r="L58" s="229"/>
      <c r="M58" s="229"/>
      <c r="N58" s="229"/>
      <c r="O58" s="229">
        <v>3002.0805278560233</v>
      </c>
      <c r="P58" s="229">
        <v>4231.1340221988921</v>
      </c>
      <c r="Q58" s="230">
        <v>36786.489814371642</v>
      </c>
    </row>
    <row r="59" spans="1:17">
      <c r="A59" s="218" t="s">
        <v>213</v>
      </c>
      <c r="B59" s="226" t="s">
        <v>301</v>
      </c>
      <c r="C59" s="295" t="s">
        <v>191</v>
      </c>
      <c r="D59" s="227" t="s">
        <v>325</v>
      </c>
      <c r="E59" s="227">
        <v>921</v>
      </c>
      <c r="F59" s="222">
        <v>13020</v>
      </c>
      <c r="G59" s="228"/>
      <c r="H59" s="229"/>
      <c r="I59" s="229">
        <v>10.761106392300373</v>
      </c>
      <c r="J59" s="229"/>
      <c r="K59" s="229"/>
      <c r="L59" s="229"/>
      <c r="M59" s="229"/>
      <c r="N59" s="229"/>
      <c r="O59" s="229">
        <v>1.0761106397406031</v>
      </c>
      <c r="P59" s="229">
        <v>2.0991781182130413</v>
      </c>
      <c r="Q59" s="230">
        <v>13.936395150254018</v>
      </c>
    </row>
    <row r="60" spans="1:17">
      <c r="A60" s="218" t="s">
        <v>217</v>
      </c>
      <c r="B60" s="226" t="s">
        <v>301</v>
      </c>
      <c r="C60" s="295" t="s">
        <v>191</v>
      </c>
      <c r="D60" s="227" t="s">
        <v>325</v>
      </c>
      <c r="E60" s="227">
        <v>921</v>
      </c>
      <c r="F60" s="222">
        <v>13020</v>
      </c>
      <c r="G60" s="228"/>
      <c r="H60" s="229"/>
      <c r="I60" s="229">
        <v>80.534170007102318</v>
      </c>
      <c r="J60" s="229"/>
      <c r="K60" s="229"/>
      <c r="L60" s="229"/>
      <c r="M60" s="229"/>
      <c r="N60" s="229"/>
      <c r="O60" s="229">
        <v>8.0534170045312106</v>
      </c>
      <c r="P60" s="229">
        <v>22.413274185068445</v>
      </c>
      <c r="Q60" s="230">
        <v>111.00086119670198</v>
      </c>
    </row>
    <row r="61" spans="1:17">
      <c r="A61" s="218" t="s">
        <v>229</v>
      </c>
      <c r="B61" s="226" t="s">
        <v>302</v>
      </c>
      <c r="C61" s="295" t="s">
        <v>191</v>
      </c>
      <c r="D61" s="227" t="s">
        <v>325</v>
      </c>
      <c r="E61" s="227">
        <v>921</v>
      </c>
      <c r="F61" s="222">
        <v>13020</v>
      </c>
      <c r="G61" s="228"/>
      <c r="H61" s="229"/>
      <c r="I61" s="229">
        <v>11603.293563449242</v>
      </c>
      <c r="J61" s="229"/>
      <c r="K61" s="229"/>
      <c r="L61" s="229"/>
      <c r="M61" s="229"/>
      <c r="N61" s="229"/>
      <c r="O61" s="229">
        <v>1160.3293568954477</v>
      </c>
      <c r="P61" s="229">
        <v>2593.4067009635964</v>
      </c>
      <c r="Q61" s="230">
        <v>15357.029621308286</v>
      </c>
    </row>
    <row r="62" spans="1:17">
      <c r="A62" s="218" t="s">
        <v>237</v>
      </c>
      <c r="B62" s="226" t="s">
        <v>301</v>
      </c>
      <c r="C62" s="295" t="s">
        <v>191</v>
      </c>
      <c r="D62" s="227" t="s">
        <v>325</v>
      </c>
      <c r="E62" s="227">
        <v>921</v>
      </c>
      <c r="F62" s="222">
        <v>13020</v>
      </c>
      <c r="G62" s="228"/>
      <c r="H62" s="229"/>
      <c r="I62" s="229">
        <v>874.87098457661443</v>
      </c>
      <c r="J62" s="229"/>
      <c r="K62" s="229"/>
      <c r="L62" s="229"/>
      <c r="M62" s="229"/>
      <c r="N62" s="229"/>
      <c r="O62" s="229">
        <v>87.487098499170088</v>
      </c>
      <c r="P62" s="229">
        <v>244.79768114686433</v>
      </c>
      <c r="Q62" s="230">
        <v>1207.1557642226489</v>
      </c>
    </row>
    <row r="63" spans="1:17">
      <c r="A63" s="218" t="s">
        <v>244</v>
      </c>
      <c r="B63" s="226" t="s">
        <v>301</v>
      </c>
      <c r="C63" s="295" t="s">
        <v>191</v>
      </c>
      <c r="D63" s="227" t="s">
        <v>325</v>
      </c>
      <c r="E63" s="227">
        <v>921</v>
      </c>
      <c r="F63" s="222">
        <v>13020</v>
      </c>
      <c r="G63" s="228"/>
      <c r="H63" s="229"/>
      <c r="I63" s="229">
        <v>4.0920064760365502</v>
      </c>
      <c r="J63" s="229"/>
      <c r="K63" s="229"/>
      <c r="L63" s="229"/>
      <c r="M63" s="229"/>
      <c r="N63" s="229"/>
      <c r="O63" s="229">
        <v>0.40920064779780213</v>
      </c>
      <c r="P63" s="229">
        <v>1.1449844768328548</v>
      </c>
      <c r="Q63" s="230">
        <v>5.6461916006672075</v>
      </c>
    </row>
    <row r="64" spans="1:17">
      <c r="A64" s="218" t="s">
        <v>275</v>
      </c>
      <c r="B64" s="226" t="s">
        <v>301</v>
      </c>
      <c r="C64" s="295" t="s">
        <v>191</v>
      </c>
      <c r="D64" s="227" t="s">
        <v>325</v>
      </c>
      <c r="E64" s="227">
        <v>921</v>
      </c>
      <c r="F64" s="222">
        <v>13020</v>
      </c>
      <c r="G64" s="228"/>
      <c r="H64" s="229"/>
      <c r="I64" s="229">
        <v>285.15190660244485</v>
      </c>
      <c r="J64" s="229"/>
      <c r="K64" s="229"/>
      <c r="L64" s="229"/>
      <c r="M64" s="229"/>
      <c r="N64" s="229"/>
      <c r="O64" s="229">
        <v>28.515190673773649</v>
      </c>
      <c r="P64" s="229">
        <v>55.903701602622988</v>
      </c>
      <c r="Q64" s="230">
        <v>369.57079887884152</v>
      </c>
    </row>
    <row r="65" spans="1:17">
      <c r="A65" s="218" t="s">
        <v>276</v>
      </c>
      <c r="B65" s="226" t="s">
        <v>301</v>
      </c>
      <c r="C65" s="295" t="s">
        <v>191</v>
      </c>
      <c r="D65" s="227" t="s">
        <v>325</v>
      </c>
      <c r="E65" s="227">
        <v>921</v>
      </c>
      <c r="F65" s="222">
        <v>13020</v>
      </c>
      <c r="G65" s="228"/>
      <c r="H65" s="229"/>
      <c r="I65" s="229">
        <v>14.870525661851973</v>
      </c>
      <c r="J65" s="229"/>
      <c r="K65" s="229"/>
      <c r="L65" s="229"/>
      <c r="M65" s="229"/>
      <c r="N65" s="229"/>
      <c r="O65" s="229">
        <v>1.4870525668907359</v>
      </c>
      <c r="P65" s="229">
        <v>4.1609223115542884</v>
      </c>
      <c r="Q65" s="230">
        <v>20.518500540296998</v>
      </c>
    </row>
    <row r="66" spans="1:17">
      <c r="A66" s="218" t="s">
        <v>281</v>
      </c>
      <c r="B66" s="226" t="s">
        <v>301</v>
      </c>
      <c r="C66" s="295" t="s">
        <v>191</v>
      </c>
      <c r="D66" s="227" t="s">
        <v>325</v>
      </c>
      <c r="E66" s="227">
        <v>921</v>
      </c>
      <c r="F66" s="222">
        <v>13020</v>
      </c>
      <c r="G66" s="228"/>
      <c r="H66" s="229"/>
      <c r="I66" s="229">
        <v>29.810702497764144</v>
      </c>
      <c r="J66" s="229"/>
      <c r="K66" s="229"/>
      <c r="L66" s="229"/>
      <c r="M66" s="229"/>
      <c r="N66" s="229"/>
      <c r="O66" s="229">
        <v>2.9810702511907965</v>
      </c>
      <c r="P66" s="229">
        <v>7.8027594222359458</v>
      </c>
      <c r="Q66" s="230">
        <v>40.594532171190885</v>
      </c>
    </row>
    <row r="67" spans="1:17">
      <c r="A67" s="218" t="s">
        <v>238</v>
      </c>
      <c r="B67" s="226" t="s">
        <v>49</v>
      </c>
      <c r="C67" s="295" t="s">
        <v>191</v>
      </c>
      <c r="D67" s="227" t="s">
        <v>325</v>
      </c>
      <c r="E67" s="227">
        <v>921</v>
      </c>
      <c r="F67" s="222">
        <v>13023</v>
      </c>
      <c r="G67" s="228">
        <v>72344.42</v>
      </c>
      <c r="H67" s="229">
        <v>-317608.09000000003</v>
      </c>
      <c r="I67" s="229">
        <v>168704.02967337371</v>
      </c>
      <c r="J67" s="229">
        <v>-53868.632000000005</v>
      </c>
      <c r="K67" s="229"/>
      <c r="L67" s="229">
        <v>63.33</v>
      </c>
      <c r="M67" s="229">
        <v>148</v>
      </c>
      <c r="N67" s="229">
        <v>11909.7</v>
      </c>
      <c r="O67" s="229">
        <v>5583.366969986424</v>
      </c>
      <c r="P67" s="229">
        <v>9438.1122130081876</v>
      </c>
      <c r="Q67" s="230">
        <v>-103285.76314363173</v>
      </c>
    </row>
    <row r="68" spans="1:17">
      <c r="A68" s="218" t="s">
        <v>249</v>
      </c>
      <c r="B68" s="226" t="s">
        <v>303</v>
      </c>
      <c r="C68" s="295" t="s">
        <v>191</v>
      </c>
      <c r="D68" s="227" t="s">
        <v>325</v>
      </c>
      <c r="E68" s="227">
        <v>921</v>
      </c>
      <c r="F68" s="222">
        <v>13024</v>
      </c>
      <c r="G68" s="228"/>
      <c r="H68" s="229"/>
      <c r="I68" s="229">
        <v>1329.2404185583071</v>
      </c>
      <c r="J68" s="229"/>
      <c r="K68" s="229"/>
      <c r="L68" s="229"/>
      <c r="M68" s="229"/>
      <c r="N68" s="229"/>
      <c r="O68" s="229">
        <v>132.9240419188971</v>
      </c>
      <c r="P68" s="229">
        <v>260.41304013548239</v>
      </c>
      <c r="Q68" s="230">
        <v>1722.5775006126864</v>
      </c>
    </row>
    <row r="69" spans="1:17">
      <c r="A69" s="218" t="s">
        <v>277</v>
      </c>
      <c r="B69" s="226" t="s">
        <v>70</v>
      </c>
      <c r="C69" s="295" t="s">
        <v>191</v>
      </c>
      <c r="D69" s="227" t="s">
        <v>325</v>
      </c>
      <c r="E69" s="227">
        <v>921</v>
      </c>
      <c r="F69" s="222">
        <v>13024</v>
      </c>
      <c r="G69" s="228"/>
      <c r="H69" s="229"/>
      <c r="I69" s="229">
        <v>11075.711986085335</v>
      </c>
      <c r="J69" s="229">
        <v>-10744.704</v>
      </c>
      <c r="K69" s="229"/>
      <c r="L69" s="229"/>
      <c r="M69" s="229"/>
      <c r="N69" s="229"/>
      <c r="O69" s="229">
        <v>778.33619897781853</v>
      </c>
      <c r="P69" s="229">
        <v>669.62170403647588</v>
      </c>
      <c r="Q69" s="230">
        <v>1778.9658890996293</v>
      </c>
    </row>
    <row r="70" spans="1:17">
      <c r="A70" s="218" t="s">
        <v>216</v>
      </c>
      <c r="B70" s="226" t="s">
        <v>304</v>
      </c>
      <c r="C70" s="295" t="s">
        <v>191</v>
      </c>
      <c r="D70" s="227" t="s">
        <v>325</v>
      </c>
      <c r="E70" s="227">
        <v>921</v>
      </c>
      <c r="F70" s="222">
        <v>13026</v>
      </c>
      <c r="G70" s="228"/>
      <c r="H70" s="229"/>
      <c r="I70" s="229">
        <v>138.17051654191499</v>
      </c>
      <c r="J70" s="229"/>
      <c r="K70" s="229"/>
      <c r="L70" s="229"/>
      <c r="M70" s="229"/>
      <c r="N70" s="229"/>
      <c r="O70" s="229">
        <v>13.817051660747062</v>
      </c>
      <c r="P70" s="229">
        <v>24.787114316112266</v>
      </c>
      <c r="Q70" s="230">
        <v>176.77468251877434</v>
      </c>
    </row>
    <row r="71" spans="1:17">
      <c r="A71" s="218" t="s">
        <v>245</v>
      </c>
      <c r="B71" s="226" t="s">
        <v>246</v>
      </c>
      <c r="C71" s="295" t="s">
        <v>191</v>
      </c>
      <c r="D71" s="227" t="s">
        <v>325</v>
      </c>
      <c r="E71" s="227">
        <v>921</v>
      </c>
      <c r="F71" s="222">
        <v>13193</v>
      </c>
      <c r="G71" s="228"/>
      <c r="H71" s="229"/>
      <c r="I71" s="229">
        <v>28245.936634121281</v>
      </c>
      <c r="J71" s="229">
        <v>-6098.2839999999987</v>
      </c>
      <c r="K71" s="229"/>
      <c r="L71" s="229"/>
      <c r="M71" s="229"/>
      <c r="N71" s="229"/>
      <c r="O71" s="229">
        <v>2824.5936647522694</v>
      </c>
      <c r="P71" s="229">
        <v>4189.271677188859</v>
      </c>
      <c r="Q71" s="230">
        <v>29161.517976062409</v>
      </c>
    </row>
    <row r="72" spans="1:17">
      <c r="A72" s="218" t="s">
        <v>266</v>
      </c>
      <c r="B72" s="226" t="s">
        <v>305</v>
      </c>
      <c r="C72" s="295" t="s">
        <v>191</v>
      </c>
      <c r="D72" s="227" t="s">
        <v>325</v>
      </c>
      <c r="E72" s="227">
        <v>921</v>
      </c>
      <c r="F72" s="222">
        <v>13198</v>
      </c>
      <c r="G72" s="228"/>
      <c r="H72" s="229"/>
      <c r="I72" s="229">
        <v>14.504856998035942</v>
      </c>
      <c r="J72" s="229"/>
      <c r="K72" s="229"/>
      <c r="L72" s="229"/>
      <c r="M72" s="229"/>
      <c r="N72" s="229"/>
      <c r="O72" s="229">
        <v>1.4504857004917837</v>
      </c>
      <c r="P72" s="229">
        <v>1.8031859640188233</v>
      </c>
      <c r="Q72" s="230">
        <v>17.758528662546549</v>
      </c>
    </row>
    <row r="73" spans="1:17">
      <c r="A73" s="218" t="s">
        <v>226</v>
      </c>
      <c r="B73" s="226" t="s">
        <v>227</v>
      </c>
      <c r="C73" s="295" t="s">
        <v>191</v>
      </c>
      <c r="D73" s="227" t="s">
        <v>325</v>
      </c>
      <c r="E73" s="227">
        <v>921</v>
      </c>
      <c r="F73" s="291">
        <v>13383</v>
      </c>
      <c r="G73" s="292">
        <v>34783.15</v>
      </c>
      <c r="H73" s="293"/>
      <c r="I73" s="293">
        <v>86876.177442635919</v>
      </c>
      <c r="J73" s="293">
        <v>-4794.6479999999974</v>
      </c>
      <c r="K73" s="293">
        <v>4898.13</v>
      </c>
      <c r="L73" s="293">
        <v>1919.22</v>
      </c>
      <c r="M73" s="293">
        <v>3123</v>
      </c>
      <c r="N73" s="293">
        <v>9756.74</v>
      </c>
      <c r="O73" s="293">
        <v>1473.7387449628129</v>
      </c>
      <c r="P73" s="293">
        <v>1010.4596348322351</v>
      </c>
      <c r="Q73" s="294">
        <v>139045.96782243098</v>
      </c>
    </row>
    <row r="74" spans="1:17">
      <c r="A74" s="218" t="s">
        <v>218</v>
      </c>
      <c r="B74" s="226" t="s">
        <v>317</v>
      </c>
      <c r="C74" s="287" t="s">
        <v>326</v>
      </c>
      <c r="D74" s="287" t="s">
        <v>289</v>
      </c>
      <c r="E74" s="287" t="s">
        <v>289</v>
      </c>
      <c r="F74" s="233">
        <v>13150</v>
      </c>
      <c r="G74" s="289">
        <v>50400</v>
      </c>
      <c r="H74" s="248"/>
      <c r="I74" s="248">
        <v>43740</v>
      </c>
      <c r="J74" s="248">
        <v>24696</v>
      </c>
      <c r="K74" s="248"/>
      <c r="L74" s="248"/>
      <c r="M74" s="248"/>
      <c r="N74" s="248"/>
      <c r="O74" s="248"/>
      <c r="P74" s="248"/>
      <c r="Q74" s="290">
        <v>118836</v>
      </c>
    </row>
    <row r="75" spans="1:17">
      <c r="A75" s="218" t="s">
        <v>264</v>
      </c>
      <c r="B75" s="226" t="s">
        <v>318</v>
      </c>
      <c r="C75" s="287" t="s">
        <v>326</v>
      </c>
      <c r="D75" s="287" t="s">
        <v>289</v>
      </c>
      <c r="E75" s="287" t="s">
        <v>289</v>
      </c>
      <c r="F75" s="222">
        <v>10179</v>
      </c>
      <c r="G75" s="228"/>
      <c r="H75" s="229"/>
      <c r="I75" s="229">
        <v>32620.535336113568</v>
      </c>
      <c r="J75" s="229">
        <v>-6852.73</v>
      </c>
      <c r="K75" s="229"/>
      <c r="L75" s="229"/>
      <c r="M75" s="229"/>
      <c r="N75" s="229"/>
      <c r="O75" s="229">
        <v>3262.0535351590524</v>
      </c>
      <c r="P75" s="229">
        <v>3905.3887235290263</v>
      </c>
      <c r="Q75" s="230">
        <v>32935.247594801644</v>
      </c>
    </row>
    <row r="76" spans="1:17">
      <c r="A76" s="218" t="s">
        <v>279</v>
      </c>
      <c r="B76" s="226" t="s">
        <v>319</v>
      </c>
      <c r="C76" s="287" t="s">
        <v>326</v>
      </c>
      <c r="D76" s="287" t="s">
        <v>289</v>
      </c>
      <c r="E76" s="287" t="s">
        <v>289</v>
      </c>
      <c r="F76" s="222">
        <v>13150</v>
      </c>
      <c r="G76" s="228">
        <v>33274.480000000003</v>
      </c>
      <c r="H76" s="229"/>
      <c r="I76" s="229">
        <v>82154.790850926933</v>
      </c>
      <c r="J76" s="229">
        <v>22702.964000000004</v>
      </c>
      <c r="K76" s="229">
        <v>5947.89</v>
      </c>
      <c r="L76" s="229">
        <v>3053.36</v>
      </c>
      <c r="M76" s="229">
        <v>4264.74</v>
      </c>
      <c r="N76" s="229">
        <v>14529.38</v>
      </c>
      <c r="O76" s="229">
        <v>-174.78091499023142</v>
      </c>
      <c r="P76" s="229">
        <v>-233.30720190992156</v>
      </c>
      <c r="Q76" s="230">
        <v>165519.51673402678</v>
      </c>
    </row>
    <row r="77" spans="1:17">
      <c r="A77" s="218" t="s">
        <v>236</v>
      </c>
      <c r="B77" s="226" t="s">
        <v>321</v>
      </c>
      <c r="C77" s="287" t="s">
        <v>326</v>
      </c>
      <c r="D77" s="287" t="s">
        <v>289</v>
      </c>
      <c r="E77" s="287" t="s">
        <v>289</v>
      </c>
      <c r="F77" s="222">
        <v>13185</v>
      </c>
      <c r="G77" s="228"/>
      <c r="H77" s="229"/>
      <c r="I77" s="229">
        <v>102526.01952771733</v>
      </c>
      <c r="J77" s="229"/>
      <c r="K77" s="229"/>
      <c r="L77" s="229"/>
      <c r="M77" s="229"/>
      <c r="N77" s="229"/>
      <c r="O77" s="229">
        <v>6733.0379559662542</v>
      </c>
      <c r="P77" s="229">
        <v>8243.0435445696312</v>
      </c>
      <c r="Q77" s="230">
        <v>117502.10102825322</v>
      </c>
    </row>
    <row r="78" spans="1:17">
      <c r="A78" s="218" t="s">
        <v>241</v>
      </c>
      <c r="B78" s="226" t="s">
        <v>320</v>
      </c>
      <c r="C78" s="287" t="s">
        <v>326</v>
      </c>
      <c r="D78" s="287" t="s">
        <v>289</v>
      </c>
      <c r="E78" s="287" t="s">
        <v>289</v>
      </c>
      <c r="F78" s="222">
        <v>13185</v>
      </c>
      <c r="G78" s="228"/>
      <c r="H78" s="229"/>
      <c r="I78" s="229">
        <v>40217.07323392226</v>
      </c>
      <c r="J78" s="229">
        <v>-2566.4340000000002</v>
      </c>
      <c r="K78" s="229"/>
      <c r="L78" s="229"/>
      <c r="M78" s="229"/>
      <c r="N78" s="229"/>
      <c r="O78" s="229">
        <v>3849.2843252185353</v>
      </c>
      <c r="P78" s="229">
        <v>4287.4245869997658</v>
      </c>
      <c r="Q78" s="230">
        <v>45787.348146140561</v>
      </c>
    </row>
    <row r="79" spans="1:17">
      <c r="A79" s="218" t="s">
        <v>267</v>
      </c>
      <c r="B79" s="226" t="s">
        <v>322</v>
      </c>
      <c r="C79" s="287" t="s">
        <v>326</v>
      </c>
      <c r="D79" s="287" t="s">
        <v>289</v>
      </c>
      <c r="E79" s="287" t="s">
        <v>289</v>
      </c>
      <c r="F79" s="222">
        <v>13185</v>
      </c>
      <c r="G79" s="228"/>
      <c r="H79" s="229"/>
      <c r="I79" s="229">
        <v>7259.2194884888395</v>
      </c>
      <c r="J79" s="229">
        <v>-8443.116</v>
      </c>
      <c r="K79" s="229"/>
      <c r="L79" s="229"/>
      <c r="M79" s="229"/>
      <c r="N79" s="229"/>
      <c r="O79" s="229">
        <v>725.92194919330086</v>
      </c>
      <c r="P79" s="229">
        <v>831.88206811798045</v>
      </c>
      <c r="Q79" s="230">
        <v>373.90750580012082</v>
      </c>
    </row>
    <row r="80" spans="1:17">
      <c r="A80" s="218" t="s">
        <v>270</v>
      </c>
      <c r="B80" s="226" t="s">
        <v>289</v>
      </c>
      <c r="C80" s="287" t="s">
        <v>326</v>
      </c>
      <c r="D80" s="287" t="s">
        <v>289</v>
      </c>
      <c r="E80" s="287" t="s">
        <v>289</v>
      </c>
      <c r="F80" s="222">
        <v>13185</v>
      </c>
      <c r="G80" s="228"/>
      <c r="H80" s="229"/>
      <c r="I80" s="229">
        <v>13007.008499871416</v>
      </c>
      <c r="J80" s="229"/>
      <c r="K80" s="229"/>
      <c r="L80" s="229"/>
      <c r="M80" s="229"/>
      <c r="N80" s="229"/>
      <c r="O80" s="229">
        <v>1300.7008506042646</v>
      </c>
      <c r="P80" s="229">
        <v>1746.4986017069461</v>
      </c>
      <c r="Q80" s="230">
        <v>16054.207952182625</v>
      </c>
    </row>
    <row r="81" spans="1:46">
      <c r="A81" s="231" t="s">
        <v>208</v>
      </c>
      <c r="B81" s="232" t="s">
        <v>323</v>
      </c>
      <c r="C81" s="287" t="s">
        <v>326</v>
      </c>
      <c r="D81" s="287" t="s">
        <v>289</v>
      </c>
      <c r="E81" s="287" t="s">
        <v>289</v>
      </c>
      <c r="F81" s="222">
        <v>13187</v>
      </c>
      <c r="G81" s="228"/>
      <c r="H81" s="229"/>
      <c r="I81" s="229">
        <v>72010.759999999995</v>
      </c>
      <c r="J81" s="229"/>
      <c r="K81" s="229"/>
      <c r="L81" s="229"/>
      <c r="M81" s="229"/>
      <c r="N81" s="229"/>
      <c r="O81" s="229"/>
      <c r="P81" s="229"/>
      <c r="Q81" s="230">
        <v>72010.759999999995</v>
      </c>
    </row>
    <row r="82" spans="1:46" ht="13.5" thickBot="1">
      <c r="A82" s="233"/>
      <c r="B82" s="234"/>
      <c r="C82" s="235" t="s">
        <v>9</v>
      </c>
      <c r="D82" s="235"/>
      <c r="E82" s="235"/>
      <c r="F82" s="236"/>
      <c r="G82" s="237">
        <f>SUM(G5:G81)</f>
        <v>634915.62</v>
      </c>
      <c r="H82" s="237">
        <f t="shared" ref="H82:Q82" si="0">SUM(H5:H81)</f>
        <v>-328936.29000000004</v>
      </c>
      <c r="I82" s="237">
        <f t="shared" si="0"/>
        <v>3781696.5140000014</v>
      </c>
      <c r="J82" s="237">
        <f t="shared" si="0"/>
        <v>-419313.99800000002</v>
      </c>
      <c r="K82" s="237">
        <f t="shared" si="0"/>
        <v>89274.560000000012</v>
      </c>
      <c r="L82" s="237">
        <f t="shared" si="0"/>
        <v>48598.380000000005</v>
      </c>
      <c r="M82" s="237">
        <f t="shared" si="0"/>
        <v>80307.990000000005</v>
      </c>
      <c r="N82" s="237">
        <f t="shared" si="0"/>
        <v>300959.86</v>
      </c>
      <c r="O82" s="237">
        <f t="shared" si="0"/>
        <v>123763.15557476919</v>
      </c>
      <c r="P82" s="237">
        <f t="shared" si="0"/>
        <v>177151.76266973474</v>
      </c>
      <c r="Q82" s="237">
        <f t="shared" si="0"/>
        <v>4488417.5542445034</v>
      </c>
      <c r="S82" s="288">
        <v>4488417.5542445062</v>
      </c>
    </row>
    <row r="83" spans="1:46" ht="13.5" thickTop="1">
      <c r="A83" s="204"/>
      <c r="B83" s="210"/>
      <c r="C83" s="204"/>
      <c r="D83" s="204"/>
      <c r="E83" s="204"/>
      <c r="F83" s="204"/>
      <c r="G83" s="204"/>
      <c r="H83" s="204"/>
      <c r="I83" s="204"/>
      <c r="J83" s="204"/>
      <c r="K83" s="204"/>
      <c r="L83" s="204"/>
      <c r="M83" s="238"/>
      <c r="N83" s="238"/>
      <c r="O83" s="238"/>
      <c r="P83" s="238"/>
      <c r="Q83" s="238"/>
      <c r="S83" s="288"/>
    </row>
    <row r="84" spans="1:46">
      <c r="A84" s="204"/>
      <c r="B84" s="210"/>
      <c r="C84" s="204" t="s">
        <v>308</v>
      </c>
      <c r="D84" s="204"/>
      <c r="E84" s="204"/>
      <c r="F84" s="204"/>
      <c r="G84" s="207">
        <f>-SUM(G74:G81)</f>
        <v>-83674.48000000001</v>
      </c>
      <c r="H84" s="207">
        <f t="shared" ref="H84:P84" si="1">-SUM(H74:H81)</f>
        <v>0</v>
      </c>
      <c r="I84" s="207">
        <f t="shared" si="1"/>
        <v>-393535.40693704033</v>
      </c>
      <c r="J84" s="207">
        <f t="shared" si="1"/>
        <v>-29536.684000000001</v>
      </c>
      <c r="K84" s="207">
        <f t="shared" si="1"/>
        <v>-5947.89</v>
      </c>
      <c r="L84" s="207">
        <f t="shared" si="1"/>
        <v>-3053.36</v>
      </c>
      <c r="M84" s="207">
        <f t="shared" si="1"/>
        <v>-4264.74</v>
      </c>
      <c r="N84" s="207">
        <f t="shared" si="1"/>
        <v>-14529.38</v>
      </c>
      <c r="O84" s="207">
        <f t="shared" si="1"/>
        <v>-15696.217701151176</v>
      </c>
      <c r="P84" s="207">
        <f t="shared" si="1"/>
        <v>-18780.930323013425</v>
      </c>
      <c r="Q84" s="207">
        <f>SUM(F84:P84)</f>
        <v>-569019.08896120498</v>
      </c>
      <c r="S84" s="288">
        <v>-569019.08896120498</v>
      </c>
    </row>
    <row r="85" spans="1:46">
      <c r="A85" s="204"/>
      <c r="B85" s="211"/>
      <c r="C85" s="239" t="s">
        <v>337</v>
      </c>
      <c r="D85" s="239"/>
      <c r="E85" s="239"/>
      <c r="F85" s="239"/>
      <c r="G85" s="209">
        <f>+G82+G84</f>
        <v>551241.14</v>
      </c>
      <c r="H85" s="209">
        <f t="shared" ref="H85:Q85" si="2">+H82+H84</f>
        <v>-328936.29000000004</v>
      </c>
      <c r="I85" s="209">
        <f t="shared" si="2"/>
        <v>3388161.107062961</v>
      </c>
      <c r="J85" s="209">
        <f t="shared" si="2"/>
        <v>-448850.68200000003</v>
      </c>
      <c r="K85" s="209">
        <f t="shared" si="2"/>
        <v>83326.670000000013</v>
      </c>
      <c r="L85" s="209">
        <f t="shared" si="2"/>
        <v>45545.020000000004</v>
      </c>
      <c r="M85" s="209">
        <f t="shared" si="2"/>
        <v>76043.25</v>
      </c>
      <c r="N85" s="209">
        <f t="shared" si="2"/>
        <v>286430.48</v>
      </c>
      <c r="O85" s="209">
        <f t="shared" si="2"/>
        <v>108066.93787361801</v>
      </c>
      <c r="P85" s="209">
        <f t="shared" si="2"/>
        <v>158370.83234672132</v>
      </c>
      <c r="Q85" s="209">
        <f t="shared" si="2"/>
        <v>3919398.4652832984</v>
      </c>
      <c r="R85" s="213"/>
      <c r="S85" s="288">
        <v>3919398.4652832998</v>
      </c>
    </row>
    <row r="86" spans="1:46">
      <c r="A86" s="204"/>
      <c r="B86" s="211"/>
      <c r="C86" s="239"/>
      <c r="D86" s="239"/>
      <c r="E86" s="239"/>
      <c r="F86" s="239"/>
      <c r="G86" s="369"/>
      <c r="H86" s="369"/>
      <c r="I86" s="369"/>
      <c r="J86" s="369"/>
      <c r="K86" s="369"/>
      <c r="L86" s="369"/>
      <c r="M86" s="369"/>
      <c r="N86" s="369"/>
      <c r="O86" s="369"/>
      <c r="P86" s="369"/>
      <c r="Q86" s="369"/>
      <c r="R86" s="213"/>
      <c r="S86" s="288"/>
    </row>
    <row r="87" spans="1:46">
      <c r="A87" s="204"/>
      <c r="B87" s="239" t="s">
        <v>486</v>
      </c>
      <c r="C87" s="239" t="s">
        <v>490</v>
      </c>
      <c r="D87" s="239"/>
      <c r="E87" s="239"/>
      <c r="F87" s="239"/>
      <c r="G87" s="369"/>
      <c r="H87" s="369"/>
      <c r="I87" s="369"/>
      <c r="J87" s="369"/>
      <c r="K87" s="369"/>
      <c r="L87" s="369"/>
      <c r="M87" s="369"/>
      <c r="N87" s="369"/>
      <c r="O87" s="369"/>
      <c r="P87" s="369"/>
      <c r="Q87" s="369"/>
      <c r="R87" s="213"/>
      <c r="S87" s="288"/>
    </row>
    <row r="88" spans="1:46">
      <c r="A88" s="204"/>
      <c r="B88" s="331" t="s">
        <v>309</v>
      </c>
      <c r="C88" s="239" t="s">
        <v>487</v>
      </c>
      <c r="D88" s="239"/>
      <c r="E88" s="239"/>
      <c r="F88" s="239"/>
      <c r="G88" s="370">
        <f>+G5</f>
        <v>64444.36</v>
      </c>
      <c r="H88" s="370">
        <f t="shared" ref="H88:P88" si="3">+H5</f>
        <v>0</v>
      </c>
      <c r="I88" s="370">
        <f t="shared" si="3"/>
        <v>221085</v>
      </c>
      <c r="J88" s="370">
        <f t="shared" si="3"/>
        <v>51825.23</v>
      </c>
      <c r="K88" s="370">
        <f t="shared" si="3"/>
        <v>13940.53</v>
      </c>
      <c r="L88" s="370">
        <f t="shared" si="3"/>
        <v>5276.7</v>
      </c>
      <c r="M88" s="370">
        <f t="shared" si="3"/>
        <v>2768</v>
      </c>
      <c r="N88" s="370">
        <f t="shared" si="3"/>
        <v>29563.69</v>
      </c>
      <c r="O88" s="370">
        <f t="shared" si="3"/>
        <v>0</v>
      </c>
      <c r="P88" s="370">
        <f t="shared" si="3"/>
        <v>0</v>
      </c>
      <c r="Q88" s="370">
        <f>SUM(G88:P88)</f>
        <v>388903.51</v>
      </c>
      <c r="R88" s="213"/>
      <c r="S88" s="288"/>
    </row>
    <row r="89" spans="1:46">
      <c r="A89" s="204"/>
      <c r="B89" s="211"/>
      <c r="C89" s="239" t="s">
        <v>488</v>
      </c>
      <c r="D89" s="239"/>
      <c r="E89" s="239"/>
      <c r="F89" s="239"/>
      <c r="G89" s="371">
        <f>G$31+G$32</f>
        <v>225127.37</v>
      </c>
      <c r="H89" s="371">
        <f t="shared" ref="H89:P89" si="4">H$31+H$32</f>
        <v>0</v>
      </c>
      <c r="I89" s="371">
        <f t="shared" si="4"/>
        <v>664110.62641553138</v>
      </c>
      <c r="J89" s="371">
        <f t="shared" si="4"/>
        <v>186510.14600000004</v>
      </c>
      <c r="K89" s="371">
        <f t="shared" si="4"/>
        <v>20055.38</v>
      </c>
      <c r="L89" s="371">
        <f t="shared" si="4"/>
        <v>14566.42</v>
      </c>
      <c r="M89" s="371">
        <f t="shared" si="4"/>
        <v>43926.65</v>
      </c>
      <c r="N89" s="371">
        <f t="shared" si="4"/>
        <v>91402.880000000005</v>
      </c>
      <c r="O89" s="371">
        <f t="shared" si="4"/>
        <v>785.03664192558836</v>
      </c>
      <c r="P89" s="371">
        <f t="shared" si="4"/>
        <v>514.96687630253223</v>
      </c>
      <c r="Q89" s="371">
        <f>SUM(G89:P89)</f>
        <v>1246999.4759337592</v>
      </c>
      <c r="R89" s="213"/>
      <c r="S89" s="288"/>
    </row>
    <row r="90" spans="1:46">
      <c r="A90" s="204"/>
      <c r="B90" s="211"/>
      <c r="C90" s="239" t="s">
        <v>489</v>
      </c>
      <c r="D90" s="239"/>
      <c r="E90" s="239"/>
      <c r="F90" s="239"/>
      <c r="G90" s="370">
        <f>SUM(G88:G89)</f>
        <v>289571.73</v>
      </c>
      <c r="H90" s="370">
        <f t="shared" ref="H90:P90" si="5">SUM(H88:H89)</f>
        <v>0</v>
      </c>
      <c r="I90" s="370">
        <f t="shared" si="5"/>
        <v>885195.62641553138</v>
      </c>
      <c r="J90" s="370">
        <f t="shared" si="5"/>
        <v>238335.37600000005</v>
      </c>
      <c r="K90" s="370">
        <f t="shared" si="5"/>
        <v>33995.910000000003</v>
      </c>
      <c r="L90" s="370">
        <f t="shared" si="5"/>
        <v>19843.12</v>
      </c>
      <c r="M90" s="370">
        <f t="shared" si="5"/>
        <v>46694.65</v>
      </c>
      <c r="N90" s="370">
        <f t="shared" si="5"/>
        <v>120966.57</v>
      </c>
      <c r="O90" s="370">
        <f t="shared" si="5"/>
        <v>785.03664192558836</v>
      </c>
      <c r="P90" s="370">
        <f t="shared" si="5"/>
        <v>514.96687630253223</v>
      </c>
      <c r="Q90" s="370">
        <f>SUM(Q88:Q89)</f>
        <v>1635902.9859337592</v>
      </c>
      <c r="R90" s="213"/>
      <c r="S90" s="288"/>
    </row>
    <row r="91" spans="1:46">
      <c r="A91" s="204"/>
      <c r="B91" s="211"/>
      <c r="C91" s="239"/>
      <c r="D91" s="239"/>
      <c r="E91" s="239"/>
      <c r="F91" s="239"/>
      <c r="G91" s="369"/>
      <c r="H91" s="369"/>
      <c r="I91" s="369"/>
      <c r="J91" s="369"/>
      <c r="K91" s="369"/>
      <c r="L91" s="369"/>
      <c r="M91" s="369"/>
      <c r="N91" s="369"/>
      <c r="O91" s="369"/>
      <c r="P91" s="369"/>
      <c r="Q91" s="369"/>
      <c r="R91" s="213"/>
      <c r="S91" s="288"/>
    </row>
    <row r="92" spans="1:46">
      <c r="A92" s="204"/>
      <c r="B92" s="211"/>
      <c r="C92" s="239" t="s">
        <v>491</v>
      </c>
      <c r="D92" s="239"/>
      <c r="E92" s="239"/>
      <c r="F92" s="239"/>
      <c r="G92" s="369"/>
      <c r="H92" s="369"/>
      <c r="I92" s="369"/>
      <c r="J92" s="369"/>
      <c r="K92" s="369"/>
      <c r="L92" s="369"/>
      <c r="M92" s="369"/>
      <c r="N92" s="369"/>
      <c r="O92" s="369"/>
      <c r="P92" s="369"/>
      <c r="Q92" s="369"/>
      <c r="R92" s="213"/>
      <c r="S92" s="288"/>
    </row>
    <row r="93" spans="1:46">
      <c r="A93" s="204"/>
      <c r="B93" s="211"/>
      <c r="C93" s="239" t="s">
        <v>487</v>
      </c>
      <c r="D93" s="239"/>
      <c r="E93" s="239"/>
      <c r="F93" s="239"/>
      <c r="G93" s="370" t="e">
        <f>+#REF!</f>
        <v>#REF!</v>
      </c>
      <c r="H93" s="370"/>
      <c r="I93" s="370" t="e">
        <f>+#REF!</f>
        <v>#REF!</v>
      </c>
      <c r="J93" s="370"/>
      <c r="K93" s="370"/>
      <c r="L93" s="370" t="e">
        <f>+#REF!</f>
        <v>#REF!</v>
      </c>
      <c r="M93" s="370" t="e">
        <f>+#REF!+#REF!+#REF!</f>
        <v>#REF!</v>
      </c>
      <c r="N93" s="370"/>
      <c r="O93" s="370"/>
      <c r="P93" s="370"/>
      <c r="Q93" s="370" t="e">
        <f>SUM(G93:P93)</f>
        <v>#REF!</v>
      </c>
      <c r="R93" s="286"/>
      <c r="S93" s="120"/>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row>
    <row r="94" spans="1:46">
      <c r="A94" s="204"/>
      <c r="B94" s="211"/>
      <c r="C94" s="239" t="s">
        <v>488</v>
      </c>
      <c r="D94" s="239"/>
      <c r="E94" s="239"/>
      <c r="F94" s="239"/>
      <c r="G94" s="371" t="e">
        <f>+#REF!</f>
        <v>#REF!</v>
      </c>
      <c r="H94" s="371"/>
      <c r="I94" s="371" t="e">
        <f>+#REF!</f>
        <v>#REF!</v>
      </c>
      <c r="J94" s="371"/>
      <c r="K94" s="371"/>
      <c r="L94" s="371" t="e">
        <f>+#REF!</f>
        <v>#REF!</v>
      </c>
      <c r="M94" s="371" t="e">
        <f>+#REF!+#REF!+#REF!</f>
        <v>#REF!</v>
      </c>
      <c r="N94" s="371"/>
      <c r="O94" s="371"/>
      <c r="P94" s="371"/>
      <c r="Q94" s="371" t="e">
        <f>SUM(G94:P94)</f>
        <v>#REF!</v>
      </c>
      <c r="R94" s="286"/>
      <c r="S94" s="120"/>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row>
    <row r="95" spans="1:46">
      <c r="A95" s="204"/>
      <c r="B95" s="211"/>
      <c r="C95" s="239" t="s">
        <v>489</v>
      </c>
      <c r="D95" s="239"/>
      <c r="E95" s="239"/>
      <c r="F95" s="239"/>
      <c r="G95" s="370" t="e">
        <f t="shared" ref="G95:Q95" si="6">SUM(G93:G94)</f>
        <v>#REF!</v>
      </c>
      <c r="H95" s="370">
        <f t="shared" si="6"/>
        <v>0</v>
      </c>
      <c r="I95" s="370" t="e">
        <f t="shared" si="6"/>
        <v>#REF!</v>
      </c>
      <c r="J95" s="370">
        <f t="shared" si="6"/>
        <v>0</v>
      </c>
      <c r="K95" s="370">
        <f t="shared" si="6"/>
        <v>0</v>
      </c>
      <c r="L95" s="370" t="e">
        <f t="shared" si="6"/>
        <v>#REF!</v>
      </c>
      <c r="M95" s="370" t="e">
        <f t="shared" si="6"/>
        <v>#REF!</v>
      </c>
      <c r="N95" s="370">
        <f t="shared" si="6"/>
        <v>0</v>
      </c>
      <c r="O95" s="370">
        <f t="shared" si="6"/>
        <v>0</v>
      </c>
      <c r="P95" s="370">
        <f t="shared" si="6"/>
        <v>0</v>
      </c>
      <c r="Q95" s="370" t="e">
        <f t="shared" si="6"/>
        <v>#REF!</v>
      </c>
      <c r="R95" s="286"/>
      <c r="S95" s="120"/>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row>
    <row r="96" spans="1:46">
      <c r="A96" s="204"/>
      <c r="B96" s="211"/>
      <c r="C96" s="239"/>
      <c r="D96" s="239"/>
      <c r="E96" s="239"/>
      <c r="F96" s="239"/>
      <c r="G96" s="370"/>
      <c r="H96" s="370"/>
      <c r="I96" s="370"/>
      <c r="J96" s="370"/>
      <c r="K96" s="370"/>
      <c r="L96" s="370"/>
      <c r="M96" s="370"/>
      <c r="N96" s="370"/>
      <c r="O96" s="370"/>
      <c r="P96" s="370"/>
      <c r="Q96" s="370"/>
      <c r="R96" s="286"/>
      <c r="S96" s="120"/>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row>
    <row r="97" spans="1:46">
      <c r="A97" s="204"/>
      <c r="B97" s="211"/>
      <c r="C97" s="239" t="s">
        <v>492</v>
      </c>
      <c r="D97" s="239"/>
      <c r="E97" s="239"/>
      <c r="F97" s="239"/>
      <c r="G97" s="370"/>
      <c r="H97" s="370"/>
      <c r="I97" s="370"/>
      <c r="J97" s="370"/>
      <c r="K97" s="370"/>
      <c r="L97" s="370"/>
      <c r="M97" s="370"/>
      <c r="N97" s="370"/>
      <c r="O97" s="370"/>
      <c r="P97" s="370"/>
      <c r="Q97" s="370"/>
      <c r="R97" s="286"/>
      <c r="S97" s="120"/>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row>
    <row r="98" spans="1:46">
      <c r="A98" s="204"/>
      <c r="B98" s="211"/>
      <c r="C98" s="239" t="s">
        <v>487</v>
      </c>
      <c r="D98" s="239"/>
      <c r="E98" s="239"/>
      <c r="F98" s="239"/>
      <c r="G98" s="370" t="e">
        <f>+G93-G88</f>
        <v>#REF!</v>
      </c>
      <c r="H98" s="370">
        <f t="shared" ref="H98:P98" si="7">+H93-H88</f>
        <v>0</v>
      </c>
      <c r="I98" s="370" t="e">
        <f t="shared" si="7"/>
        <v>#REF!</v>
      </c>
      <c r="J98" s="370">
        <f t="shared" si="7"/>
        <v>-51825.23</v>
      </c>
      <c r="K98" s="370">
        <f t="shared" si="7"/>
        <v>-13940.53</v>
      </c>
      <c r="L98" s="370" t="e">
        <f t="shared" si="7"/>
        <v>#REF!</v>
      </c>
      <c r="M98" s="370" t="e">
        <f t="shared" si="7"/>
        <v>#REF!</v>
      </c>
      <c r="N98" s="370">
        <f t="shared" si="7"/>
        <v>-29563.69</v>
      </c>
      <c r="O98" s="370">
        <f t="shared" si="7"/>
        <v>0</v>
      </c>
      <c r="P98" s="370">
        <f t="shared" si="7"/>
        <v>0</v>
      </c>
      <c r="Q98" s="370" t="e">
        <f>SUM(G98:P98)</f>
        <v>#REF!</v>
      </c>
      <c r="R98" s="286"/>
      <c r="S98" s="120"/>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row>
    <row r="99" spans="1:46">
      <c r="A99" s="204"/>
      <c r="B99" s="211"/>
      <c r="C99" s="239" t="s">
        <v>488</v>
      </c>
      <c r="D99" s="239"/>
      <c r="E99" s="239"/>
      <c r="F99" s="239"/>
      <c r="G99" s="371" t="e">
        <f>+G94-G89</f>
        <v>#REF!</v>
      </c>
      <c r="H99" s="371">
        <f t="shared" ref="H99:P99" si="8">+H94-H89</f>
        <v>0</v>
      </c>
      <c r="I99" s="371" t="e">
        <f t="shared" si="8"/>
        <v>#REF!</v>
      </c>
      <c r="J99" s="371">
        <f t="shared" si="8"/>
        <v>-186510.14600000004</v>
      </c>
      <c r="K99" s="371">
        <f t="shared" si="8"/>
        <v>-20055.38</v>
      </c>
      <c r="L99" s="371" t="e">
        <f t="shared" si="8"/>
        <v>#REF!</v>
      </c>
      <c r="M99" s="371" t="e">
        <f t="shared" si="8"/>
        <v>#REF!</v>
      </c>
      <c r="N99" s="371">
        <f t="shared" si="8"/>
        <v>-91402.880000000005</v>
      </c>
      <c r="O99" s="371">
        <f t="shared" si="8"/>
        <v>-785.03664192558836</v>
      </c>
      <c r="P99" s="371">
        <f t="shared" si="8"/>
        <v>-514.96687630253223</v>
      </c>
      <c r="Q99" s="371" t="e">
        <f>SUM(G99:P99)</f>
        <v>#REF!</v>
      </c>
      <c r="R99" s="286"/>
      <c r="S99" s="120"/>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row>
    <row r="100" spans="1:46">
      <c r="A100" s="204"/>
      <c r="B100" s="211"/>
      <c r="C100" s="239" t="s">
        <v>489</v>
      </c>
      <c r="D100" s="239"/>
      <c r="E100" s="239"/>
      <c r="F100" s="239"/>
      <c r="G100" s="370" t="e">
        <f>SUM(G98:G99)</f>
        <v>#REF!</v>
      </c>
      <c r="H100" s="370">
        <f t="shared" ref="H100:P100" si="9">SUM(H98:H99)</f>
        <v>0</v>
      </c>
      <c r="I100" s="370" t="e">
        <f t="shared" si="9"/>
        <v>#REF!</v>
      </c>
      <c r="J100" s="370">
        <f t="shared" si="9"/>
        <v>-238335.37600000005</v>
      </c>
      <c r="K100" s="370">
        <f t="shared" si="9"/>
        <v>-33995.910000000003</v>
      </c>
      <c r="L100" s="370" t="e">
        <f t="shared" si="9"/>
        <v>#REF!</v>
      </c>
      <c r="M100" s="370" t="e">
        <f t="shared" si="9"/>
        <v>#REF!</v>
      </c>
      <c r="N100" s="370">
        <f t="shared" si="9"/>
        <v>-120966.57</v>
      </c>
      <c r="O100" s="370">
        <f t="shared" si="9"/>
        <v>-785.03664192558836</v>
      </c>
      <c r="P100" s="370">
        <f t="shared" si="9"/>
        <v>-514.96687630253223</v>
      </c>
      <c r="Q100" s="370" t="e">
        <f>SUM(G100:P100)</f>
        <v>#REF!</v>
      </c>
      <c r="R100" s="286"/>
      <c r="S100" s="120"/>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c r="AT100" s="94"/>
    </row>
    <row r="101" spans="1:46">
      <c r="A101" s="204"/>
      <c r="B101" s="210"/>
      <c r="C101" s="204"/>
      <c r="D101" s="204"/>
      <c r="E101" s="204"/>
      <c r="F101" s="204"/>
      <c r="G101" s="372"/>
      <c r="H101" s="372"/>
      <c r="I101" s="372"/>
      <c r="J101" s="372"/>
      <c r="K101" s="372"/>
      <c r="L101" s="372"/>
      <c r="M101" s="372"/>
      <c r="N101" s="372"/>
      <c r="O101" s="372"/>
      <c r="P101" s="372"/>
      <c r="Q101" s="372"/>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row>
    <row r="102" spans="1:46">
      <c r="A102" s="204"/>
      <c r="B102" s="210"/>
      <c r="C102" s="204"/>
      <c r="D102" s="204"/>
      <c r="E102" s="204"/>
      <c r="F102" s="204"/>
      <c r="G102" s="238"/>
      <c r="H102" s="204"/>
      <c r="I102" s="204"/>
      <c r="J102" s="204"/>
      <c r="K102" s="204"/>
      <c r="L102" s="204"/>
      <c r="M102" s="204"/>
      <c r="N102" s="204"/>
      <c r="O102" s="204"/>
      <c r="P102" s="204"/>
      <c r="Q102" s="367" t="s">
        <v>495</v>
      </c>
    </row>
    <row r="103" spans="1:46" ht="15.75">
      <c r="A103" s="204"/>
      <c r="B103" s="216" t="s">
        <v>287</v>
      </c>
      <c r="C103" s="204"/>
      <c r="D103" s="204"/>
      <c r="E103" s="204"/>
      <c r="F103" s="204"/>
      <c r="G103" s="204"/>
      <c r="H103" s="204"/>
      <c r="I103" s="204"/>
      <c r="J103" s="204"/>
      <c r="K103" s="204"/>
      <c r="L103" s="204"/>
      <c r="M103" s="204"/>
      <c r="N103" s="204"/>
      <c r="O103" s="204"/>
      <c r="P103" s="204"/>
      <c r="Q103" s="330"/>
      <c r="R103" s="320"/>
    </row>
    <row r="104" spans="1:46">
      <c r="A104" s="204"/>
      <c r="B104" s="204" t="str">
        <f>+'Lead Sheet'!B2</f>
        <v>Washington General Rate Case - December 2009</v>
      </c>
      <c r="C104" s="217"/>
      <c r="D104" s="217"/>
      <c r="E104" s="217"/>
      <c r="F104" s="204"/>
      <c r="G104" s="223" t="s">
        <v>127</v>
      </c>
      <c r="H104" s="224" t="s">
        <v>21</v>
      </c>
      <c r="I104" s="224" t="s">
        <v>22</v>
      </c>
      <c r="J104" s="224" t="s">
        <v>23</v>
      </c>
      <c r="K104" s="224" t="s">
        <v>128</v>
      </c>
      <c r="L104" s="224" t="s">
        <v>30</v>
      </c>
      <c r="M104" s="224" t="s">
        <v>25</v>
      </c>
      <c r="N104" s="224" t="s">
        <v>129</v>
      </c>
      <c r="O104" s="224" t="s">
        <v>195</v>
      </c>
      <c r="P104" s="224" t="s">
        <v>196</v>
      </c>
      <c r="Q104" s="225" t="s">
        <v>9</v>
      </c>
      <c r="R104" s="282"/>
    </row>
    <row r="105" spans="1:46" ht="13.5" thickBot="1">
      <c r="A105" s="204"/>
      <c r="B105" s="219"/>
      <c r="C105" s="219"/>
      <c r="D105" s="219"/>
      <c r="E105" s="219"/>
      <c r="F105" s="220"/>
      <c r="G105" s="280" t="s">
        <v>11</v>
      </c>
      <c r="H105" s="281" t="s">
        <v>12</v>
      </c>
      <c r="I105" s="281" t="s">
        <v>13</v>
      </c>
      <c r="J105" s="281" t="s">
        <v>14</v>
      </c>
      <c r="K105" s="281" t="s">
        <v>124</v>
      </c>
      <c r="L105" s="281" t="s">
        <v>17</v>
      </c>
      <c r="M105" s="281" t="s">
        <v>15</v>
      </c>
      <c r="N105" s="281" t="s">
        <v>16</v>
      </c>
      <c r="O105" s="281" t="s">
        <v>125</v>
      </c>
      <c r="P105" s="281" t="s">
        <v>126</v>
      </c>
      <c r="Q105" s="221"/>
      <c r="R105" s="284"/>
    </row>
    <row r="106" spans="1:46" ht="16.5">
      <c r="A106" s="204"/>
      <c r="B106" s="240" t="s">
        <v>173</v>
      </c>
      <c r="C106" s="241"/>
      <c r="D106" s="241"/>
      <c r="E106" s="241"/>
      <c r="F106" s="242"/>
      <c r="G106" s="243"/>
      <c r="H106" s="243"/>
      <c r="I106" s="243"/>
      <c r="J106" s="243"/>
      <c r="K106" s="243"/>
      <c r="L106" s="243"/>
      <c r="M106" s="243"/>
      <c r="N106" s="243"/>
      <c r="O106" s="243"/>
      <c r="P106" s="243"/>
      <c r="Q106" s="244"/>
      <c r="R106" s="205"/>
    </row>
    <row r="107" spans="1:46" ht="16.5">
      <c r="A107" s="204"/>
      <c r="B107" s="245" t="s">
        <v>160</v>
      </c>
      <c r="C107" s="246"/>
      <c r="D107" s="246"/>
      <c r="E107" s="246"/>
      <c r="F107" s="247"/>
      <c r="G107" s="248"/>
      <c r="H107" s="248"/>
      <c r="I107" s="248"/>
      <c r="J107" s="248"/>
      <c r="K107" s="248"/>
      <c r="L107" s="248"/>
      <c r="M107" s="248"/>
      <c r="N107" s="248"/>
      <c r="O107" s="248"/>
      <c r="P107" s="248"/>
      <c r="Q107" s="249"/>
    </row>
    <row r="108" spans="1:46">
      <c r="A108" s="204"/>
      <c r="B108" s="128" t="s">
        <v>485</v>
      </c>
      <c r="C108" s="297" t="s">
        <v>189</v>
      </c>
      <c r="D108" s="215"/>
      <c r="E108" s="215"/>
      <c r="F108" s="250"/>
      <c r="G108" s="251">
        <f>+G5+G31+G32</f>
        <v>289571.73</v>
      </c>
      <c r="H108" s="251">
        <f t="shared" ref="H108:Q108" si="10">+H5+H31+H32</f>
        <v>0</v>
      </c>
      <c r="I108" s="251">
        <f t="shared" si="10"/>
        <v>885195.62641553138</v>
      </c>
      <c r="J108" s="251">
        <f t="shared" si="10"/>
        <v>238335.37600000005</v>
      </c>
      <c r="K108" s="251">
        <f t="shared" si="10"/>
        <v>33995.910000000003</v>
      </c>
      <c r="L108" s="251">
        <f t="shared" si="10"/>
        <v>19843.12</v>
      </c>
      <c r="M108" s="251">
        <f t="shared" si="10"/>
        <v>46694.65</v>
      </c>
      <c r="N108" s="251">
        <f t="shared" si="10"/>
        <v>120966.56999999999</v>
      </c>
      <c r="O108" s="251">
        <f t="shared" si="10"/>
        <v>785.03664192558836</v>
      </c>
      <c r="P108" s="251">
        <f t="shared" si="10"/>
        <v>514.96687630253223</v>
      </c>
      <c r="Q108" s="252">
        <f t="shared" si="10"/>
        <v>1635902.9859337595</v>
      </c>
    </row>
    <row r="109" spans="1:46">
      <c r="A109" s="204"/>
      <c r="B109" s="128" t="s">
        <v>350</v>
      </c>
      <c r="C109" s="298" t="s">
        <v>190</v>
      </c>
      <c r="D109" s="215"/>
      <c r="E109" s="215"/>
      <c r="F109" s="250"/>
      <c r="G109" s="251">
        <f t="shared" ref="G109:Q109" si="11">+G$8+G$9+G$10+G$11+G$33+G$34+G$35+G$36+G$37</f>
        <v>-14047.559999999998</v>
      </c>
      <c r="H109" s="251">
        <f t="shared" si="11"/>
        <v>0</v>
      </c>
      <c r="I109" s="251">
        <f t="shared" si="11"/>
        <v>841091.7960876046</v>
      </c>
      <c r="J109" s="251">
        <f t="shared" si="11"/>
        <v>-99924.964000000007</v>
      </c>
      <c r="K109" s="251">
        <f t="shared" si="11"/>
        <v>10695.66</v>
      </c>
      <c r="L109" s="251">
        <f t="shared" si="11"/>
        <v>6631.8</v>
      </c>
      <c r="M109" s="251">
        <f t="shared" si="11"/>
        <v>3360</v>
      </c>
      <c r="N109" s="251">
        <f t="shared" si="11"/>
        <v>32363.86</v>
      </c>
      <c r="O109" s="251">
        <f t="shared" si="11"/>
        <v>24262.312620271812</v>
      </c>
      <c r="P109" s="251">
        <f t="shared" si="11"/>
        <v>35714.750651541137</v>
      </c>
      <c r="Q109" s="252">
        <f t="shared" si="11"/>
        <v>840147.65535941743</v>
      </c>
    </row>
    <row r="110" spans="1:46">
      <c r="A110" s="204"/>
      <c r="B110" s="128" t="s">
        <v>313</v>
      </c>
      <c r="C110" s="299" t="s">
        <v>191</v>
      </c>
      <c r="D110" s="215"/>
      <c r="E110" s="215"/>
      <c r="F110" s="250"/>
      <c r="G110" s="251">
        <f t="shared" ref="G110:Q110" si="12">+G$6+G$7+G$12+G$13+G$14+G$15+G$16+G$17+G$18+G$19+G$20+G$21+G$22+G$23+G$24+G$25+G$26+G$27+G$28+G$29+G$30+G$39+G$38+G$40+G$41+G$42+G$43+G$44+G$45+G$46+G$47+G$48+G$49+G$50+G$51+G$52+G$53+G$54+G$55+G$56+G$57+G$58+G$59+G$60+G$61+G$62+G$63+G$64+G$65+G$66+G$67+G$68+G$69+G$70+G$71+G$72+G$73</f>
        <v>275716.97000000003</v>
      </c>
      <c r="H110" s="251">
        <f t="shared" si="12"/>
        <v>-328936.29000000004</v>
      </c>
      <c r="I110" s="251">
        <f t="shared" si="12"/>
        <v>1661873.6845598242</v>
      </c>
      <c r="J110" s="251">
        <f t="shared" si="12"/>
        <v>-587261.09400000016</v>
      </c>
      <c r="K110" s="251">
        <f t="shared" si="12"/>
        <v>38635.1</v>
      </c>
      <c r="L110" s="251">
        <f t="shared" si="12"/>
        <v>19070.100000000002</v>
      </c>
      <c r="M110" s="251">
        <f t="shared" si="12"/>
        <v>25988.6</v>
      </c>
      <c r="N110" s="251">
        <f t="shared" si="12"/>
        <v>133100.04999999999</v>
      </c>
      <c r="O110" s="251">
        <f t="shared" si="12"/>
        <v>83019.588611420622</v>
      </c>
      <c r="P110" s="251">
        <f t="shared" si="12"/>
        <v>122141.11481887769</v>
      </c>
      <c r="Q110" s="252">
        <f t="shared" si="12"/>
        <v>1443347.8239901219</v>
      </c>
    </row>
    <row r="111" spans="1:46">
      <c r="A111" s="204"/>
      <c r="B111" s="253" t="s">
        <v>311</v>
      </c>
      <c r="C111" s="254"/>
      <c r="D111" s="254"/>
      <c r="E111" s="254"/>
      <c r="F111" s="250"/>
      <c r="G111" s="251">
        <f>SUM(G108:G110)</f>
        <v>551241.14</v>
      </c>
      <c r="H111" s="251">
        <f>SUM(H108:H110)</f>
        <v>-328936.29000000004</v>
      </c>
      <c r="I111" s="251">
        <f>SUM(I108:I110)</f>
        <v>3388161.10706296</v>
      </c>
      <c r="J111" s="251">
        <f t="shared" ref="J111:P111" si="13">SUM(J108:J110)</f>
        <v>-448850.68200000015</v>
      </c>
      <c r="K111" s="251">
        <f t="shared" si="13"/>
        <v>83326.670000000013</v>
      </c>
      <c r="L111" s="251">
        <f t="shared" si="13"/>
        <v>45545.020000000004</v>
      </c>
      <c r="M111" s="251">
        <f t="shared" si="13"/>
        <v>76043.25</v>
      </c>
      <c r="N111" s="251">
        <f t="shared" si="13"/>
        <v>286430.48</v>
      </c>
      <c r="O111" s="251">
        <f t="shared" si="13"/>
        <v>108066.93787361802</v>
      </c>
      <c r="P111" s="251">
        <f t="shared" si="13"/>
        <v>158370.83234672135</v>
      </c>
      <c r="Q111" s="252">
        <f>SUM(G111:P111)</f>
        <v>3919398.4652832998</v>
      </c>
      <c r="R111" s="213"/>
      <c r="S111" s="98"/>
    </row>
    <row r="112" spans="1:46">
      <c r="A112" s="204"/>
      <c r="B112" s="255"/>
      <c r="C112" s="256"/>
      <c r="D112" s="256"/>
      <c r="E112" s="256"/>
      <c r="F112" s="247"/>
      <c r="G112" s="233"/>
      <c r="H112" s="233"/>
      <c r="I112" s="233"/>
      <c r="J112" s="233"/>
      <c r="K112" s="233"/>
      <c r="L112" s="233"/>
      <c r="M112" s="233"/>
      <c r="N112" s="233"/>
      <c r="O112" s="233"/>
      <c r="P112" s="233"/>
      <c r="Q112" s="257"/>
    </row>
    <row r="113" spans="1:19" ht="16.5">
      <c r="A113" s="204"/>
      <c r="B113" s="245" t="s">
        <v>310</v>
      </c>
      <c r="C113" s="246"/>
      <c r="D113" s="246"/>
      <c r="E113" s="246"/>
      <c r="F113" s="247"/>
      <c r="G113" s="233"/>
      <c r="H113" s="233"/>
      <c r="I113" s="233"/>
      <c r="J113" s="233"/>
      <c r="K113" s="233"/>
      <c r="L113" s="233"/>
      <c r="M113" s="233"/>
      <c r="N113" s="233"/>
      <c r="O113" s="233"/>
      <c r="P113" s="233"/>
      <c r="Q113" s="257"/>
    </row>
    <row r="114" spans="1:19">
      <c r="A114" s="204"/>
      <c r="B114" s="128" t="s">
        <v>485</v>
      </c>
      <c r="C114" s="297" t="s">
        <v>189</v>
      </c>
      <c r="D114" s="215"/>
      <c r="E114" s="215"/>
      <c r="F114" s="250"/>
      <c r="G114" s="251" t="e">
        <f>-G100</f>
        <v>#REF!</v>
      </c>
      <c r="H114" s="251">
        <f t="shared" ref="H114:P114" si="14">-H100</f>
        <v>0</v>
      </c>
      <c r="I114" s="251" t="e">
        <f t="shared" si="14"/>
        <v>#REF!</v>
      </c>
      <c r="J114" s="251">
        <f t="shared" si="14"/>
        <v>238335.37600000005</v>
      </c>
      <c r="K114" s="251">
        <f t="shared" si="14"/>
        <v>33995.910000000003</v>
      </c>
      <c r="L114" s="251" t="e">
        <f t="shared" si="14"/>
        <v>#REF!</v>
      </c>
      <c r="M114" s="251" t="e">
        <f t="shared" si="14"/>
        <v>#REF!</v>
      </c>
      <c r="N114" s="251">
        <f t="shared" si="14"/>
        <v>120966.57</v>
      </c>
      <c r="O114" s="251">
        <f t="shared" si="14"/>
        <v>785.03664192558836</v>
      </c>
      <c r="P114" s="251">
        <f t="shared" si="14"/>
        <v>514.96687630253223</v>
      </c>
      <c r="Q114" s="252" t="e">
        <f>SUM(G114:P114)</f>
        <v>#REF!</v>
      </c>
      <c r="S114" t="s">
        <v>493</v>
      </c>
    </row>
    <row r="115" spans="1:19">
      <c r="A115" s="204"/>
      <c r="B115" s="128" t="str">
        <f>+B$109</f>
        <v xml:space="preserve">   International Assignee one-time and out of period adjmts</v>
      </c>
      <c r="C115" s="298" t="s">
        <v>190</v>
      </c>
      <c r="D115" s="215"/>
      <c r="E115" s="215"/>
      <c r="F115" s="250"/>
      <c r="G115" s="251">
        <f t="shared" ref="G115:I116" si="15">+G109</f>
        <v>-14047.559999999998</v>
      </c>
      <c r="H115" s="251">
        <f t="shared" si="15"/>
        <v>0</v>
      </c>
      <c r="I115" s="251">
        <f t="shared" si="15"/>
        <v>841091.7960876046</v>
      </c>
      <c r="J115" s="251">
        <f t="shared" ref="J115:P116" si="16">+J109</f>
        <v>-99924.964000000007</v>
      </c>
      <c r="K115" s="251">
        <f t="shared" si="16"/>
        <v>10695.66</v>
      </c>
      <c r="L115" s="251">
        <f t="shared" si="16"/>
        <v>6631.8</v>
      </c>
      <c r="M115" s="251">
        <f t="shared" si="16"/>
        <v>3360</v>
      </c>
      <c r="N115" s="251">
        <f t="shared" si="16"/>
        <v>32363.86</v>
      </c>
      <c r="O115" s="251">
        <f t="shared" si="16"/>
        <v>24262.312620271812</v>
      </c>
      <c r="P115" s="251">
        <f t="shared" si="16"/>
        <v>35714.750651541137</v>
      </c>
      <c r="Q115" s="252">
        <f>SUM(G115:P115)</f>
        <v>840147.65535941767</v>
      </c>
      <c r="S115" t="s">
        <v>316</v>
      </c>
    </row>
    <row r="116" spans="1:19">
      <c r="A116" s="204"/>
      <c r="B116" s="128" t="s">
        <v>313</v>
      </c>
      <c r="C116" s="299" t="s">
        <v>191</v>
      </c>
      <c r="D116" s="215"/>
      <c r="E116" s="215"/>
      <c r="F116" s="250"/>
      <c r="G116" s="251">
        <f t="shared" si="15"/>
        <v>275716.97000000003</v>
      </c>
      <c r="H116" s="251">
        <f t="shared" si="15"/>
        <v>-328936.29000000004</v>
      </c>
      <c r="I116" s="251">
        <f t="shared" si="15"/>
        <v>1661873.6845598242</v>
      </c>
      <c r="J116" s="251">
        <f>+J110</f>
        <v>-587261.09400000016</v>
      </c>
      <c r="K116" s="251">
        <f t="shared" si="16"/>
        <v>38635.1</v>
      </c>
      <c r="L116" s="251">
        <f t="shared" si="16"/>
        <v>19070.100000000002</v>
      </c>
      <c r="M116" s="251">
        <f t="shared" si="16"/>
        <v>25988.6</v>
      </c>
      <c r="N116" s="251">
        <f t="shared" si="16"/>
        <v>133100.04999999999</v>
      </c>
      <c r="O116" s="251">
        <f t="shared" si="16"/>
        <v>83019.588611420622</v>
      </c>
      <c r="P116" s="251">
        <f t="shared" si="16"/>
        <v>122141.11481887769</v>
      </c>
      <c r="Q116" s="252">
        <f>SUM(G116:P116)</f>
        <v>1443347.8239901226</v>
      </c>
      <c r="S116" t="s">
        <v>331</v>
      </c>
    </row>
    <row r="117" spans="1:19" ht="15">
      <c r="A117" s="204"/>
      <c r="B117" s="253" t="s">
        <v>484</v>
      </c>
      <c r="C117" s="254"/>
      <c r="D117" s="254"/>
      <c r="E117" s="254"/>
      <c r="F117" s="250"/>
      <c r="G117" s="251" t="e">
        <f>SUM(G114:G116)</f>
        <v>#REF!</v>
      </c>
      <c r="H117" s="251">
        <f>SUM(H114:H116)</f>
        <v>-328936.29000000004</v>
      </c>
      <c r="I117" s="251" t="e">
        <f>SUM(I114:I116)</f>
        <v>#REF!</v>
      </c>
      <c r="J117" s="251">
        <f t="shared" ref="J117:Q117" si="17">SUM(J114:J116)</f>
        <v>-448850.68200000015</v>
      </c>
      <c r="K117" s="251">
        <f t="shared" si="17"/>
        <v>83326.670000000013</v>
      </c>
      <c r="L117" s="251" t="e">
        <f t="shared" si="17"/>
        <v>#REF!</v>
      </c>
      <c r="M117" s="251" t="e">
        <f t="shared" si="17"/>
        <v>#REF!</v>
      </c>
      <c r="N117" s="251">
        <f t="shared" si="17"/>
        <v>286430.48</v>
      </c>
      <c r="O117" s="251">
        <f t="shared" si="17"/>
        <v>108066.93787361802</v>
      </c>
      <c r="P117" s="251">
        <f t="shared" si="17"/>
        <v>158370.83234672135</v>
      </c>
      <c r="Q117" s="315" t="e">
        <f t="shared" si="17"/>
        <v>#REF!</v>
      </c>
      <c r="R117" s="283"/>
    </row>
    <row r="118" spans="1:19" ht="13.5" thickBot="1">
      <c r="A118" s="204"/>
      <c r="B118" s="316" t="s">
        <v>349</v>
      </c>
      <c r="C118" s="259"/>
      <c r="D118" s="259"/>
      <c r="E118" s="259"/>
      <c r="F118" s="260"/>
      <c r="G118" s="261"/>
      <c r="H118" s="261"/>
      <c r="I118" s="261"/>
      <c r="J118" s="261"/>
      <c r="K118" s="261"/>
      <c r="L118" s="261"/>
      <c r="M118" s="261"/>
      <c r="N118" s="261"/>
      <c r="O118" s="261"/>
      <c r="P118" s="261"/>
      <c r="Q118" s="314" t="e">
        <f>+Q111-Q117</f>
        <v>#REF!</v>
      </c>
      <c r="R118" s="213"/>
    </row>
    <row r="119" spans="1:19">
      <c r="A119" s="204"/>
      <c r="B119" s="271"/>
      <c r="C119" s="270"/>
      <c r="D119" s="270"/>
      <c r="E119" s="270"/>
      <c r="F119" s="247"/>
      <c r="G119" s="248"/>
      <c r="H119" s="248"/>
      <c r="I119" s="248"/>
      <c r="J119" s="248"/>
      <c r="K119" s="248"/>
      <c r="L119" s="248"/>
      <c r="M119" s="248"/>
      <c r="N119" s="248"/>
      <c r="O119" s="248"/>
      <c r="P119" s="248"/>
      <c r="Q119" s="248"/>
    </row>
    <row r="120" spans="1:19" ht="13.5" thickBot="1">
      <c r="A120" s="204"/>
      <c r="B120" s="271"/>
      <c r="C120" s="270"/>
      <c r="D120" s="270"/>
      <c r="E120" s="270"/>
      <c r="F120" s="247"/>
      <c r="G120" s="248"/>
      <c r="H120" s="248"/>
      <c r="I120" s="248"/>
      <c r="J120" s="248"/>
      <c r="K120" s="248"/>
      <c r="L120" s="248"/>
      <c r="M120" s="248"/>
      <c r="N120" s="248"/>
      <c r="O120" s="248"/>
      <c r="P120" s="248"/>
      <c r="Q120" s="248"/>
    </row>
    <row r="121" spans="1:19" ht="15">
      <c r="A121" s="300"/>
      <c r="B121" s="240" t="s">
        <v>347</v>
      </c>
      <c r="C121" s="302"/>
      <c r="D121" s="302"/>
      <c r="E121" s="302"/>
      <c r="F121" s="242"/>
      <c r="G121" s="243"/>
      <c r="H121" s="243"/>
      <c r="I121" s="243"/>
      <c r="J121" s="243"/>
      <c r="K121" s="243"/>
      <c r="L121" s="243"/>
      <c r="M121" s="243"/>
      <c r="N121" s="243"/>
      <c r="O121" s="243"/>
      <c r="P121" s="243"/>
      <c r="Q121" s="244"/>
      <c r="R121" s="98"/>
    </row>
    <row r="122" spans="1:19" ht="16.5">
      <c r="A122" s="255"/>
      <c r="B122" s="245" t="s">
        <v>348</v>
      </c>
      <c r="C122" s="246"/>
      <c r="D122" s="246"/>
      <c r="E122" s="246"/>
      <c r="F122" s="247"/>
      <c r="G122" s="248"/>
      <c r="H122" s="248"/>
      <c r="I122" s="248"/>
      <c r="J122" s="248"/>
      <c r="K122" s="248"/>
      <c r="L122" s="248"/>
      <c r="M122" s="248"/>
      <c r="N122" s="248"/>
      <c r="O122" s="248"/>
      <c r="P122" s="248"/>
      <c r="Q122" s="249"/>
    </row>
    <row r="123" spans="1:19">
      <c r="A123" s="255"/>
      <c r="B123" s="128" t="s">
        <v>485</v>
      </c>
      <c r="C123" s="297" t="s">
        <v>189</v>
      </c>
      <c r="D123" s="202" t="s">
        <v>328</v>
      </c>
      <c r="E123" s="202">
        <v>557</v>
      </c>
      <c r="F123" s="250"/>
      <c r="G123" s="251">
        <f t="shared" ref="G123:P123" si="18">+G5</f>
        <v>64444.36</v>
      </c>
      <c r="H123" s="251">
        <f t="shared" si="18"/>
        <v>0</v>
      </c>
      <c r="I123" s="251">
        <f t="shared" si="18"/>
        <v>221085</v>
      </c>
      <c r="J123" s="251">
        <f t="shared" si="18"/>
        <v>51825.23</v>
      </c>
      <c r="K123" s="251">
        <f t="shared" si="18"/>
        <v>13940.53</v>
      </c>
      <c r="L123" s="251">
        <f t="shared" si="18"/>
        <v>5276.7</v>
      </c>
      <c r="M123" s="251">
        <f t="shared" si="18"/>
        <v>2768</v>
      </c>
      <c r="N123" s="251">
        <f t="shared" si="18"/>
        <v>29563.69</v>
      </c>
      <c r="O123" s="251">
        <f t="shared" si="18"/>
        <v>0</v>
      </c>
      <c r="P123" s="251">
        <f t="shared" si="18"/>
        <v>0</v>
      </c>
      <c r="Q123" s="252">
        <f>SUM(G123:P123)</f>
        <v>388903.51</v>
      </c>
    </row>
    <row r="124" spans="1:19">
      <c r="A124" s="255"/>
      <c r="B124" s="128" t="str">
        <f>+B$109</f>
        <v xml:space="preserve">   International Assignee one-time and out of period adjmts</v>
      </c>
      <c r="C124" s="298" t="s">
        <v>190</v>
      </c>
      <c r="D124" s="202" t="s">
        <v>328</v>
      </c>
      <c r="E124" s="202">
        <v>557</v>
      </c>
      <c r="F124" s="250"/>
      <c r="G124" s="251"/>
      <c r="H124" s="251"/>
      <c r="I124" s="251"/>
      <c r="J124" s="251"/>
      <c r="K124" s="251"/>
      <c r="L124" s="251"/>
      <c r="M124" s="251"/>
      <c r="N124" s="251"/>
      <c r="O124" s="251"/>
      <c r="P124" s="251"/>
      <c r="Q124" s="252">
        <f>SUM(G124:P124)</f>
        <v>0</v>
      </c>
    </row>
    <row r="125" spans="1:19">
      <c r="A125" s="255"/>
      <c r="B125" s="128" t="s">
        <v>313</v>
      </c>
      <c r="C125" s="299" t="s">
        <v>191</v>
      </c>
      <c r="D125" s="202" t="s">
        <v>328</v>
      </c>
      <c r="E125" s="202">
        <v>557</v>
      </c>
      <c r="F125" s="250"/>
      <c r="G125" s="251">
        <f t="shared" ref="G125:P125" si="19">+G6+G7</f>
        <v>8018.6699999999983</v>
      </c>
      <c r="H125" s="251">
        <f t="shared" si="19"/>
        <v>0</v>
      </c>
      <c r="I125" s="251">
        <f t="shared" si="19"/>
        <v>99901.54017917515</v>
      </c>
      <c r="J125" s="251">
        <f t="shared" si="19"/>
        <v>-19742.024000000001</v>
      </c>
      <c r="K125" s="251">
        <f t="shared" si="19"/>
        <v>1897.22</v>
      </c>
      <c r="L125" s="251">
        <f t="shared" si="19"/>
        <v>2470.8000000000002</v>
      </c>
      <c r="M125" s="251">
        <f t="shared" si="19"/>
        <v>2768</v>
      </c>
      <c r="N125" s="251">
        <f t="shared" si="19"/>
        <v>16872.169999999998</v>
      </c>
      <c r="O125" s="251">
        <f t="shared" si="19"/>
        <v>3578.2890196152512</v>
      </c>
      <c r="P125" s="251">
        <f t="shared" si="19"/>
        <v>4948.9338878649542</v>
      </c>
      <c r="Q125" s="252">
        <f>SUM(G125:P125)</f>
        <v>120713.59908665536</v>
      </c>
    </row>
    <row r="126" spans="1:19">
      <c r="A126" s="255"/>
      <c r="B126" s="253" t="s">
        <v>335</v>
      </c>
      <c r="C126" s="254"/>
      <c r="D126" s="215"/>
      <c r="E126" s="254"/>
      <c r="F126" s="250"/>
      <c r="G126" s="251">
        <f t="shared" ref="G126:Q126" si="20">SUM(G123:G125)</f>
        <v>72463.03</v>
      </c>
      <c r="H126" s="251">
        <f t="shared" si="20"/>
        <v>0</v>
      </c>
      <c r="I126" s="251">
        <f t="shared" si="20"/>
        <v>320986.54017917515</v>
      </c>
      <c r="J126" s="251">
        <f t="shared" si="20"/>
        <v>32083.206000000002</v>
      </c>
      <c r="K126" s="251">
        <f t="shared" si="20"/>
        <v>15837.75</v>
      </c>
      <c r="L126" s="251">
        <f t="shared" si="20"/>
        <v>7747.5</v>
      </c>
      <c r="M126" s="251">
        <f t="shared" si="20"/>
        <v>5536</v>
      </c>
      <c r="N126" s="251">
        <f t="shared" si="20"/>
        <v>46435.86</v>
      </c>
      <c r="O126" s="251">
        <f t="shared" si="20"/>
        <v>3578.2890196152512</v>
      </c>
      <c r="P126" s="251">
        <f t="shared" si="20"/>
        <v>4948.9338878649542</v>
      </c>
      <c r="Q126" s="252">
        <f t="shared" si="20"/>
        <v>509617.10908665537</v>
      </c>
    </row>
    <row r="127" spans="1:19">
      <c r="A127" s="255"/>
      <c r="B127" s="255"/>
      <c r="C127" s="256"/>
      <c r="D127" s="256"/>
      <c r="E127" s="256"/>
      <c r="F127" s="247"/>
      <c r="G127" s="233"/>
      <c r="H127" s="233"/>
      <c r="I127" s="233"/>
      <c r="J127" s="233"/>
      <c r="K127" s="233"/>
      <c r="L127" s="233"/>
      <c r="M127" s="233"/>
      <c r="N127" s="233"/>
      <c r="O127" s="233"/>
      <c r="P127" s="233"/>
      <c r="Q127" s="257"/>
    </row>
    <row r="128" spans="1:19" ht="16.5">
      <c r="A128" s="255"/>
      <c r="B128" s="245" t="s">
        <v>346</v>
      </c>
      <c r="C128" s="246"/>
      <c r="D128" s="246"/>
      <c r="E128" s="246"/>
      <c r="F128" s="247"/>
      <c r="G128" s="248"/>
      <c r="H128" s="248"/>
      <c r="I128" s="248"/>
      <c r="J128" s="248"/>
      <c r="K128" s="248"/>
      <c r="L128" s="248"/>
      <c r="M128" s="248"/>
      <c r="N128" s="248"/>
      <c r="O128" s="248"/>
      <c r="P128" s="248"/>
      <c r="Q128" s="249"/>
    </row>
    <row r="129" spans="1:19">
      <c r="A129" s="255"/>
      <c r="B129" s="128" t="s">
        <v>485</v>
      </c>
      <c r="C129" s="297" t="s">
        <v>189</v>
      </c>
      <c r="D129" s="202" t="s">
        <v>328</v>
      </c>
      <c r="E129" s="202">
        <v>557</v>
      </c>
      <c r="F129" s="250"/>
      <c r="G129" s="251" t="e">
        <f>-G98</f>
        <v>#REF!</v>
      </c>
      <c r="H129" s="251">
        <f t="shared" ref="H129:P129" si="21">-H98</f>
        <v>0</v>
      </c>
      <c r="I129" s="251" t="e">
        <f t="shared" si="21"/>
        <v>#REF!</v>
      </c>
      <c r="J129" s="251">
        <f t="shared" si="21"/>
        <v>51825.23</v>
      </c>
      <c r="K129" s="251">
        <f t="shared" si="21"/>
        <v>13940.53</v>
      </c>
      <c r="L129" s="251" t="e">
        <f t="shared" si="21"/>
        <v>#REF!</v>
      </c>
      <c r="M129" s="251" t="e">
        <f t="shared" si="21"/>
        <v>#REF!</v>
      </c>
      <c r="N129" s="251">
        <f t="shared" si="21"/>
        <v>29563.69</v>
      </c>
      <c r="O129" s="251">
        <f t="shared" si="21"/>
        <v>0</v>
      </c>
      <c r="P129" s="251">
        <f t="shared" si="21"/>
        <v>0</v>
      </c>
      <c r="Q129" s="252" t="e">
        <f>SUM(G129:P129)</f>
        <v>#REF!</v>
      </c>
      <c r="S129" t="s">
        <v>493</v>
      </c>
    </row>
    <row r="130" spans="1:19">
      <c r="A130" s="255"/>
      <c r="B130" s="128" t="str">
        <f>+B$109</f>
        <v xml:space="preserve">   International Assignee one-time and out of period adjmts</v>
      </c>
      <c r="C130" s="298" t="s">
        <v>190</v>
      </c>
      <c r="D130" s="202" t="s">
        <v>328</v>
      </c>
      <c r="E130" s="202">
        <v>557</v>
      </c>
      <c r="F130" s="250"/>
      <c r="G130" s="251"/>
      <c r="H130" s="251"/>
      <c r="I130" s="251"/>
      <c r="J130" s="251"/>
      <c r="K130" s="251"/>
      <c r="L130" s="251"/>
      <c r="M130" s="251"/>
      <c r="N130" s="251"/>
      <c r="O130" s="251"/>
      <c r="P130" s="251"/>
      <c r="Q130" s="252">
        <f>SUM(G130:P130)</f>
        <v>0</v>
      </c>
      <c r="S130" t="s">
        <v>316</v>
      </c>
    </row>
    <row r="131" spans="1:19" ht="13.5" thickBot="1">
      <c r="A131" s="255"/>
      <c r="B131" s="128" t="s">
        <v>313</v>
      </c>
      <c r="C131" s="299" t="s">
        <v>191</v>
      </c>
      <c r="D131" s="202" t="s">
        <v>328</v>
      </c>
      <c r="E131" s="202">
        <v>557</v>
      </c>
      <c r="F131" s="250"/>
      <c r="G131" s="251">
        <f t="shared" ref="G131:P131" si="22">+G125</f>
        <v>8018.6699999999983</v>
      </c>
      <c r="H131" s="251">
        <f t="shared" si="22"/>
        <v>0</v>
      </c>
      <c r="I131" s="251">
        <f t="shared" si="22"/>
        <v>99901.54017917515</v>
      </c>
      <c r="J131" s="251">
        <f t="shared" si="22"/>
        <v>-19742.024000000001</v>
      </c>
      <c r="K131" s="251">
        <f t="shared" si="22"/>
        <v>1897.22</v>
      </c>
      <c r="L131" s="251">
        <f t="shared" si="22"/>
        <v>2470.8000000000002</v>
      </c>
      <c r="M131" s="251">
        <f t="shared" si="22"/>
        <v>2768</v>
      </c>
      <c r="N131" s="251">
        <f t="shared" si="22"/>
        <v>16872.169999999998</v>
      </c>
      <c r="O131" s="251">
        <f t="shared" si="22"/>
        <v>3578.2890196152512</v>
      </c>
      <c r="P131" s="251">
        <f t="shared" si="22"/>
        <v>4948.9338878649542</v>
      </c>
      <c r="Q131" s="252">
        <f>SUM(G131:P131)</f>
        <v>120713.59908665536</v>
      </c>
      <c r="S131" t="s">
        <v>331</v>
      </c>
    </row>
    <row r="132" spans="1:19" ht="13.5" thickBot="1">
      <c r="A132" s="255"/>
      <c r="B132" s="303" t="s">
        <v>336</v>
      </c>
      <c r="C132" s="304"/>
      <c r="D132" s="304"/>
      <c r="E132" s="304"/>
      <c r="F132" s="258"/>
      <c r="G132" s="305" t="e">
        <f t="shared" ref="G132:Q132" si="23">SUM(G129:G131)</f>
        <v>#REF!</v>
      </c>
      <c r="H132" s="305">
        <f t="shared" si="23"/>
        <v>0</v>
      </c>
      <c r="I132" s="305" t="e">
        <f t="shared" si="23"/>
        <v>#REF!</v>
      </c>
      <c r="J132" s="305">
        <f t="shared" si="23"/>
        <v>32083.206000000002</v>
      </c>
      <c r="K132" s="305">
        <f t="shared" si="23"/>
        <v>15837.75</v>
      </c>
      <c r="L132" s="305" t="e">
        <f t="shared" si="23"/>
        <v>#REF!</v>
      </c>
      <c r="M132" s="305" t="e">
        <f t="shared" si="23"/>
        <v>#REF!</v>
      </c>
      <c r="N132" s="305">
        <f t="shared" si="23"/>
        <v>46435.86</v>
      </c>
      <c r="O132" s="305">
        <f t="shared" si="23"/>
        <v>3578.2890196152512</v>
      </c>
      <c r="P132" s="305">
        <f t="shared" si="23"/>
        <v>4948.9338878649542</v>
      </c>
      <c r="Q132" s="313" t="e">
        <f t="shared" si="23"/>
        <v>#REF!</v>
      </c>
      <c r="R132" s="329">
        <v>4.4000000000000004</v>
      </c>
    </row>
    <row r="133" spans="1:19">
      <c r="A133" s="300"/>
      <c r="B133" s="307"/>
      <c r="C133" s="122"/>
      <c r="D133" s="122"/>
      <c r="E133" s="122"/>
      <c r="F133" s="122"/>
      <c r="G133" s="122"/>
      <c r="H133" s="122"/>
      <c r="I133" s="122"/>
      <c r="J133" s="122"/>
      <c r="K133" s="122"/>
      <c r="L133" s="122"/>
      <c r="M133" s="122"/>
      <c r="N133" s="122"/>
      <c r="O133" s="122"/>
      <c r="P133" s="122"/>
      <c r="Q133" s="123"/>
    </row>
    <row r="134" spans="1:19" ht="16.5">
      <c r="A134" s="255"/>
      <c r="B134" s="245" t="s">
        <v>344</v>
      </c>
      <c r="C134" s="246"/>
      <c r="D134" s="246"/>
      <c r="E134" s="246"/>
      <c r="F134" s="247"/>
      <c r="G134" s="248"/>
      <c r="H134" s="248"/>
      <c r="I134" s="248"/>
      <c r="J134" s="248"/>
      <c r="K134" s="248"/>
      <c r="L134" s="248"/>
      <c r="M134" s="248"/>
      <c r="N134" s="248"/>
      <c r="O134" s="248"/>
      <c r="P134" s="248"/>
      <c r="Q134" s="249"/>
    </row>
    <row r="135" spans="1:19">
      <c r="A135" s="255"/>
      <c r="B135" s="128" t="s">
        <v>485</v>
      </c>
      <c r="C135" s="297" t="s">
        <v>189</v>
      </c>
      <c r="D135" s="214" t="s">
        <v>332</v>
      </c>
      <c r="E135" s="202">
        <v>560</v>
      </c>
      <c r="F135" s="250"/>
      <c r="G135" s="251"/>
      <c r="H135" s="251"/>
      <c r="I135" s="251"/>
      <c r="J135" s="251"/>
      <c r="K135" s="251"/>
      <c r="L135" s="251"/>
      <c r="M135" s="251"/>
      <c r="N135" s="251"/>
      <c r="O135" s="251"/>
      <c r="P135" s="251"/>
      <c r="Q135" s="252">
        <f>SUM(G135:P135)</f>
        <v>0</v>
      </c>
    </row>
    <row r="136" spans="1:19">
      <c r="A136" s="255"/>
      <c r="B136" s="128" t="str">
        <f>+B$109</f>
        <v xml:space="preserve">   International Assignee one-time and out of period adjmts</v>
      </c>
      <c r="C136" s="298" t="s">
        <v>190</v>
      </c>
      <c r="D136" s="214" t="s">
        <v>332</v>
      </c>
      <c r="E136" s="202">
        <v>560</v>
      </c>
      <c r="F136" s="250"/>
      <c r="G136" s="251">
        <f>+G8</f>
        <v>-23520</v>
      </c>
      <c r="H136" s="251">
        <f t="shared" ref="H136:P136" si="24">+H8</f>
        <v>0</v>
      </c>
      <c r="I136" s="251">
        <f t="shared" si="24"/>
        <v>73089.811308255841</v>
      </c>
      <c r="J136" s="251">
        <f t="shared" si="24"/>
        <v>-19028.080000000002</v>
      </c>
      <c r="K136" s="251">
        <f t="shared" si="24"/>
        <v>0</v>
      </c>
      <c r="L136" s="251">
        <f t="shared" si="24"/>
        <v>0</v>
      </c>
      <c r="M136" s="251">
        <f t="shared" si="24"/>
        <v>0</v>
      </c>
      <c r="N136" s="251">
        <f t="shared" si="24"/>
        <v>0</v>
      </c>
      <c r="O136" s="251">
        <f t="shared" si="24"/>
        <v>3575.4211325219612</v>
      </c>
      <c r="P136" s="251">
        <f t="shared" si="24"/>
        <v>6217.7303511543196</v>
      </c>
      <c r="Q136" s="252">
        <f>SUM(G136:P136)</f>
        <v>40334.882791932119</v>
      </c>
    </row>
    <row r="137" spans="1:19">
      <c r="A137" s="255"/>
      <c r="B137" s="128" t="s">
        <v>313</v>
      </c>
      <c r="C137" s="299" t="s">
        <v>191</v>
      </c>
      <c r="D137" s="214" t="s">
        <v>332</v>
      </c>
      <c r="E137" s="202">
        <v>560</v>
      </c>
      <c r="F137" s="250"/>
      <c r="G137" s="251"/>
      <c r="H137" s="251"/>
      <c r="I137" s="251"/>
      <c r="J137" s="251"/>
      <c r="K137" s="251"/>
      <c r="L137" s="251"/>
      <c r="M137" s="251"/>
      <c r="N137" s="251"/>
      <c r="O137" s="251"/>
      <c r="P137" s="251"/>
      <c r="Q137" s="252">
        <f>SUM(G137:P137)</f>
        <v>0</v>
      </c>
    </row>
    <row r="138" spans="1:19">
      <c r="A138" s="255"/>
      <c r="B138" s="253" t="s">
        <v>333</v>
      </c>
      <c r="C138" s="254"/>
      <c r="D138" s="254"/>
      <c r="E138" s="254"/>
      <c r="F138" s="250"/>
      <c r="G138" s="251">
        <f t="shared" ref="G138:Q138" si="25">SUM(G135:G137)</f>
        <v>-23520</v>
      </c>
      <c r="H138" s="251">
        <f t="shared" si="25"/>
        <v>0</v>
      </c>
      <c r="I138" s="251">
        <f t="shared" si="25"/>
        <v>73089.811308255841</v>
      </c>
      <c r="J138" s="251">
        <f t="shared" si="25"/>
        <v>-19028.080000000002</v>
      </c>
      <c r="K138" s="251">
        <f t="shared" si="25"/>
        <v>0</v>
      </c>
      <c r="L138" s="251">
        <f t="shared" si="25"/>
        <v>0</v>
      </c>
      <c r="M138" s="251">
        <f t="shared" si="25"/>
        <v>0</v>
      </c>
      <c r="N138" s="251">
        <f t="shared" si="25"/>
        <v>0</v>
      </c>
      <c r="O138" s="251">
        <f t="shared" si="25"/>
        <v>3575.4211325219612</v>
      </c>
      <c r="P138" s="251">
        <f t="shared" si="25"/>
        <v>6217.7303511543196</v>
      </c>
      <c r="Q138" s="252">
        <f t="shared" si="25"/>
        <v>40334.882791932119</v>
      </c>
    </row>
    <row r="139" spans="1:19">
      <c r="A139" s="255"/>
      <c r="B139" s="255"/>
      <c r="C139" s="256"/>
      <c r="D139" s="256"/>
      <c r="E139" s="256"/>
      <c r="F139" s="247"/>
      <c r="G139" s="233"/>
      <c r="H139" s="233"/>
      <c r="I139" s="233"/>
      <c r="J139" s="233"/>
      <c r="K139" s="233"/>
      <c r="L139" s="233"/>
      <c r="M139" s="233"/>
      <c r="N139" s="233"/>
      <c r="O139" s="233"/>
      <c r="P139" s="233"/>
      <c r="Q139" s="257"/>
    </row>
    <row r="140" spans="1:19" ht="16.5">
      <c r="A140" s="255"/>
      <c r="B140" s="245" t="s">
        <v>345</v>
      </c>
      <c r="C140" s="246"/>
      <c r="D140" s="246"/>
      <c r="E140" s="246"/>
      <c r="F140" s="247"/>
      <c r="G140" s="248"/>
      <c r="H140" s="248"/>
      <c r="I140" s="248"/>
      <c r="J140" s="248"/>
      <c r="K140" s="248"/>
      <c r="L140" s="248"/>
      <c r="M140" s="248"/>
      <c r="N140" s="248"/>
      <c r="O140" s="248"/>
      <c r="P140" s="248"/>
      <c r="Q140" s="249"/>
    </row>
    <row r="141" spans="1:19">
      <c r="A141" s="255"/>
      <c r="B141" s="128" t="s">
        <v>485</v>
      </c>
      <c r="C141" s="297" t="s">
        <v>189</v>
      </c>
      <c r="D141" s="214" t="s">
        <v>332</v>
      </c>
      <c r="E141" s="202">
        <v>560</v>
      </c>
      <c r="F141" s="250"/>
      <c r="G141" s="251"/>
      <c r="H141" s="251"/>
      <c r="I141" s="251"/>
      <c r="J141" s="251"/>
      <c r="K141" s="251"/>
      <c r="L141" s="251"/>
      <c r="M141" s="251"/>
      <c r="N141" s="251"/>
      <c r="O141" s="251"/>
      <c r="P141" s="251"/>
      <c r="Q141" s="252">
        <f>SUM(G141:P141)</f>
        <v>0</v>
      </c>
      <c r="S141" t="s">
        <v>493</v>
      </c>
    </row>
    <row r="142" spans="1:19">
      <c r="A142" s="255"/>
      <c r="B142" s="128" t="str">
        <f>+B$109</f>
        <v xml:space="preserve">   International Assignee one-time and out of period adjmts</v>
      </c>
      <c r="C142" s="298" t="s">
        <v>190</v>
      </c>
      <c r="D142" s="214" t="s">
        <v>332</v>
      </c>
      <c r="E142" s="202">
        <v>560</v>
      </c>
      <c r="F142" s="250"/>
      <c r="G142" s="251">
        <f t="shared" ref="G142:P142" si="26">+G136</f>
        <v>-23520</v>
      </c>
      <c r="H142" s="251">
        <f t="shared" si="26"/>
        <v>0</v>
      </c>
      <c r="I142" s="251">
        <f t="shared" si="26"/>
        <v>73089.811308255841</v>
      </c>
      <c r="J142" s="251">
        <f t="shared" si="26"/>
        <v>-19028.080000000002</v>
      </c>
      <c r="K142" s="251">
        <f t="shared" si="26"/>
        <v>0</v>
      </c>
      <c r="L142" s="251">
        <f t="shared" si="26"/>
        <v>0</v>
      </c>
      <c r="M142" s="251">
        <f t="shared" si="26"/>
        <v>0</v>
      </c>
      <c r="N142" s="251">
        <f t="shared" si="26"/>
        <v>0</v>
      </c>
      <c r="O142" s="251">
        <f t="shared" si="26"/>
        <v>3575.4211325219612</v>
      </c>
      <c r="P142" s="251">
        <f t="shared" si="26"/>
        <v>6217.7303511543196</v>
      </c>
      <c r="Q142" s="252">
        <f>SUM(G142:P142)</f>
        <v>40334.882791932119</v>
      </c>
      <c r="S142" t="s">
        <v>316</v>
      </c>
    </row>
    <row r="143" spans="1:19" ht="13.5" thickBot="1">
      <c r="A143" s="255"/>
      <c r="B143" s="128" t="s">
        <v>313</v>
      </c>
      <c r="C143" s="299" t="s">
        <v>191</v>
      </c>
      <c r="D143" s="214" t="s">
        <v>332</v>
      </c>
      <c r="E143" s="202">
        <v>560</v>
      </c>
      <c r="F143" s="250"/>
      <c r="G143" s="251">
        <f t="shared" ref="G143:P143" si="27">+G137</f>
        <v>0</v>
      </c>
      <c r="H143" s="251">
        <f t="shared" si="27"/>
        <v>0</v>
      </c>
      <c r="I143" s="251">
        <f t="shared" si="27"/>
        <v>0</v>
      </c>
      <c r="J143" s="251">
        <f t="shared" si="27"/>
        <v>0</v>
      </c>
      <c r="K143" s="251">
        <f t="shared" si="27"/>
        <v>0</v>
      </c>
      <c r="L143" s="251">
        <f t="shared" si="27"/>
        <v>0</v>
      </c>
      <c r="M143" s="251">
        <f t="shared" si="27"/>
        <v>0</v>
      </c>
      <c r="N143" s="251">
        <f t="shared" si="27"/>
        <v>0</v>
      </c>
      <c r="O143" s="251">
        <f t="shared" si="27"/>
        <v>0</v>
      </c>
      <c r="P143" s="251">
        <f t="shared" si="27"/>
        <v>0</v>
      </c>
      <c r="Q143" s="252">
        <f>SUM(G143:P143)</f>
        <v>0</v>
      </c>
      <c r="S143" t="s">
        <v>331</v>
      </c>
    </row>
    <row r="144" spans="1:19" ht="13.5" thickBot="1">
      <c r="A144" s="308"/>
      <c r="B144" s="266" t="s">
        <v>334</v>
      </c>
      <c r="C144" s="267"/>
      <c r="D144" s="267"/>
      <c r="E144" s="267"/>
      <c r="F144" s="268"/>
      <c r="G144" s="269">
        <f t="shared" ref="G144:Q144" si="28">SUM(G141:G143)</f>
        <v>-23520</v>
      </c>
      <c r="H144" s="269">
        <f t="shared" si="28"/>
        <v>0</v>
      </c>
      <c r="I144" s="269">
        <f t="shared" si="28"/>
        <v>73089.811308255841</v>
      </c>
      <c r="J144" s="269">
        <f t="shared" si="28"/>
        <v>-19028.080000000002</v>
      </c>
      <c r="K144" s="269">
        <f t="shared" si="28"/>
        <v>0</v>
      </c>
      <c r="L144" s="269">
        <f t="shared" si="28"/>
        <v>0</v>
      </c>
      <c r="M144" s="269">
        <f t="shared" si="28"/>
        <v>0</v>
      </c>
      <c r="N144" s="269">
        <f t="shared" si="28"/>
        <v>0</v>
      </c>
      <c r="O144" s="269">
        <f t="shared" si="28"/>
        <v>3575.4211325219612</v>
      </c>
      <c r="P144" s="269">
        <f t="shared" si="28"/>
        <v>6217.7303511543196</v>
      </c>
      <c r="Q144" s="312">
        <f t="shared" si="28"/>
        <v>40334.882791932119</v>
      </c>
      <c r="R144" s="329">
        <v>4.4000000000000004</v>
      </c>
    </row>
    <row r="145" spans="1:19">
      <c r="A145" s="255"/>
      <c r="B145" s="306"/>
      <c r="C145" s="28"/>
      <c r="D145" s="28"/>
      <c r="E145" s="28"/>
      <c r="F145" s="28"/>
      <c r="G145" s="28"/>
      <c r="H145" s="28"/>
      <c r="I145" s="28"/>
      <c r="J145" s="28"/>
      <c r="K145" s="28"/>
      <c r="L145" s="28"/>
      <c r="M145" s="28"/>
      <c r="N145" s="28"/>
      <c r="O145" s="28"/>
      <c r="P145" s="28"/>
      <c r="Q145" s="125"/>
    </row>
    <row r="146" spans="1:19" ht="16.5">
      <c r="A146" s="255"/>
      <c r="B146" s="245" t="s">
        <v>340</v>
      </c>
      <c r="C146" s="246"/>
      <c r="D146" s="246"/>
      <c r="E146" s="246"/>
      <c r="F146" s="247"/>
      <c r="G146" s="248"/>
      <c r="H146" s="248"/>
      <c r="I146" s="248"/>
      <c r="J146" s="248"/>
      <c r="K146" s="248"/>
      <c r="L146" s="248"/>
      <c r="M146" s="248"/>
      <c r="N146" s="248"/>
      <c r="O146" s="248"/>
      <c r="P146" s="248"/>
      <c r="Q146" s="249"/>
    </row>
    <row r="147" spans="1:19">
      <c r="A147" s="255"/>
      <c r="B147" s="128" t="s">
        <v>485</v>
      </c>
      <c r="C147" s="297" t="s">
        <v>189</v>
      </c>
      <c r="D147" s="214" t="s">
        <v>327</v>
      </c>
      <c r="E147" s="202">
        <v>580</v>
      </c>
      <c r="F147" s="250"/>
      <c r="G147" s="251"/>
      <c r="H147" s="251"/>
      <c r="I147" s="251"/>
      <c r="J147" s="251"/>
      <c r="K147" s="251"/>
      <c r="L147" s="251"/>
      <c r="M147" s="251"/>
      <c r="N147" s="251"/>
      <c r="O147" s="251"/>
      <c r="P147" s="251"/>
      <c r="Q147" s="252">
        <f>SUM(G147:P147)</f>
        <v>0</v>
      </c>
      <c r="R147" s="98"/>
      <c r="S147" s="98"/>
    </row>
    <row r="148" spans="1:19">
      <c r="A148" s="255"/>
      <c r="B148" s="128" t="str">
        <f>+B$109</f>
        <v xml:space="preserve">   International Assignee one-time and out of period adjmts</v>
      </c>
      <c r="C148" s="298" t="s">
        <v>190</v>
      </c>
      <c r="D148" s="214" t="s">
        <v>327</v>
      </c>
      <c r="E148" s="202">
        <v>580</v>
      </c>
      <c r="F148" s="250"/>
      <c r="G148" s="251">
        <f>+G$9+G$10+G$11</f>
        <v>-128478</v>
      </c>
      <c r="H148" s="251">
        <f t="shared" ref="H148:P148" si="29">+H$9+H$10+H$11</f>
        <v>0</v>
      </c>
      <c r="I148" s="251">
        <f t="shared" si="29"/>
        <v>168775.98215745363</v>
      </c>
      <c r="J148" s="251">
        <f t="shared" si="29"/>
        <v>-152950.09000000003</v>
      </c>
      <c r="K148" s="251">
        <f t="shared" si="29"/>
        <v>0</v>
      </c>
      <c r="L148" s="251">
        <f t="shared" si="29"/>
        <v>0</v>
      </c>
      <c r="M148" s="251">
        <f t="shared" si="29"/>
        <v>0</v>
      </c>
      <c r="N148" s="251">
        <f t="shared" si="29"/>
        <v>0</v>
      </c>
      <c r="O148" s="251">
        <f t="shared" si="29"/>
        <v>9130.9102200775651</v>
      </c>
      <c r="P148" s="251">
        <f t="shared" si="29"/>
        <v>11088.832432038089</v>
      </c>
      <c r="Q148" s="252">
        <f>SUM(G148:P148)</f>
        <v>-92432.365190430733</v>
      </c>
      <c r="R148" s="98"/>
      <c r="S148" s="98"/>
    </row>
    <row r="149" spans="1:19">
      <c r="A149" s="255"/>
      <c r="B149" s="128" t="s">
        <v>313</v>
      </c>
      <c r="C149" s="299" t="s">
        <v>191</v>
      </c>
      <c r="D149" s="214" t="s">
        <v>327</v>
      </c>
      <c r="E149" s="202">
        <v>580</v>
      </c>
      <c r="F149" s="250"/>
      <c r="G149" s="251">
        <f t="shared" ref="G149:P149" si="30">SUM(G12:G30)</f>
        <v>95629.69</v>
      </c>
      <c r="H149" s="251">
        <f t="shared" si="30"/>
        <v>-11328.199999999983</v>
      </c>
      <c r="I149" s="251">
        <f t="shared" si="30"/>
        <v>552928.15712847328</v>
      </c>
      <c r="J149" s="251">
        <f t="shared" si="30"/>
        <v>-106761.19600000001</v>
      </c>
      <c r="K149" s="251">
        <f t="shared" si="30"/>
        <v>2212.5300000000002</v>
      </c>
      <c r="L149" s="251">
        <f t="shared" si="30"/>
        <v>4032.85</v>
      </c>
      <c r="M149" s="251">
        <f t="shared" si="30"/>
        <v>5409</v>
      </c>
      <c r="N149" s="251">
        <f t="shared" si="30"/>
        <v>18640.329999999998</v>
      </c>
      <c r="O149" s="251">
        <f t="shared" si="30"/>
        <v>36476.098730153557</v>
      </c>
      <c r="P149" s="251">
        <f t="shared" si="30"/>
        <v>46381.157485486256</v>
      </c>
      <c r="Q149" s="252">
        <f>SUM(G149:P149)</f>
        <v>643620.417344113</v>
      </c>
      <c r="R149" s="98"/>
      <c r="S149" s="98"/>
    </row>
    <row r="150" spans="1:19">
      <c r="A150" s="255"/>
      <c r="B150" s="253" t="s">
        <v>177</v>
      </c>
      <c r="C150" s="254"/>
      <c r="D150" s="254"/>
      <c r="E150" s="254"/>
      <c r="F150" s="250"/>
      <c r="G150" s="251">
        <f t="shared" ref="G150:Q150" si="31">SUM(G147:G149)</f>
        <v>-32848.31</v>
      </c>
      <c r="H150" s="251">
        <f t="shared" si="31"/>
        <v>-11328.199999999983</v>
      </c>
      <c r="I150" s="251">
        <f t="shared" si="31"/>
        <v>721704.13928592694</v>
      </c>
      <c r="J150" s="251">
        <f t="shared" si="31"/>
        <v>-259711.28600000002</v>
      </c>
      <c r="K150" s="251">
        <f t="shared" si="31"/>
        <v>2212.5300000000002</v>
      </c>
      <c r="L150" s="251">
        <f t="shared" si="31"/>
        <v>4032.85</v>
      </c>
      <c r="M150" s="251">
        <f t="shared" si="31"/>
        <v>5409</v>
      </c>
      <c r="N150" s="251">
        <f t="shared" si="31"/>
        <v>18640.329999999998</v>
      </c>
      <c r="O150" s="251">
        <f t="shared" si="31"/>
        <v>45607.008950231124</v>
      </c>
      <c r="P150" s="251">
        <f t="shared" si="31"/>
        <v>57469.989917524348</v>
      </c>
      <c r="Q150" s="252">
        <f t="shared" si="31"/>
        <v>551188.05215368222</v>
      </c>
      <c r="R150" s="98"/>
      <c r="S150" s="98"/>
    </row>
    <row r="151" spans="1:19">
      <c r="A151" s="255"/>
      <c r="B151" s="255"/>
      <c r="C151" s="256"/>
      <c r="D151" s="256"/>
      <c r="E151" s="256"/>
      <c r="F151" s="247"/>
      <c r="G151" s="233"/>
      <c r="H151" s="233"/>
      <c r="I151" s="233"/>
      <c r="J151" s="233"/>
      <c r="K151" s="233"/>
      <c r="L151" s="233"/>
      <c r="M151" s="233"/>
      <c r="N151" s="233"/>
      <c r="O151" s="233"/>
      <c r="P151" s="233"/>
      <c r="Q151" s="257"/>
    </row>
    <row r="152" spans="1:19" ht="16.5">
      <c r="A152" s="255"/>
      <c r="B152" s="245" t="s">
        <v>343</v>
      </c>
      <c r="C152" s="246"/>
      <c r="D152" s="246"/>
      <c r="E152" s="246"/>
      <c r="F152" s="247"/>
      <c r="G152" s="248"/>
      <c r="H152" s="248"/>
      <c r="I152" s="248"/>
      <c r="J152" s="248"/>
      <c r="K152" s="248"/>
      <c r="L152" s="248"/>
      <c r="M152" s="248"/>
      <c r="N152" s="248"/>
      <c r="O152" s="248"/>
      <c r="P152" s="248"/>
      <c r="Q152" s="249"/>
    </row>
    <row r="153" spans="1:19">
      <c r="A153" s="255"/>
      <c r="B153" s="128" t="s">
        <v>485</v>
      </c>
      <c r="C153" s="297" t="s">
        <v>189</v>
      </c>
      <c r="D153" s="214" t="s">
        <v>327</v>
      </c>
      <c r="E153" s="202">
        <v>580</v>
      </c>
      <c r="F153" s="250"/>
      <c r="G153" s="251"/>
      <c r="H153" s="251"/>
      <c r="I153" s="251"/>
      <c r="J153" s="251"/>
      <c r="K153" s="251"/>
      <c r="L153" s="251"/>
      <c r="M153" s="251"/>
      <c r="N153" s="251"/>
      <c r="O153" s="251"/>
      <c r="P153" s="251"/>
      <c r="Q153" s="252">
        <f>SUM(G153:P153)</f>
        <v>0</v>
      </c>
      <c r="S153" t="s">
        <v>493</v>
      </c>
    </row>
    <row r="154" spans="1:19">
      <c r="A154" s="255"/>
      <c r="B154" s="128" t="str">
        <f>+B$109</f>
        <v xml:space="preserve">   International Assignee one-time and out of period adjmts</v>
      </c>
      <c r="C154" s="298" t="s">
        <v>190</v>
      </c>
      <c r="D154" s="214" t="s">
        <v>327</v>
      </c>
      <c r="E154" s="202">
        <v>580</v>
      </c>
      <c r="F154" s="250"/>
      <c r="G154" s="251">
        <f>+G$9+G$10+G$11</f>
        <v>-128478</v>
      </c>
      <c r="H154" s="251">
        <f t="shared" ref="H154:P154" si="32">+H$9+H$10+H$11</f>
        <v>0</v>
      </c>
      <c r="I154" s="251">
        <f t="shared" si="32"/>
        <v>168775.98215745363</v>
      </c>
      <c r="J154" s="251">
        <f t="shared" si="32"/>
        <v>-152950.09000000003</v>
      </c>
      <c r="K154" s="251">
        <f t="shared" si="32"/>
        <v>0</v>
      </c>
      <c r="L154" s="251">
        <f t="shared" si="32"/>
        <v>0</v>
      </c>
      <c r="M154" s="251">
        <f t="shared" si="32"/>
        <v>0</v>
      </c>
      <c r="N154" s="251">
        <f t="shared" si="32"/>
        <v>0</v>
      </c>
      <c r="O154" s="251">
        <f t="shared" si="32"/>
        <v>9130.9102200775651</v>
      </c>
      <c r="P154" s="251">
        <f t="shared" si="32"/>
        <v>11088.832432038089</v>
      </c>
      <c r="Q154" s="252">
        <f>SUM(G154:P154)</f>
        <v>-92432.365190430733</v>
      </c>
      <c r="S154" t="s">
        <v>316</v>
      </c>
    </row>
    <row r="155" spans="1:19" ht="13.5" thickBot="1">
      <c r="A155" s="255"/>
      <c r="B155" s="128" t="s">
        <v>313</v>
      </c>
      <c r="C155" s="299" t="s">
        <v>191</v>
      </c>
      <c r="D155" s="214" t="s">
        <v>327</v>
      </c>
      <c r="E155" s="202">
        <v>580</v>
      </c>
      <c r="F155" s="250"/>
      <c r="G155" s="251">
        <f t="shared" ref="G155:P155" si="33">+G149</f>
        <v>95629.69</v>
      </c>
      <c r="H155" s="251">
        <f t="shared" si="33"/>
        <v>-11328.199999999983</v>
      </c>
      <c r="I155" s="251">
        <f t="shared" si="33"/>
        <v>552928.15712847328</v>
      </c>
      <c r="J155" s="251">
        <f t="shared" si="33"/>
        <v>-106761.19600000001</v>
      </c>
      <c r="K155" s="251">
        <f t="shared" si="33"/>
        <v>2212.5300000000002</v>
      </c>
      <c r="L155" s="251">
        <f t="shared" si="33"/>
        <v>4032.85</v>
      </c>
      <c r="M155" s="251">
        <f t="shared" si="33"/>
        <v>5409</v>
      </c>
      <c r="N155" s="251">
        <f t="shared" si="33"/>
        <v>18640.329999999998</v>
      </c>
      <c r="O155" s="251">
        <f t="shared" si="33"/>
        <v>36476.098730153557</v>
      </c>
      <c r="P155" s="251">
        <f t="shared" si="33"/>
        <v>46381.157485486256</v>
      </c>
      <c r="Q155" s="252">
        <f>SUM(G155:P155)</f>
        <v>643620.417344113</v>
      </c>
      <c r="S155" t="s">
        <v>331</v>
      </c>
    </row>
    <row r="156" spans="1:19" ht="13.5" thickBot="1">
      <c r="A156" s="255"/>
      <c r="B156" s="266" t="s">
        <v>178</v>
      </c>
      <c r="C156" s="267"/>
      <c r="D156" s="267"/>
      <c r="E156" s="267"/>
      <c r="F156" s="268"/>
      <c r="G156" s="269">
        <f t="shared" ref="G156:Q156" si="34">SUM(G153:G155)</f>
        <v>-32848.31</v>
      </c>
      <c r="H156" s="269">
        <f t="shared" si="34"/>
        <v>-11328.199999999983</v>
      </c>
      <c r="I156" s="269">
        <f t="shared" si="34"/>
        <v>721704.13928592694</v>
      </c>
      <c r="J156" s="269">
        <f t="shared" si="34"/>
        <v>-259711.28600000002</v>
      </c>
      <c r="K156" s="269">
        <f t="shared" si="34"/>
        <v>2212.5300000000002</v>
      </c>
      <c r="L156" s="269">
        <f t="shared" si="34"/>
        <v>4032.85</v>
      </c>
      <c r="M156" s="269">
        <f t="shared" si="34"/>
        <v>5409</v>
      </c>
      <c r="N156" s="269">
        <f t="shared" si="34"/>
        <v>18640.329999999998</v>
      </c>
      <c r="O156" s="269">
        <f t="shared" si="34"/>
        <v>45607.008950231124</v>
      </c>
      <c r="P156" s="269">
        <f t="shared" si="34"/>
        <v>57469.989917524348</v>
      </c>
      <c r="Q156" s="312">
        <f t="shared" si="34"/>
        <v>551188.05215368222</v>
      </c>
      <c r="R156" s="329">
        <v>4.4000000000000004</v>
      </c>
    </row>
    <row r="157" spans="1:19">
      <c r="A157" s="255"/>
      <c r="B157" s="300"/>
      <c r="C157" s="301"/>
      <c r="D157" s="301"/>
      <c r="E157" s="301"/>
      <c r="F157" s="242"/>
      <c r="G157" s="263"/>
      <c r="H157" s="263"/>
      <c r="I157" s="263"/>
      <c r="J157" s="263"/>
      <c r="K157" s="263"/>
      <c r="L157" s="263"/>
      <c r="M157" s="263"/>
      <c r="N157" s="263"/>
      <c r="O157" s="263"/>
      <c r="P157" s="263"/>
      <c r="Q157" s="264"/>
    </row>
    <row r="158" spans="1:19" ht="16.5">
      <c r="A158" s="255"/>
      <c r="B158" s="245" t="s">
        <v>338</v>
      </c>
      <c r="C158" s="246"/>
      <c r="D158" s="246"/>
      <c r="E158" s="246"/>
      <c r="F158" s="247"/>
      <c r="G158" s="233"/>
      <c r="H158" s="233"/>
      <c r="I158" s="233"/>
      <c r="J158" s="233"/>
      <c r="K158" s="233"/>
      <c r="L158" s="233"/>
      <c r="M158" s="233"/>
      <c r="N158" s="233"/>
      <c r="O158" s="233"/>
      <c r="P158" s="233"/>
      <c r="Q158" s="257"/>
    </row>
    <row r="159" spans="1:19">
      <c r="A159" s="255"/>
      <c r="B159" s="128" t="s">
        <v>485</v>
      </c>
      <c r="C159" s="297" t="s">
        <v>189</v>
      </c>
      <c r="D159" s="214" t="s">
        <v>325</v>
      </c>
      <c r="E159" s="202">
        <v>921</v>
      </c>
      <c r="F159" s="250"/>
      <c r="G159" s="251">
        <f>+G$31+G$32</f>
        <v>225127.37</v>
      </c>
      <c r="H159" s="251">
        <f t="shared" ref="H159:P159" si="35">+H$31+H$32</f>
        <v>0</v>
      </c>
      <c r="I159" s="251">
        <f t="shared" si="35"/>
        <v>664110.62641553138</v>
      </c>
      <c r="J159" s="251">
        <f t="shared" si="35"/>
        <v>186510.14600000004</v>
      </c>
      <c r="K159" s="251">
        <f t="shared" si="35"/>
        <v>20055.38</v>
      </c>
      <c r="L159" s="251">
        <f t="shared" si="35"/>
        <v>14566.42</v>
      </c>
      <c r="M159" s="251">
        <f t="shared" si="35"/>
        <v>43926.65</v>
      </c>
      <c r="N159" s="251">
        <f t="shared" si="35"/>
        <v>91402.880000000005</v>
      </c>
      <c r="O159" s="251">
        <f t="shared" si="35"/>
        <v>785.03664192558836</v>
      </c>
      <c r="P159" s="251">
        <f t="shared" si="35"/>
        <v>514.96687630253223</v>
      </c>
      <c r="Q159" s="252">
        <f>SUM(G159:P159)</f>
        <v>1246999.4759337592</v>
      </c>
    </row>
    <row r="160" spans="1:19">
      <c r="A160" s="255"/>
      <c r="B160" s="128" t="str">
        <f>+B$109</f>
        <v xml:space="preserve">   International Assignee one-time and out of period adjmts</v>
      </c>
      <c r="C160" s="298" t="s">
        <v>190</v>
      </c>
      <c r="D160" s="214" t="s">
        <v>325</v>
      </c>
      <c r="E160" s="202">
        <v>921</v>
      </c>
      <c r="F160" s="250"/>
      <c r="G160" s="251">
        <f t="shared" ref="G160:P160" si="36">+G$33+G$34+G$35+G$36+G$37</f>
        <v>137950.44</v>
      </c>
      <c r="H160" s="251">
        <f t="shared" si="36"/>
        <v>0</v>
      </c>
      <c r="I160" s="251">
        <f t="shared" si="36"/>
        <v>599226.00262189505</v>
      </c>
      <c r="J160" s="251">
        <f t="shared" si="36"/>
        <v>72053.206000000006</v>
      </c>
      <c r="K160" s="251">
        <f t="shared" si="36"/>
        <v>10695.66</v>
      </c>
      <c r="L160" s="251">
        <f t="shared" si="36"/>
        <v>6631.8</v>
      </c>
      <c r="M160" s="251">
        <f t="shared" si="36"/>
        <v>3360</v>
      </c>
      <c r="N160" s="251">
        <f t="shared" si="36"/>
        <v>32363.86</v>
      </c>
      <c r="O160" s="251">
        <f t="shared" si="36"/>
        <v>11555.981267672287</v>
      </c>
      <c r="P160" s="251">
        <f t="shared" si="36"/>
        <v>18408.187868348727</v>
      </c>
      <c r="Q160" s="252">
        <f>SUM(G160:P160)</f>
        <v>892245.13775791612</v>
      </c>
    </row>
    <row r="161" spans="1:19">
      <c r="A161" s="255"/>
      <c r="B161" s="128" t="s">
        <v>313</v>
      </c>
      <c r="C161" s="299" t="s">
        <v>191</v>
      </c>
      <c r="D161" s="214" t="s">
        <v>325</v>
      </c>
      <c r="E161" s="202">
        <v>921</v>
      </c>
      <c r="F161" s="250"/>
      <c r="G161" s="251">
        <f t="shared" ref="G161:P161" si="37">SUM(G38:G73)</f>
        <v>172068.61000000002</v>
      </c>
      <c r="H161" s="251">
        <f t="shared" si="37"/>
        <v>-317608.09000000003</v>
      </c>
      <c r="I161" s="251">
        <f t="shared" si="37"/>
        <v>1009043.9872521753</v>
      </c>
      <c r="J161" s="251">
        <f t="shared" si="37"/>
        <v>-460757.87400000001</v>
      </c>
      <c r="K161" s="251">
        <f t="shared" si="37"/>
        <v>34525.35</v>
      </c>
      <c r="L161" s="251">
        <f t="shared" si="37"/>
        <v>12566.45</v>
      </c>
      <c r="M161" s="251">
        <f t="shared" si="37"/>
        <v>17811.599999999999</v>
      </c>
      <c r="N161" s="251">
        <f t="shared" si="37"/>
        <v>97587.55</v>
      </c>
      <c r="O161" s="251">
        <f t="shared" si="37"/>
        <v>42965.200861651763</v>
      </c>
      <c r="P161" s="251">
        <f t="shared" si="37"/>
        <v>70811.023445526516</v>
      </c>
      <c r="Q161" s="252">
        <f>SUM(G161:P161)</f>
        <v>679013.80755935365</v>
      </c>
    </row>
    <row r="162" spans="1:19">
      <c r="A162" s="255"/>
      <c r="B162" s="253" t="s">
        <v>341</v>
      </c>
      <c r="C162" s="254"/>
      <c r="D162" s="254"/>
      <c r="E162" s="254"/>
      <c r="F162" s="250"/>
      <c r="G162" s="251">
        <f t="shared" ref="G162:Q162" si="38">SUM(G159:G161)</f>
        <v>535146.42000000004</v>
      </c>
      <c r="H162" s="251">
        <f t="shared" si="38"/>
        <v>-317608.09000000003</v>
      </c>
      <c r="I162" s="251">
        <f t="shared" si="38"/>
        <v>2272380.6162896017</v>
      </c>
      <c r="J162" s="251">
        <f t="shared" si="38"/>
        <v>-202194.52199999997</v>
      </c>
      <c r="K162" s="251">
        <f t="shared" si="38"/>
        <v>65276.39</v>
      </c>
      <c r="L162" s="251">
        <f t="shared" si="38"/>
        <v>33764.67</v>
      </c>
      <c r="M162" s="251">
        <f t="shared" si="38"/>
        <v>65098.25</v>
      </c>
      <c r="N162" s="251">
        <f t="shared" si="38"/>
        <v>221354.29</v>
      </c>
      <c r="O162" s="251">
        <f t="shared" si="38"/>
        <v>55306.218771249638</v>
      </c>
      <c r="P162" s="251">
        <f t="shared" si="38"/>
        <v>89734.178190177772</v>
      </c>
      <c r="Q162" s="252">
        <f t="shared" si="38"/>
        <v>2818258.4212510292</v>
      </c>
    </row>
    <row r="163" spans="1:19">
      <c r="A163" s="255"/>
      <c r="B163" s="255"/>
      <c r="C163" s="256"/>
      <c r="D163" s="256"/>
      <c r="E163" s="256"/>
      <c r="F163" s="247"/>
      <c r="G163" s="233"/>
      <c r="H163" s="233"/>
      <c r="I163" s="233"/>
      <c r="J163" s="233"/>
      <c r="K163" s="233"/>
      <c r="L163" s="233"/>
      <c r="M163" s="233"/>
      <c r="N163" s="233"/>
      <c r="O163" s="233"/>
      <c r="P163" s="233"/>
      <c r="Q163" s="257"/>
    </row>
    <row r="164" spans="1:19" ht="16.5">
      <c r="A164" s="255"/>
      <c r="B164" s="245" t="s">
        <v>339</v>
      </c>
      <c r="C164" s="246"/>
      <c r="D164" s="246"/>
      <c r="E164" s="246"/>
      <c r="F164" s="247"/>
      <c r="G164" s="233"/>
      <c r="H164" s="233"/>
      <c r="I164" s="233"/>
      <c r="J164" s="233"/>
      <c r="K164" s="233"/>
      <c r="L164" s="233"/>
      <c r="M164" s="233"/>
      <c r="N164" s="233"/>
      <c r="O164" s="233"/>
      <c r="P164" s="233"/>
      <c r="Q164" s="257"/>
    </row>
    <row r="165" spans="1:19">
      <c r="A165" s="255"/>
      <c r="B165" s="128" t="s">
        <v>485</v>
      </c>
      <c r="C165" s="297" t="s">
        <v>189</v>
      </c>
      <c r="D165" s="214" t="s">
        <v>325</v>
      </c>
      <c r="E165" s="202">
        <v>921</v>
      </c>
      <c r="F165" s="250"/>
      <c r="G165" s="251" t="e">
        <f>-G99</f>
        <v>#REF!</v>
      </c>
      <c r="H165" s="251">
        <f t="shared" ref="H165:P165" si="39">-H99</f>
        <v>0</v>
      </c>
      <c r="I165" s="251" t="e">
        <f t="shared" si="39"/>
        <v>#REF!</v>
      </c>
      <c r="J165" s="251">
        <f t="shared" si="39"/>
        <v>186510.14600000004</v>
      </c>
      <c r="K165" s="251">
        <f t="shared" si="39"/>
        <v>20055.38</v>
      </c>
      <c r="L165" s="251" t="e">
        <f t="shared" si="39"/>
        <v>#REF!</v>
      </c>
      <c r="M165" s="251" t="e">
        <f t="shared" si="39"/>
        <v>#REF!</v>
      </c>
      <c r="N165" s="251">
        <f t="shared" si="39"/>
        <v>91402.880000000005</v>
      </c>
      <c r="O165" s="251">
        <f t="shared" si="39"/>
        <v>785.03664192558836</v>
      </c>
      <c r="P165" s="251">
        <f t="shared" si="39"/>
        <v>514.96687630253223</v>
      </c>
      <c r="Q165" s="252" t="e">
        <f>SUM(G165:P165)</f>
        <v>#REF!</v>
      </c>
      <c r="S165" t="s">
        <v>493</v>
      </c>
    </row>
    <row r="166" spans="1:19">
      <c r="A166" s="255"/>
      <c r="B166" s="128" t="str">
        <f>+B$109</f>
        <v xml:space="preserve">   International Assignee one-time and out of period adjmts</v>
      </c>
      <c r="C166" s="298" t="s">
        <v>190</v>
      </c>
      <c r="D166" s="214" t="s">
        <v>325</v>
      </c>
      <c r="E166" s="202">
        <v>921</v>
      </c>
      <c r="F166" s="250"/>
      <c r="G166" s="251">
        <f t="shared" ref="G166:P166" si="40">+G$33+G$34+G$35+G$36+G$37</f>
        <v>137950.44</v>
      </c>
      <c r="H166" s="251">
        <f t="shared" si="40"/>
        <v>0</v>
      </c>
      <c r="I166" s="251">
        <f t="shared" si="40"/>
        <v>599226.00262189505</v>
      </c>
      <c r="J166" s="251">
        <f t="shared" si="40"/>
        <v>72053.206000000006</v>
      </c>
      <c r="K166" s="251">
        <f t="shared" si="40"/>
        <v>10695.66</v>
      </c>
      <c r="L166" s="251">
        <f t="shared" si="40"/>
        <v>6631.8</v>
      </c>
      <c r="M166" s="251">
        <f t="shared" si="40"/>
        <v>3360</v>
      </c>
      <c r="N166" s="251">
        <f t="shared" si="40"/>
        <v>32363.86</v>
      </c>
      <c r="O166" s="251">
        <f t="shared" si="40"/>
        <v>11555.981267672287</v>
      </c>
      <c r="P166" s="251">
        <f t="shared" si="40"/>
        <v>18408.187868348727</v>
      </c>
      <c r="Q166" s="252">
        <f>SUM(G166:P166)</f>
        <v>892245.13775791612</v>
      </c>
      <c r="S166" t="s">
        <v>316</v>
      </c>
    </row>
    <row r="167" spans="1:19" ht="13.5" thickBot="1">
      <c r="A167" s="255"/>
      <c r="B167" s="128" t="s">
        <v>313</v>
      </c>
      <c r="C167" s="299" t="s">
        <v>191</v>
      </c>
      <c r="D167" s="214" t="s">
        <v>325</v>
      </c>
      <c r="E167" s="202">
        <v>921</v>
      </c>
      <c r="F167" s="250"/>
      <c r="G167" s="251">
        <f t="shared" ref="G167:P167" si="41">+G161</f>
        <v>172068.61000000002</v>
      </c>
      <c r="H167" s="251">
        <f t="shared" si="41"/>
        <v>-317608.09000000003</v>
      </c>
      <c r="I167" s="251">
        <f t="shared" si="41"/>
        <v>1009043.9872521753</v>
      </c>
      <c r="J167" s="251">
        <f t="shared" si="41"/>
        <v>-460757.87400000001</v>
      </c>
      <c r="K167" s="251">
        <f t="shared" si="41"/>
        <v>34525.35</v>
      </c>
      <c r="L167" s="251">
        <f t="shared" si="41"/>
        <v>12566.45</v>
      </c>
      <c r="M167" s="251">
        <f t="shared" si="41"/>
        <v>17811.599999999999</v>
      </c>
      <c r="N167" s="251">
        <f t="shared" si="41"/>
        <v>97587.55</v>
      </c>
      <c r="O167" s="251">
        <f t="shared" si="41"/>
        <v>42965.200861651763</v>
      </c>
      <c r="P167" s="251">
        <f t="shared" si="41"/>
        <v>70811.023445526516</v>
      </c>
      <c r="Q167" s="265">
        <f>SUM(G167:P167)</f>
        <v>679013.80755935365</v>
      </c>
      <c r="S167" t="s">
        <v>331</v>
      </c>
    </row>
    <row r="168" spans="1:19" ht="13.5" thickBot="1">
      <c r="A168" s="308"/>
      <c r="B168" s="266" t="s">
        <v>342</v>
      </c>
      <c r="C168" s="267"/>
      <c r="D168" s="267"/>
      <c r="E168" s="267"/>
      <c r="F168" s="268"/>
      <c r="G168" s="269" t="e">
        <f t="shared" ref="G168:Q168" si="42">SUM(G165:G167)</f>
        <v>#REF!</v>
      </c>
      <c r="H168" s="269">
        <f t="shared" si="42"/>
        <v>-317608.09000000003</v>
      </c>
      <c r="I168" s="269" t="e">
        <f t="shared" si="42"/>
        <v>#REF!</v>
      </c>
      <c r="J168" s="269">
        <f t="shared" si="42"/>
        <v>-202194.52199999997</v>
      </c>
      <c r="K168" s="269">
        <f t="shared" si="42"/>
        <v>65276.39</v>
      </c>
      <c r="L168" s="269" t="e">
        <f t="shared" si="42"/>
        <v>#REF!</v>
      </c>
      <c r="M168" s="269" t="e">
        <f t="shared" si="42"/>
        <v>#REF!</v>
      </c>
      <c r="N168" s="269">
        <f t="shared" si="42"/>
        <v>221354.29</v>
      </c>
      <c r="O168" s="269">
        <f t="shared" si="42"/>
        <v>55306.218771249638</v>
      </c>
      <c r="P168" s="269">
        <f t="shared" si="42"/>
        <v>89734.178190177772</v>
      </c>
      <c r="Q168" s="312" t="e">
        <f t="shared" si="42"/>
        <v>#REF!</v>
      </c>
      <c r="R168" s="329">
        <v>4.4000000000000004</v>
      </c>
    </row>
    <row r="169" spans="1:19">
      <c r="A169" s="204"/>
    </row>
    <row r="170" spans="1:19">
      <c r="A170" s="204"/>
    </row>
    <row r="171" spans="1:19">
      <c r="A171" s="204"/>
    </row>
    <row r="172" spans="1:19">
      <c r="A172" s="204"/>
      <c r="Q172" s="98"/>
    </row>
    <row r="173" spans="1:19">
      <c r="A173" s="204"/>
    </row>
    <row r="174" spans="1:19">
      <c r="A174" s="204"/>
    </row>
    <row r="175" spans="1:19">
      <c r="A175" s="204"/>
    </row>
    <row r="176" spans="1:19">
      <c r="A176" s="204"/>
    </row>
    <row r="177" spans="1:20">
      <c r="A177" s="204"/>
    </row>
    <row r="178" spans="1:20">
      <c r="A178" s="204"/>
    </row>
    <row r="179" spans="1:20">
      <c r="A179" s="204"/>
    </row>
    <row r="180" spans="1:20">
      <c r="A180" s="204"/>
    </row>
    <row r="181" spans="1:20">
      <c r="A181" s="204"/>
      <c r="B181" s="272" t="s">
        <v>159</v>
      </c>
      <c r="C181" s="273"/>
      <c r="D181" s="273"/>
      <c r="E181" s="273"/>
      <c r="F181" s="212"/>
      <c r="G181" s="204"/>
      <c r="H181" s="204"/>
      <c r="I181" s="204"/>
      <c r="J181" s="204"/>
      <c r="K181" s="204"/>
      <c r="L181" s="204"/>
      <c r="M181" s="204"/>
      <c r="N181" s="204"/>
      <c r="O181" s="204"/>
      <c r="P181" s="204"/>
      <c r="Q181" s="204"/>
    </row>
    <row r="182" spans="1:20" ht="16.5">
      <c r="A182" s="204"/>
      <c r="B182" s="274" t="s">
        <v>157</v>
      </c>
      <c r="C182" s="275"/>
      <c r="D182" s="275"/>
      <c r="E182" s="275"/>
      <c r="F182" s="212"/>
      <c r="G182" s="238"/>
      <c r="H182" s="238"/>
      <c r="I182" s="238"/>
      <c r="J182" s="238"/>
      <c r="K182" s="238"/>
      <c r="L182" s="238"/>
      <c r="M182" s="238"/>
      <c r="N182" s="238"/>
      <c r="O182" s="238"/>
      <c r="P182" s="238"/>
      <c r="Q182" s="238"/>
      <c r="S182" s="311" t="s">
        <v>159</v>
      </c>
    </row>
    <row r="183" spans="1:20">
      <c r="A183" s="204"/>
      <c r="B183" s="128" t="s">
        <v>485</v>
      </c>
      <c r="C183" s="202" t="s">
        <v>189</v>
      </c>
      <c r="D183" s="214"/>
      <c r="E183" s="214"/>
      <c r="F183" s="250"/>
      <c r="G183" s="251">
        <f t="shared" ref="G183:P183" si="43">+G159+G147+G135+G123</f>
        <v>289571.73</v>
      </c>
      <c r="H183" s="251">
        <f t="shared" si="43"/>
        <v>0</v>
      </c>
      <c r="I183" s="251">
        <f t="shared" si="43"/>
        <v>885195.62641553138</v>
      </c>
      <c r="J183" s="251">
        <f t="shared" si="43"/>
        <v>238335.37600000005</v>
      </c>
      <c r="K183" s="251">
        <f t="shared" si="43"/>
        <v>33995.910000000003</v>
      </c>
      <c r="L183" s="251">
        <f t="shared" si="43"/>
        <v>19843.12</v>
      </c>
      <c r="M183" s="251">
        <f t="shared" si="43"/>
        <v>46694.65</v>
      </c>
      <c r="N183" s="251">
        <f t="shared" si="43"/>
        <v>120966.57</v>
      </c>
      <c r="O183" s="251">
        <f t="shared" si="43"/>
        <v>785.03664192558836</v>
      </c>
      <c r="P183" s="251">
        <f t="shared" si="43"/>
        <v>514.96687630253223</v>
      </c>
      <c r="Q183" s="251">
        <f>SUM(G183:P183)</f>
        <v>1635902.9859337595</v>
      </c>
      <c r="R183" s="98"/>
      <c r="S183" s="309">
        <f>+Q108</f>
        <v>1635902.9859337595</v>
      </c>
      <c r="T183" s="98">
        <f>+Q183-S183</f>
        <v>0</v>
      </c>
    </row>
    <row r="184" spans="1:20">
      <c r="A184" s="204"/>
      <c r="B184" s="128" t="str">
        <f>+B$109</f>
        <v xml:space="preserve">   International Assignee one-time and out of period adjmts</v>
      </c>
      <c r="C184" s="202" t="s">
        <v>190</v>
      </c>
      <c r="D184" s="214"/>
      <c r="E184" s="214"/>
      <c r="F184" s="250"/>
      <c r="G184" s="251">
        <f t="shared" ref="G184:P184" si="44">+G160+G148+G136+G124</f>
        <v>-14047.559999999998</v>
      </c>
      <c r="H184" s="251">
        <f t="shared" si="44"/>
        <v>0</v>
      </c>
      <c r="I184" s="251">
        <f t="shared" si="44"/>
        <v>841091.7960876046</v>
      </c>
      <c r="J184" s="251">
        <f t="shared" si="44"/>
        <v>-99924.964000000022</v>
      </c>
      <c r="K184" s="251">
        <f t="shared" si="44"/>
        <v>10695.66</v>
      </c>
      <c r="L184" s="251">
        <f t="shared" si="44"/>
        <v>6631.8</v>
      </c>
      <c r="M184" s="251">
        <f t="shared" si="44"/>
        <v>3360</v>
      </c>
      <c r="N184" s="251">
        <f t="shared" si="44"/>
        <v>32363.86</v>
      </c>
      <c r="O184" s="251">
        <f t="shared" si="44"/>
        <v>24262.312620271816</v>
      </c>
      <c r="P184" s="251">
        <f t="shared" si="44"/>
        <v>35714.750651541137</v>
      </c>
      <c r="Q184" s="251">
        <f>SUM(G184:P184)</f>
        <v>840147.65535941767</v>
      </c>
      <c r="R184" s="98"/>
      <c r="S184" s="309">
        <f>+Q109</f>
        <v>840147.65535941743</v>
      </c>
      <c r="T184" s="98">
        <f t="shared" ref="T184:T193" si="45">+Q184-S184</f>
        <v>0</v>
      </c>
    </row>
    <row r="185" spans="1:20">
      <c r="A185" s="204"/>
      <c r="B185" s="101" t="s">
        <v>152</v>
      </c>
      <c r="C185" s="202" t="s">
        <v>191</v>
      </c>
      <c r="D185" s="214"/>
      <c r="E185" s="214"/>
      <c r="F185" s="250"/>
      <c r="G185" s="251">
        <f t="shared" ref="G185:P185" si="46">+G161+G149+G137+G125</f>
        <v>275716.97000000003</v>
      </c>
      <c r="H185" s="251">
        <f t="shared" si="46"/>
        <v>-328936.29000000004</v>
      </c>
      <c r="I185" s="251">
        <f t="shared" si="46"/>
        <v>1661873.6845598237</v>
      </c>
      <c r="J185" s="251">
        <f t="shared" si="46"/>
        <v>-587261.09400000004</v>
      </c>
      <c r="K185" s="251">
        <f t="shared" si="46"/>
        <v>38635.1</v>
      </c>
      <c r="L185" s="251">
        <f t="shared" si="46"/>
        <v>19070.099999999999</v>
      </c>
      <c r="M185" s="251">
        <f t="shared" si="46"/>
        <v>25988.6</v>
      </c>
      <c r="N185" s="251">
        <f t="shared" si="46"/>
        <v>133100.04999999999</v>
      </c>
      <c r="O185" s="251">
        <f t="shared" si="46"/>
        <v>83019.588611420564</v>
      </c>
      <c r="P185" s="251">
        <f t="shared" si="46"/>
        <v>122141.11481887773</v>
      </c>
      <c r="Q185" s="251">
        <f>SUM(G185:P185)</f>
        <v>1443347.8239901222</v>
      </c>
      <c r="R185" s="98"/>
      <c r="S185" s="309">
        <f>+Q110</f>
        <v>1443347.8239901219</v>
      </c>
      <c r="T185" s="98">
        <f t="shared" si="45"/>
        <v>0</v>
      </c>
    </row>
    <row r="186" spans="1:20">
      <c r="A186" s="204"/>
      <c r="B186" s="276" t="s">
        <v>153</v>
      </c>
      <c r="C186" s="254"/>
      <c r="D186" s="254"/>
      <c r="E186" s="254"/>
      <c r="F186" s="250"/>
      <c r="G186" s="251">
        <f>SUM(G183:G185)</f>
        <v>551241.14</v>
      </c>
      <c r="H186" s="251">
        <f t="shared" ref="H186:P186" si="47">SUM(H183:H185)</f>
        <v>-328936.29000000004</v>
      </c>
      <c r="I186" s="251">
        <f t="shared" si="47"/>
        <v>3388161.10706296</v>
      </c>
      <c r="J186" s="251">
        <f t="shared" si="47"/>
        <v>-448850.68200000003</v>
      </c>
      <c r="K186" s="251">
        <f t="shared" si="47"/>
        <v>83326.670000000013</v>
      </c>
      <c r="L186" s="251">
        <f t="shared" si="47"/>
        <v>45545.02</v>
      </c>
      <c r="M186" s="251">
        <f t="shared" si="47"/>
        <v>76043.25</v>
      </c>
      <c r="N186" s="251">
        <f t="shared" si="47"/>
        <v>286430.48</v>
      </c>
      <c r="O186" s="251">
        <f t="shared" si="47"/>
        <v>108066.93787361796</v>
      </c>
      <c r="P186" s="251">
        <f t="shared" si="47"/>
        <v>158370.83234672141</v>
      </c>
      <c r="Q186" s="251">
        <f>SUM(Q183:Q185)</f>
        <v>3919398.4652832998</v>
      </c>
      <c r="R186" s="98"/>
      <c r="S186" s="309">
        <f>+Q85</f>
        <v>3919398.4652832984</v>
      </c>
      <c r="T186" s="98">
        <f t="shared" si="45"/>
        <v>0</v>
      </c>
    </row>
    <row r="187" spans="1:20">
      <c r="A187" s="204"/>
      <c r="B187" s="204"/>
      <c r="C187" s="262"/>
      <c r="D187" s="256"/>
      <c r="E187" s="256"/>
      <c r="F187" s="247"/>
      <c r="G187" s="238"/>
      <c r="H187" s="238"/>
      <c r="I187" s="238"/>
      <c r="J187" s="238"/>
      <c r="K187" s="238"/>
      <c r="L187" s="238"/>
      <c r="M187" s="238"/>
      <c r="N187" s="238"/>
      <c r="O187" s="238"/>
      <c r="P187" s="238"/>
      <c r="Q187" s="238"/>
      <c r="S187" s="309">
        <f>+Q186-S186</f>
        <v>0</v>
      </c>
      <c r="T187" s="98"/>
    </row>
    <row r="188" spans="1:20">
      <c r="A188" s="204"/>
      <c r="B188" s="204"/>
      <c r="C188" s="262"/>
      <c r="D188" s="256"/>
      <c r="E188" s="256"/>
      <c r="F188" s="247"/>
      <c r="G188" s="204"/>
      <c r="H188" s="204"/>
      <c r="I188" s="204"/>
      <c r="J188" s="204"/>
      <c r="K188" s="204"/>
      <c r="L188" s="204"/>
      <c r="M188" s="204"/>
      <c r="N188" s="204"/>
      <c r="O188" s="204"/>
      <c r="P188" s="204"/>
      <c r="Q188" s="204"/>
      <c r="S188" s="310"/>
      <c r="T188" s="98"/>
    </row>
    <row r="189" spans="1:20" ht="16.5">
      <c r="A189" s="204"/>
      <c r="B189" s="274" t="s">
        <v>158</v>
      </c>
      <c r="C189" s="275"/>
      <c r="D189" s="246"/>
      <c r="E189" s="246"/>
      <c r="F189" s="247"/>
      <c r="G189" s="238"/>
      <c r="H189" s="238"/>
      <c r="I189" s="238"/>
      <c r="J189" s="238"/>
      <c r="K189" s="238"/>
      <c r="L189" s="238"/>
      <c r="M189" s="238"/>
      <c r="N189" s="238"/>
      <c r="O189" s="238"/>
      <c r="P189" s="238"/>
      <c r="Q189" s="238"/>
      <c r="S189" s="310"/>
      <c r="T189" s="98"/>
    </row>
    <row r="190" spans="1:20">
      <c r="A190" s="204"/>
      <c r="B190" s="128" t="s">
        <v>485</v>
      </c>
      <c r="C190" s="202" t="s">
        <v>189</v>
      </c>
      <c r="D190" s="214"/>
      <c r="E190" s="214"/>
      <c r="F190" s="250"/>
      <c r="G190" s="251" t="e">
        <f t="shared" ref="G190:P190" si="48">+G165+G153+G141+G129</f>
        <v>#REF!</v>
      </c>
      <c r="H190" s="251">
        <f t="shared" si="48"/>
        <v>0</v>
      </c>
      <c r="I190" s="251" t="e">
        <f t="shared" si="48"/>
        <v>#REF!</v>
      </c>
      <c r="J190" s="251">
        <f t="shared" si="48"/>
        <v>238335.37600000005</v>
      </c>
      <c r="K190" s="251">
        <f t="shared" si="48"/>
        <v>33995.910000000003</v>
      </c>
      <c r="L190" s="251" t="e">
        <f t="shared" si="48"/>
        <v>#REF!</v>
      </c>
      <c r="M190" s="251" t="e">
        <f t="shared" si="48"/>
        <v>#REF!</v>
      </c>
      <c r="N190" s="251">
        <f t="shared" si="48"/>
        <v>120966.57</v>
      </c>
      <c r="O190" s="251">
        <f t="shared" si="48"/>
        <v>785.03664192558836</v>
      </c>
      <c r="P190" s="251">
        <f t="shared" si="48"/>
        <v>514.96687630253223</v>
      </c>
      <c r="Q190" s="251" t="e">
        <f>SUM(G190:P190)</f>
        <v>#REF!</v>
      </c>
      <c r="R190" s="98"/>
      <c r="S190" s="309" t="e">
        <f>+Q114</f>
        <v>#REF!</v>
      </c>
      <c r="T190" s="98" t="e">
        <f t="shared" si="45"/>
        <v>#REF!</v>
      </c>
    </row>
    <row r="191" spans="1:20">
      <c r="A191" s="204"/>
      <c r="B191" s="128" t="str">
        <f>+B$109</f>
        <v xml:space="preserve">   International Assignee one-time and out of period adjmts</v>
      </c>
      <c r="C191" s="202" t="s">
        <v>190</v>
      </c>
      <c r="D191" s="214"/>
      <c r="E191" s="214"/>
      <c r="F191" s="250"/>
      <c r="G191" s="251">
        <f t="shared" ref="G191:P191" si="49">+G166+G154+G142+G130</f>
        <v>-14047.559999999998</v>
      </c>
      <c r="H191" s="251">
        <f t="shared" si="49"/>
        <v>0</v>
      </c>
      <c r="I191" s="251">
        <f t="shared" si="49"/>
        <v>841091.7960876046</v>
      </c>
      <c r="J191" s="251">
        <f t="shared" si="49"/>
        <v>-99924.964000000022</v>
      </c>
      <c r="K191" s="251">
        <f t="shared" si="49"/>
        <v>10695.66</v>
      </c>
      <c r="L191" s="251">
        <f t="shared" si="49"/>
        <v>6631.8</v>
      </c>
      <c r="M191" s="251">
        <f t="shared" si="49"/>
        <v>3360</v>
      </c>
      <c r="N191" s="251">
        <f t="shared" si="49"/>
        <v>32363.86</v>
      </c>
      <c r="O191" s="251">
        <f t="shared" si="49"/>
        <v>24262.312620271816</v>
      </c>
      <c r="P191" s="251">
        <f t="shared" si="49"/>
        <v>35714.750651541137</v>
      </c>
      <c r="Q191" s="251">
        <f>SUM(G191:P191)</f>
        <v>840147.65535941767</v>
      </c>
      <c r="R191" s="98"/>
      <c r="S191" s="309">
        <f>+Q115</f>
        <v>840147.65535941767</v>
      </c>
      <c r="T191" s="98">
        <f t="shared" si="45"/>
        <v>0</v>
      </c>
    </row>
    <row r="192" spans="1:20">
      <c r="A192" s="204"/>
      <c r="B192" s="101" t="s">
        <v>152</v>
      </c>
      <c r="C192" s="202" t="s">
        <v>191</v>
      </c>
      <c r="D192" s="214"/>
      <c r="E192" s="214"/>
      <c r="F192" s="250"/>
      <c r="G192" s="251">
        <f t="shared" ref="G192:P192" si="50">+G167+G155+G143+G131</f>
        <v>275716.97000000003</v>
      </c>
      <c r="H192" s="251">
        <f t="shared" si="50"/>
        <v>-328936.29000000004</v>
      </c>
      <c r="I192" s="251">
        <f t="shared" si="50"/>
        <v>1661873.6845598237</v>
      </c>
      <c r="J192" s="251">
        <f t="shared" si="50"/>
        <v>-587261.09400000004</v>
      </c>
      <c r="K192" s="251">
        <f t="shared" si="50"/>
        <v>38635.1</v>
      </c>
      <c r="L192" s="251">
        <f t="shared" si="50"/>
        <v>19070.099999999999</v>
      </c>
      <c r="M192" s="251">
        <f t="shared" si="50"/>
        <v>25988.6</v>
      </c>
      <c r="N192" s="251">
        <f t="shared" si="50"/>
        <v>133100.04999999999</v>
      </c>
      <c r="O192" s="251">
        <f t="shared" si="50"/>
        <v>83019.588611420564</v>
      </c>
      <c r="P192" s="251">
        <f t="shared" si="50"/>
        <v>122141.11481887773</v>
      </c>
      <c r="Q192" s="251">
        <f>SUM(G192:P192)</f>
        <v>1443347.8239901222</v>
      </c>
      <c r="R192" s="98"/>
      <c r="S192" s="309">
        <f>+Q116</f>
        <v>1443347.8239901226</v>
      </c>
      <c r="T192" s="98">
        <f t="shared" si="45"/>
        <v>0</v>
      </c>
    </row>
    <row r="193" spans="1:20">
      <c r="A193" s="204"/>
      <c r="B193" s="276" t="s">
        <v>153</v>
      </c>
      <c r="C193" s="254"/>
      <c r="D193" s="254"/>
      <c r="E193" s="254"/>
      <c r="F193" s="250"/>
      <c r="G193" s="251" t="e">
        <f>SUM(G190:G192)</f>
        <v>#REF!</v>
      </c>
      <c r="H193" s="251">
        <f>SUM(H190:H192)</f>
        <v>-328936.29000000004</v>
      </c>
      <c r="I193" s="251" t="e">
        <f>SUM(I190:I192)</f>
        <v>#REF!</v>
      </c>
      <c r="J193" s="251">
        <f t="shared" ref="J193:Q193" si="51">SUM(J190:J192)</f>
        <v>-448850.68200000003</v>
      </c>
      <c r="K193" s="251">
        <f t="shared" si="51"/>
        <v>83326.670000000013</v>
      </c>
      <c r="L193" s="251" t="e">
        <f t="shared" si="51"/>
        <v>#REF!</v>
      </c>
      <c r="M193" s="251" t="e">
        <f t="shared" si="51"/>
        <v>#REF!</v>
      </c>
      <c r="N193" s="251">
        <f t="shared" si="51"/>
        <v>286430.48</v>
      </c>
      <c r="O193" s="251">
        <f t="shared" si="51"/>
        <v>108066.93787361796</v>
      </c>
      <c r="P193" s="251">
        <f t="shared" si="51"/>
        <v>158370.83234672141</v>
      </c>
      <c r="Q193" s="251" t="e">
        <f t="shared" si="51"/>
        <v>#REF!</v>
      </c>
      <c r="R193" s="98"/>
      <c r="S193" s="309" t="e">
        <f>+Q117</f>
        <v>#REF!</v>
      </c>
      <c r="T193" s="98" t="e">
        <f t="shared" si="45"/>
        <v>#REF!</v>
      </c>
    </row>
    <row r="194" spans="1:20">
      <c r="A194" s="204"/>
      <c r="B194" s="204"/>
      <c r="C194" s="212"/>
      <c r="D194" s="212"/>
      <c r="E194" s="212"/>
      <c r="F194" s="212"/>
      <c r="G194" s="238"/>
      <c r="H194" s="238"/>
      <c r="I194" s="238"/>
      <c r="J194" s="238"/>
      <c r="K194" s="238"/>
      <c r="L194" s="238"/>
      <c r="M194" s="238"/>
      <c r="N194" s="238"/>
      <c r="O194" s="238"/>
      <c r="P194" s="238"/>
      <c r="Q194" s="238"/>
      <c r="S194" s="310"/>
    </row>
    <row r="195" spans="1:20">
      <c r="A195" s="204"/>
      <c r="C195" s="204"/>
      <c r="D195" s="204"/>
      <c r="E195" s="204"/>
      <c r="F195" s="204"/>
      <c r="G195" s="204"/>
      <c r="H195" s="204"/>
      <c r="I195" s="204"/>
      <c r="J195" s="204"/>
      <c r="K195" s="204"/>
      <c r="L195" s="204"/>
      <c r="M195" s="204"/>
      <c r="N195" s="204"/>
      <c r="O195" s="239" t="s">
        <v>324</v>
      </c>
      <c r="P195" s="204"/>
      <c r="Q195" s="207" t="e">
        <f>+Q186-Q193</f>
        <v>#REF!</v>
      </c>
      <c r="S195" s="207" t="e">
        <f>+S186-S193</f>
        <v>#REF!</v>
      </c>
    </row>
    <row r="251" spans="2:16" ht="13.5" thickBot="1"/>
    <row r="252" spans="2:16" ht="13.5" thickBot="1">
      <c r="B252" s="206" t="s">
        <v>307</v>
      </c>
      <c r="C252" s="428" t="s">
        <v>292</v>
      </c>
      <c r="D252" s="429"/>
      <c r="E252" s="429"/>
      <c r="F252" s="429"/>
      <c r="G252" s="430"/>
      <c r="H252" s="431" t="s">
        <v>286</v>
      </c>
      <c r="I252" s="432"/>
      <c r="J252" s="433"/>
      <c r="K252" s="434" t="s">
        <v>291</v>
      </c>
      <c r="L252" s="435"/>
      <c r="M252" s="436" t="s">
        <v>293</v>
      </c>
      <c r="N252" s="437"/>
      <c r="O252" s="438"/>
      <c r="P252" t="s">
        <v>288</v>
      </c>
    </row>
  </sheetData>
  <mergeCells count="4">
    <mergeCell ref="C252:G252"/>
    <mergeCell ref="H252:J252"/>
    <mergeCell ref="K252:L252"/>
    <mergeCell ref="M252:O252"/>
  </mergeCells>
  <phoneticPr fontId="11" type="noConversion"/>
  <printOptions horizontalCentered="1"/>
  <pageMargins left="0.2" right="0.2" top="0.77" bottom="0.25" header="0.25" footer="0.21"/>
  <pageSetup scale="59" orientation="landscape" r:id="rId1"/>
  <headerFooter alignWithMargins="0"/>
  <rowBreaks count="1" manualBreakCount="1">
    <brk id="100" max="16" man="1"/>
  </rowBreaks>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D18"/>
  <sheetViews>
    <sheetView workbookViewId="0">
      <selection activeCell="F11" sqref="F11"/>
    </sheetView>
  </sheetViews>
  <sheetFormatPr defaultRowHeight="12.75" outlineLevelCol="1"/>
  <cols>
    <col min="1" max="1" width="59.5703125" style="204" bestFit="1" customWidth="1"/>
    <col min="2" max="2" width="10.28515625" bestFit="1" customWidth="1"/>
    <col min="3" max="3" width="11.28515625" customWidth="1" outlineLevel="1"/>
    <col min="4" max="4" width="11.85546875" customWidth="1"/>
    <col min="5" max="5" width="11.140625" customWidth="1"/>
    <col min="6" max="6" width="13.5703125" bestFit="1" customWidth="1"/>
    <col min="7" max="7" width="13.7109375" bestFit="1" customWidth="1"/>
    <col min="8" max="8" width="10.28515625" bestFit="1" customWidth="1"/>
  </cols>
  <sheetData>
    <row r="1" spans="1:4" ht="15.75">
      <c r="A1" s="216" t="s">
        <v>477</v>
      </c>
      <c r="D1" s="368" t="str">
        <f>'Lead Sheet'!$J$1&amp;".2"</f>
        <v>Page 4.4.2</v>
      </c>
    </row>
    <row r="2" spans="1:4">
      <c r="A2" s="338" t="str">
        <f>+'Lead Sheet'!B2</f>
        <v>Washington General Rate Case - December 2009</v>
      </c>
    </row>
    <row r="3" spans="1:4">
      <c r="A3" s="233" t="s">
        <v>494</v>
      </c>
      <c r="B3" s="28"/>
      <c r="C3" s="28"/>
      <c r="D3" s="28"/>
    </row>
    <row r="4" spans="1:4">
      <c r="A4" s="233"/>
      <c r="B4" s="233"/>
      <c r="C4" s="233"/>
      <c r="D4" s="233"/>
    </row>
    <row r="5" spans="1:4" ht="15">
      <c r="A5" s="351" t="s">
        <v>482</v>
      </c>
      <c r="B5" s="363"/>
      <c r="C5" s="363" t="s">
        <v>460</v>
      </c>
      <c r="D5" s="353" t="s">
        <v>462</v>
      </c>
    </row>
    <row r="6" spans="1:4">
      <c r="A6" s="354" t="s">
        <v>350</v>
      </c>
      <c r="B6" s="256"/>
      <c r="C6" s="256">
        <v>923</v>
      </c>
      <c r="D6" s="355">
        <f>+'923 Backup'!E140</f>
        <v>94849.279999999984</v>
      </c>
    </row>
    <row r="7" spans="1:4">
      <c r="A7" s="357"/>
      <c r="B7" s="270"/>
      <c r="C7" s="270"/>
      <c r="D7" s="355"/>
    </row>
    <row r="8" spans="1:4">
      <c r="A8" s="361"/>
      <c r="B8" s="364"/>
      <c r="C8" s="364"/>
      <c r="D8" s="365"/>
    </row>
    <row r="9" spans="1:4" ht="16.5">
      <c r="A9" s="351" t="s">
        <v>481</v>
      </c>
      <c r="B9" s="352"/>
      <c r="C9" s="352"/>
      <c r="D9" s="353"/>
    </row>
    <row r="10" spans="1:4">
      <c r="A10" s="354" t="s">
        <v>350</v>
      </c>
      <c r="B10" s="256"/>
      <c r="C10" s="256">
        <v>923</v>
      </c>
      <c r="D10" s="356">
        <f>+D6</f>
        <v>94849.279999999984</v>
      </c>
    </row>
    <row r="11" spans="1:4">
      <c r="A11" s="357" t="s">
        <v>464</v>
      </c>
      <c r="B11" s="248"/>
      <c r="C11" s="28"/>
      <c r="D11" s="358">
        <f>SUM(D10:D10)</f>
        <v>94849.279999999984</v>
      </c>
    </row>
    <row r="12" spans="1:4">
      <c r="A12" s="354"/>
      <c r="B12" s="28"/>
      <c r="C12" s="28"/>
      <c r="D12" s="359"/>
    </row>
    <row r="13" spans="1:4" ht="15">
      <c r="A13" s="360" t="s">
        <v>483</v>
      </c>
      <c r="B13" s="28"/>
      <c r="C13" s="28"/>
      <c r="D13" s="359"/>
    </row>
    <row r="14" spans="1:4">
      <c r="A14" s="366" t="s">
        <v>478</v>
      </c>
      <c r="B14" s="20">
        <v>1</v>
      </c>
      <c r="C14" s="20">
        <v>109</v>
      </c>
      <c r="D14" s="359"/>
    </row>
    <row r="15" spans="1:4">
      <c r="A15" s="366" t="s">
        <v>479</v>
      </c>
      <c r="B15" s="20" t="s">
        <v>10</v>
      </c>
      <c r="C15" s="20" t="s">
        <v>468</v>
      </c>
      <c r="D15" s="359"/>
    </row>
    <row r="16" spans="1:4">
      <c r="A16" s="361"/>
      <c r="B16" s="339">
        <f>+'923 Backup'!K154</f>
        <v>83925.469999999987</v>
      </c>
      <c r="C16" s="339">
        <f>+'923 Backup'!K155</f>
        <v>10923.810000000001</v>
      </c>
      <c r="D16" s="362">
        <f>+B16+C16</f>
        <v>94849.279999999984</v>
      </c>
    </row>
    <row r="17" spans="2:3">
      <c r="B17" s="288"/>
      <c r="C17" s="288"/>
    </row>
    <row r="18" spans="2:3">
      <c r="B18" s="30" t="s">
        <v>496</v>
      </c>
      <c r="C18" s="30" t="s">
        <v>496</v>
      </c>
    </row>
  </sheetData>
  <phoneticPr fontId="11" type="noConversion"/>
  <printOptions horizontalCentered="1"/>
  <pageMargins left="0.25" right="0.25" top="1" bottom="0.25" header="0.5" footer="0.5"/>
  <pageSetup fitToHeight="2" orientation="portrait" r:id="rId1"/>
  <headerFooter alignWithMargins="0"/>
</worksheet>
</file>

<file path=xl/worksheets/sheet5.xml><?xml version="1.0" encoding="utf-8"?>
<worksheet xmlns="http://schemas.openxmlformats.org/spreadsheetml/2006/main" xmlns:r="http://schemas.openxmlformats.org/officeDocument/2006/relationships">
  <dimension ref="A1:K34"/>
  <sheetViews>
    <sheetView view="pageBreakPreview" zoomScale="85" zoomScaleNormal="100" zoomScaleSheetLayoutView="85" workbookViewId="0"/>
  </sheetViews>
  <sheetFormatPr defaultRowHeight="12.75"/>
  <cols>
    <col min="1" max="1" width="18.5703125" customWidth="1"/>
    <col min="2" max="2" width="13" customWidth="1"/>
    <col min="4" max="4" width="13" bestFit="1" customWidth="1"/>
    <col min="5" max="5" width="9.7109375" customWidth="1"/>
    <col min="6" max="6" width="13.28515625" bestFit="1" customWidth="1"/>
    <col min="7" max="7" width="25.28515625" customWidth="1"/>
    <col min="8" max="8" width="29.42578125" customWidth="1"/>
    <col min="9" max="9" width="18.140625" customWidth="1"/>
  </cols>
  <sheetData>
    <row r="1" spans="1:11" ht="15">
      <c r="A1" s="118" t="s">
        <v>498</v>
      </c>
      <c r="B1" s="403"/>
      <c r="C1" s="403"/>
      <c r="D1" s="403"/>
      <c r="E1" s="403"/>
      <c r="F1" s="403"/>
      <c r="G1" s="403"/>
      <c r="H1" s="403"/>
      <c r="I1" s="403"/>
      <c r="J1" s="403"/>
      <c r="K1" s="403"/>
    </row>
    <row r="2" spans="1:11" ht="15">
      <c r="A2" s="118" t="s">
        <v>533</v>
      </c>
      <c r="B2" s="403"/>
      <c r="C2" s="403"/>
      <c r="D2" s="403"/>
      <c r="E2" s="403"/>
      <c r="F2" s="403"/>
      <c r="G2" s="403"/>
      <c r="H2" s="403"/>
      <c r="I2" s="403"/>
      <c r="J2" s="403"/>
      <c r="K2" s="403"/>
    </row>
    <row r="3" spans="1:11" ht="15">
      <c r="A3" s="118" t="s">
        <v>548</v>
      </c>
      <c r="B3" s="403"/>
      <c r="C3" s="403"/>
      <c r="D3" s="403"/>
      <c r="E3" s="403"/>
      <c r="F3" s="403"/>
      <c r="G3" s="403"/>
      <c r="H3" s="403"/>
      <c r="I3" s="403"/>
      <c r="J3" s="403"/>
      <c r="K3" s="403"/>
    </row>
    <row r="4" spans="1:11" ht="15">
      <c r="A4" s="403"/>
      <c r="B4" s="403"/>
      <c r="C4" s="403"/>
      <c r="D4" s="403"/>
      <c r="E4" s="403"/>
      <c r="F4" s="403"/>
      <c r="G4" s="403"/>
      <c r="H4" s="403"/>
      <c r="I4" s="403"/>
      <c r="J4" s="403"/>
      <c r="K4" s="403"/>
    </row>
    <row r="5" spans="1:11" ht="15">
      <c r="A5" s="403"/>
      <c r="B5" s="403"/>
      <c r="C5" s="403"/>
      <c r="D5" s="403"/>
      <c r="E5" s="403"/>
      <c r="F5" s="403"/>
      <c r="G5" s="403"/>
      <c r="H5" s="403"/>
      <c r="I5" s="403"/>
      <c r="J5" s="403"/>
      <c r="K5" s="403"/>
    </row>
    <row r="6" spans="1:11" ht="15">
      <c r="A6" s="400" t="s">
        <v>549</v>
      </c>
      <c r="B6" s="403"/>
      <c r="C6" s="403"/>
      <c r="D6" s="403"/>
      <c r="E6" s="403"/>
      <c r="F6" s="403"/>
      <c r="G6" s="403"/>
      <c r="H6" s="403"/>
      <c r="I6" s="403"/>
      <c r="J6" s="403"/>
      <c r="K6" s="403"/>
    </row>
    <row r="7" spans="1:11" ht="15">
      <c r="A7" s="400" t="s">
        <v>532</v>
      </c>
      <c r="B7" s="403"/>
      <c r="C7" s="403"/>
      <c r="D7" s="403"/>
      <c r="E7" s="403"/>
      <c r="F7" s="403"/>
      <c r="G7" s="403"/>
      <c r="H7" s="403"/>
      <c r="I7" s="403"/>
      <c r="J7" s="403"/>
      <c r="K7" s="403"/>
    </row>
    <row r="8" spans="1:11" ht="15">
      <c r="A8" s="403"/>
      <c r="B8" s="403"/>
      <c r="C8" s="403"/>
      <c r="D8" s="403"/>
      <c r="E8" s="403"/>
      <c r="F8" s="403"/>
      <c r="G8" s="403"/>
      <c r="H8" s="403"/>
      <c r="I8" s="403"/>
      <c r="J8" s="403"/>
      <c r="K8" s="403"/>
    </row>
    <row r="9" spans="1:11" ht="15">
      <c r="A9" s="401"/>
      <c r="B9" s="403"/>
      <c r="C9" s="403"/>
      <c r="D9" s="403"/>
      <c r="E9" s="403"/>
      <c r="F9" s="403"/>
      <c r="G9" s="403"/>
      <c r="H9" s="403"/>
      <c r="I9" s="403"/>
      <c r="J9" s="403"/>
      <c r="K9" s="403"/>
    </row>
    <row r="10" spans="1:11" ht="15">
      <c r="A10" s="404" t="s">
        <v>523</v>
      </c>
      <c r="B10" s="404" t="s">
        <v>466</v>
      </c>
      <c r="C10" s="404" t="s">
        <v>467</v>
      </c>
      <c r="D10" s="404" t="s">
        <v>462</v>
      </c>
      <c r="E10" s="404"/>
      <c r="F10" s="403"/>
      <c r="G10" s="403"/>
      <c r="H10" s="403"/>
      <c r="I10" s="403"/>
      <c r="J10" s="403"/>
      <c r="K10" s="403"/>
    </row>
    <row r="11" spans="1:11" ht="15">
      <c r="A11" s="403">
        <v>920</v>
      </c>
      <c r="B11" s="403">
        <v>103</v>
      </c>
      <c r="C11" s="403" t="s">
        <v>499</v>
      </c>
      <c r="D11" s="414">
        <v>-84718.39</v>
      </c>
      <c r="E11" s="406"/>
      <c r="F11" s="403"/>
      <c r="G11" s="403"/>
      <c r="H11" s="403"/>
      <c r="I11" s="403"/>
      <c r="J11" s="403"/>
      <c r="K11" s="403"/>
    </row>
    <row r="12" spans="1:11" ht="15">
      <c r="A12" s="403">
        <v>920</v>
      </c>
      <c r="B12" s="403">
        <v>108</v>
      </c>
      <c r="C12" s="403" t="s">
        <v>500</v>
      </c>
      <c r="D12" s="407">
        <v>-979620.33000000019</v>
      </c>
      <c r="E12" s="408"/>
      <c r="F12" s="403"/>
      <c r="G12" s="403"/>
      <c r="H12" s="403"/>
      <c r="I12" s="403"/>
      <c r="J12" s="403"/>
      <c r="K12" s="403"/>
    </row>
    <row r="13" spans="1:11" ht="15.75" thickBot="1">
      <c r="A13" s="403">
        <v>920</v>
      </c>
      <c r="B13" s="403">
        <v>109</v>
      </c>
      <c r="C13" s="403" t="s">
        <v>468</v>
      </c>
      <c r="D13" s="407">
        <v>-5529031.8300000019</v>
      </c>
      <c r="E13" s="408"/>
      <c r="F13" s="403"/>
      <c r="G13" s="403"/>
      <c r="H13" s="403"/>
      <c r="I13" s="403"/>
      <c r="J13" s="403"/>
      <c r="K13" s="403"/>
    </row>
    <row r="14" spans="1:11" ht="15.75" thickBot="1">
      <c r="A14" s="403">
        <v>920</v>
      </c>
      <c r="B14" s="403">
        <v>110</v>
      </c>
      <c r="C14" s="403" t="s">
        <v>501</v>
      </c>
      <c r="D14" s="405">
        <v>-237140.69999999995</v>
      </c>
      <c r="E14" s="408"/>
      <c r="F14" s="403"/>
      <c r="G14" s="403"/>
      <c r="H14" s="403"/>
      <c r="I14" s="403"/>
      <c r="J14" s="403"/>
      <c r="K14" s="403"/>
    </row>
    <row r="15" spans="1:11" ht="15">
      <c r="A15" s="403">
        <v>920</v>
      </c>
      <c r="B15" s="403">
        <v>114</v>
      </c>
      <c r="C15" s="403" t="s">
        <v>524</v>
      </c>
      <c r="D15" s="407">
        <v>-1367610.9100000001</v>
      </c>
      <c r="E15" s="408"/>
      <c r="F15" s="403"/>
      <c r="G15" s="403"/>
      <c r="H15" s="403"/>
      <c r="I15" s="403"/>
      <c r="J15" s="403"/>
      <c r="K15" s="403"/>
    </row>
    <row r="16" spans="1:11" ht="15">
      <c r="A16" s="403">
        <v>502</v>
      </c>
      <c r="B16" s="403">
        <v>385</v>
      </c>
      <c r="C16" s="403" t="s">
        <v>525</v>
      </c>
      <c r="D16" s="407">
        <v>-3.3000000000000003</v>
      </c>
      <c r="E16" s="408"/>
      <c r="F16" s="403"/>
      <c r="G16" s="403"/>
      <c r="H16" s="403"/>
      <c r="I16" s="403"/>
      <c r="J16" s="403"/>
      <c r="K16" s="403"/>
    </row>
    <row r="17" spans="1:11" ht="15">
      <c r="A17" s="403">
        <v>590</v>
      </c>
      <c r="B17" s="403">
        <v>1</v>
      </c>
      <c r="C17" s="403" t="s">
        <v>525</v>
      </c>
      <c r="D17" s="407">
        <v>462.61</v>
      </c>
      <c r="E17" s="406"/>
      <c r="F17" s="403"/>
      <c r="G17" s="403"/>
      <c r="H17" s="403"/>
      <c r="I17" s="403"/>
      <c r="J17" s="403"/>
      <c r="K17" s="403"/>
    </row>
    <row r="18" spans="1:11" ht="15.75" thickBot="1">
      <c r="A18" s="403"/>
      <c r="B18" s="403"/>
      <c r="C18" s="403"/>
      <c r="D18" s="409">
        <f>SUM(D11:D17)</f>
        <v>-8197662.8500000024</v>
      </c>
      <c r="E18" s="403"/>
      <c r="F18" s="403" t="s">
        <v>526</v>
      </c>
      <c r="G18" s="410"/>
      <c r="H18" s="403"/>
      <c r="I18" s="403"/>
      <c r="J18" s="403"/>
      <c r="K18" s="403"/>
    </row>
    <row r="19" spans="1:11" ht="16.5" thickTop="1" thickBot="1">
      <c r="A19" s="403"/>
      <c r="B19" s="403"/>
      <c r="C19" s="403"/>
      <c r="D19" s="403"/>
      <c r="E19" s="403"/>
      <c r="F19" s="411">
        <f>D14</f>
        <v>-237140.69999999995</v>
      </c>
      <c r="G19" s="1" t="s">
        <v>538</v>
      </c>
      <c r="H19" s="403"/>
      <c r="I19" s="403"/>
      <c r="J19" s="403"/>
      <c r="K19" s="403"/>
    </row>
    <row r="20" spans="1:11" ht="15">
      <c r="A20" s="401" t="s">
        <v>522</v>
      </c>
      <c r="B20" s="403"/>
      <c r="C20" s="403"/>
      <c r="D20" s="403"/>
      <c r="E20" s="403"/>
      <c r="F20" s="403"/>
      <c r="G20" s="403"/>
      <c r="H20" s="403"/>
      <c r="I20" s="403"/>
      <c r="J20" s="403"/>
      <c r="K20" s="403"/>
    </row>
    <row r="21" spans="1:11" ht="15">
      <c r="A21" s="404" t="s">
        <v>523</v>
      </c>
      <c r="B21" s="404" t="s">
        <v>466</v>
      </c>
      <c r="C21" s="404" t="s">
        <v>467</v>
      </c>
      <c r="D21" s="404" t="s">
        <v>462</v>
      </c>
      <c r="E21" s="412"/>
      <c r="F21" s="403"/>
      <c r="G21" s="403"/>
      <c r="H21" s="403"/>
      <c r="I21" s="403"/>
      <c r="J21" s="403"/>
      <c r="K21" s="403"/>
    </row>
    <row r="22" spans="1:11" ht="15">
      <c r="A22" s="403">
        <v>920</v>
      </c>
      <c r="B22" s="403">
        <v>103</v>
      </c>
      <c r="C22" s="403" t="s">
        <v>499</v>
      </c>
      <c r="D22" s="414">
        <v>17235.350000000002</v>
      </c>
      <c r="E22" s="406"/>
      <c r="F22" s="403"/>
      <c r="G22" s="408"/>
      <c r="H22" s="403"/>
      <c r="I22" s="403"/>
      <c r="J22" s="403"/>
      <c r="K22" s="403"/>
    </row>
    <row r="23" spans="1:11" ht="15">
      <c r="A23" s="403">
        <v>920</v>
      </c>
      <c r="B23" s="403">
        <v>106</v>
      </c>
      <c r="C23" s="403" t="s">
        <v>502</v>
      </c>
      <c r="D23" s="407">
        <v>394287.36999999994</v>
      </c>
      <c r="E23" s="406"/>
      <c r="F23" s="403"/>
      <c r="G23" s="408"/>
      <c r="H23" s="403"/>
      <c r="I23" s="403"/>
      <c r="J23" s="403"/>
      <c r="K23" s="403"/>
    </row>
    <row r="24" spans="1:11" ht="15">
      <c r="A24" s="403">
        <v>920</v>
      </c>
      <c r="B24" s="403">
        <v>108</v>
      </c>
      <c r="C24" s="403" t="s">
        <v>500</v>
      </c>
      <c r="D24" s="407">
        <v>199296.72999999998</v>
      </c>
      <c r="E24" s="413"/>
      <c r="F24" s="403"/>
      <c r="G24" s="403"/>
      <c r="H24" s="403"/>
      <c r="I24" s="403"/>
      <c r="J24" s="403"/>
      <c r="K24" s="403"/>
    </row>
    <row r="25" spans="1:11" ht="15">
      <c r="A25" s="403">
        <v>920</v>
      </c>
      <c r="B25" s="403">
        <v>109</v>
      </c>
      <c r="C25" s="403" t="s">
        <v>468</v>
      </c>
      <c r="D25" s="407">
        <v>332958.56</v>
      </c>
      <c r="E25" s="406"/>
      <c r="F25" s="403"/>
      <c r="G25" s="408"/>
      <c r="H25" s="408"/>
      <c r="I25" s="403"/>
      <c r="J25" s="403"/>
      <c r="K25" s="403"/>
    </row>
    <row r="26" spans="1:11" ht="15">
      <c r="A26" s="403">
        <v>920</v>
      </c>
      <c r="B26" s="403">
        <v>114</v>
      </c>
      <c r="C26" s="403" t="s">
        <v>524</v>
      </c>
      <c r="D26" s="407">
        <v>278230.68</v>
      </c>
      <c r="E26" s="406"/>
      <c r="F26" s="403"/>
      <c r="G26" s="408"/>
      <c r="H26" s="403"/>
      <c r="I26" s="403"/>
      <c r="J26" s="403"/>
      <c r="K26" s="403"/>
    </row>
    <row r="27" spans="1:11" ht="15">
      <c r="A27" s="403">
        <v>502</v>
      </c>
      <c r="B27" s="403">
        <v>385</v>
      </c>
      <c r="C27" s="403" t="s">
        <v>525</v>
      </c>
      <c r="D27" s="407">
        <v>-0.34</v>
      </c>
      <c r="E27" s="406"/>
      <c r="F27" s="403"/>
      <c r="G27" s="408"/>
      <c r="H27" s="403"/>
      <c r="I27" s="403"/>
      <c r="J27" s="403"/>
      <c r="K27" s="403"/>
    </row>
    <row r="28" spans="1:11" ht="15.75" thickBot="1">
      <c r="A28" s="403"/>
      <c r="B28" s="403"/>
      <c r="C28" s="403"/>
      <c r="D28" s="409">
        <f>SUM(D22:D27)</f>
        <v>1222008.3499999999</v>
      </c>
      <c r="E28" s="406"/>
      <c r="F28" s="403"/>
      <c r="G28" s="403"/>
      <c r="H28" s="403"/>
      <c r="I28" s="403"/>
      <c r="J28" s="403"/>
      <c r="K28" s="403"/>
    </row>
    <row r="29" spans="1:11" ht="15.75" thickTop="1">
      <c r="A29" s="403"/>
      <c r="B29" s="403"/>
      <c r="C29" s="403"/>
      <c r="D29" s="403"/>
      <c r="E29" s="403"/>
      <c r="F29" s="403"/>
      <c r="G29" s="403"/>
      <c r="H29" s="403"/>
      <c r="I29" s="403"/>
      <c r="J29" s="403"/>
      <c r="K29" s="403"/>
    </row>
    <row r="30" spans="1:11" ht="15">
      <c r="A30" s="403"/>
      <c r="B30" s="403"/>
      <c r="C30" s="403"/>
      <c r="D30" s="403"/>
      <c r="E30" s="403"/>
      <c r="F30" s="403"/>
      <c r="G30" s="403"/>
      <c r="H30" s="403"/>
      <c r="I30" s="403"/>
      <c r="J30" s="403"/>
      <c r="K30" s="403"/>
    </row>
    <row r="31" spans="1:11" ht="15">
      <c r="A31" s="403"/>
      <c r="B31" s="403"/>
      <c r="C31" s="403"/>
      <c r="D31" s="403"/>
      <c r="E31" s="403"/>
      <c r="F31" s="403"/>
      <c r="G31" s="403"/>
      <c r="H31" s="403"/>
      <c r="I31" s="403"/>
      <c r="J31" s="403"/>
      <c r="K31" s="403"/>
    </row>
    <row r="32" spans="1:11" ht="15">
      <c r="A32" s="403"/>
      <c r="B32" s="403"/>
      <c r="C32" s="403"/>
      <c r="D32" s="403"/>
      <c r="E32" s="403"/>
      <c r="F32" s="403"/>
      <c r="G32" s="403"/>
      <c r="H32" s="403"/>
      <c r="I32" s="403"/>
      <c r="J32" s="403"/>
      <c r="K32" s="403"/>
    </row>
    <row r="33" spans="1:11" ht="15">
      <c r="A33" s="403"/>
      <c r="B33" s="403"/>
      <c r="C33" s="403"/>
      <c r="D33" s="403"/>
      <c r="E33" s="403"/>
      <c r="F33" s="403"/>
      <c r="G33" s="403"/>
      <c r="H33" s="403"/>
      <c r="I33" s="403"/>
      <c r="J33" s="403"/>
      <c r="K33" s="403"/>
    </row>
    <row r="34" spans="1:11" ht="15">
      <c r="A34" s="403"/>
      <c r="B34" s="403"/>
      <c r="C34" s="403"/>
      <c r="D34" s="403"/>
      <c r="E34" s="403"/>
      <c r="F34" s="403"/>
      <c r="G34" s="403"/>
      <c r="H34" s="403"/>
      <c r="I34" s="403"/>
      <c r="J34" s="403"/>
      <c r="K34" s="403"/>
    </row>
  </sheetData>
  <pageMargins left="0.7" right="0.7" top="0.75" bottom="0.75" header="0.3" footer="0.3"/>
  <pageSetup scale="89" orientation="portrait" r:id="rId1"/>
  <headerFooter>
    <oddHeader>&amp;RPage 4.4.1</oddHeader>
  </headerFooter>
  <drawing r:id="rId2"/>
</worksheet>
</file>

<file path=xl/worksheets/sheet6.xml><?xml version="1.0" encoding="utf-8"?>
<worksheet xmlns="http://schemas.openxmlformats.org/spreadsheetml/2006/main" xmlns:r="http://schemas.openxmlformats.org/officeDocument/2006/relationships">
  <dimension ref="A1:H50"/>
  <sheetViews>
    <sheetView view="pageBreakPreview" zoomScale="85" zoomScaleNormal="100" zoomScaleSheetLayoutView="85" workbookViewId="0">
      <selection activeCell="H26" sqref="H26"/>
    </sheetView>
  </sheetViews>
  <sheetFormatPr defaultRowHeight="12.75"/>
  <cols>
    <col min="1" max="1" width="5.7109375" style="387" customWidth="1"/>
    <col min="2" max="2" width="38.42578125" style="387" customWidth="1"/>
    <col min="3" max="3" width="18.7109375" style="387" bestFit="1" customWidth="1"/>
    <col min="4" max="4" width="17" style="387" customWidth="1"/>
    <col min="5" max="5" width="15.5703125" style="387" bestFit="1" customWidth="1"/>
    <col min="6" max="6" width="9.140625" style="387"/>
    <col min="7" max="7" width="14.7109375" style="387" bestFit="1" customWidth="1"/>
    <col min="8" max="8" width="12.5703125" style="387" bestFit="1" customWidth="1"/>
    <col min="9" max="16384" width="9.140625" style="387"/>
  </cols>
  <sheetData>
    <row r="1" spans="1:8" ht="15">
      <c r="A1" s="118" t="s">
        <v>498</v>
      </c>
      <c r="F1" s="388"/>
    </row>
    <row r="2" spans="1:8" ht="15">
      <c r="A2" s="118" t="s">
        <v>533</v>
      </c>
    </row>
    <row r="3" spans="1:8" ht="15">
      <c r="A3" s="118" t="s">
        <v>548</v>
      </c>
    </row>
    <row r="7" spans="1:8">
      <c r="A7" s="389" t="s">
        <v>520</v>
      </c>
    </row>
    <row r="8" spans="1:8">
      <c r="C8" s="384" t="s">
        <v>527</v>
      </c>
      <c r="D8" s="384" t="s">
        <v>528</v>
      </c>
      <c r="G8" s="389" t="s">
        <v>544</v>
      </c>
      <c r="H8" s="389" t="s">
        <v>545</v>
      </c>
    </row>
    <row r="9" spans="1:8">
      <c r="A9" s="387" t="s">
        <v>539</v>
      </c>
      <c r="C9" s="390">
        <v>-2900999.9999999986</v>
      </c>
      <c r="D9" s="385">
        <v>-148633.38187023366</v>
      </c>
    </row>
    <row r="10" spans="1:8" ht="13.5" thickBot="1">
      <c r="A10" s="387" t="s">
        <v>521</v>
      </c>
      <c r="C10" s="388" t="s">
        <v>529</v>
      </c>
      <c r="D10" s="388" t="s">
        <v>530</v>
      </c>
    </row>
    <row r="11" spans="1:8" ht="13.5" thickBot="1">
      <c r="C11" s="416"/>
      <c r="D11" s="423" t="s">
        <v>546</v>
      </c>
      <c r="E11" s="415">
        <f>SUM(D14:D26)</f>
        <v>1013713.3485877872</v>
      </c>
      <c r="F11" s="391" t="s">
        <v>538</v>
      </c>
    </row>
    <row r="13" spans="1:8" ht="13.5" thickBot="1">
      <c r="A13" s="392"/>
      <c r="B13" s="392"/>
      <c r="C13" s="393" t="s">
        <v>505</v>
      </c>
      <c r="D13" s="393" t="s">
        <v>504</v>
      </c>
      <c r="E13" s="393" t="s">
        <v>506</v>
      </c>
    </row>
    <row r="14" spans="1:8">
      <c r="A14" s="387">
        <v>2010</v>
      </c>
      <c r="B14" s="387" t="s">
        <v>507</v>
      </c>
      <c r="C14" s="385">
        <f>C9</f>
        <v>-2900999.9999999986</v>
      </c>
      <c r="D14" s="396">
        <f>-$C$9/36</f>
        <v>80583.333333333299</v>
      </c>
      <c r="E14" s="395">
        <f t="shared" ref="E14:E50" si="0">+C14+D14</f>
        <v>-2820416.6666666651</v>
      </c>
    </row>
    <row r="15" spans="1:8">
      <c r="B15" s="402" t="s">
        <v>531</v>
      </c>
      <c r="C15" s="385">
        <f>D9</f>
        <v>-148633.38187023366</v>
      </c>
      <c r="D15" s="397"/>
      <c r="E15" s="395"/>
    </row>
    <row r="16" spans="1:8">
      <c r="B16" s="387" t="s">
        <v>508</v>
      </c>
      <c r="C16" s="385">
        <f>+E14+C15</f>
        <v>-2969050.0485368986</v>
      </c>
      <c r="D16" s="397">
        <f>-$C$9/36-$D$9/35</f>
        <v>84830.001386768548</v>
      </c>
      <c r="E16" s="395">
        <f t="shared" si="0"/>
        <v>-2884220.0471501299</v>
      </c>
    </row>
    <row r="17" spans="1:8">
      <c r="B17" s="387" t="s">
        <v>509</v>
      </c>
      <c r="C17" s="385">
        <f t="shared" ref="C17:C50" si="1">+E16</f>
        <v>-2884220.0471501299</v>
      </c>
      <c r="D17" s="397">
        <f t="shared" ref="D17:D50" si="2">-$C$9/36-$D$9/35</f>
        <v>84830.001386768548</v>
      </c>
      <c r="E17" s="395">
        <f t="shared" si="0"/>
        <v>-2799390.0457633613</v>
      </c>
    </row>
    <row r="18" spans="1:8">
      <c r="B18" s="387" t="s">
        <v>510</v>
      </c>
      <c r="C18" s="385">
        <f t="shared" si="1"/>
        <v>-2799390.0457633613</v>
      </c>
      <c r="D18" s="397">
        <f t="shared" si="2"/>
        <v>84830.001386768548</v>
      </c>
      <c r="E18" s="385">
        <f t="shared" si="0"/>
        <v>-2714560.0443765926</v>
      </c>
    </row>
    <row r="19" spans="1:8">
      <c r="B19" s="387" t="s">
        <v>511</v>
      </c>
      <c r="C19" s="385">
        <f t="shared" si="1"/>
        <v>-2714560.0443765926</v>
      </c>
      <c r="D19" s="397">
        <f t="shared" si="2"/>
        <v>84830.001386768548</v>
      </c>
      <c r="E19" s="385">
        <f t="shared" si="0"/>
        <v>-2629730.042989824</v>
      </c>
    </row>
    <row r="20" spans="1:8">
      <c r="B20" s="387" t="s">
        <v>512</v>
      </c>
      <c r="C20" s="385">
        <f t="shared" si="1"/>
        <v>-2629730.042989824</v>
      </c>
      <c r="D20" s="397">
        <f t="shared" si="2"/>
        <v>84830.001386768548</v>
      </c>
      <c r="E20" s="385">
        <f t="shared" si="0"/>
        <v>-2544900.0416030553</v>
      </c>
    </row>
    <row r="21" spans="1:8">
      <c r="B21" s="387" t="s">
        <v>513</v>
      </c>
      <c r="C21" s="385">
        <f t="shared" si="1"/>
        <v>-2544900.0416030553</v>
      </c>
      <c r="D21" s="397">
        <f t="shared" si="2"/>
        <v>84830.001386768548</v>
      </c>
      <c r="E21" s="385">
        <f t="shared" si="0"/>
        <v>-2460070.0402162867</v>
      </c>
    </row>
    <row r="22" spans="1:8">
      <c r="B22" s="387" t="s">
        <v>514</v>
      </c>
      <c r="C22" s="385">
        <f t="shared" si="1"/>
        <v>-2460070.0402162867</v>
      </c>
      <c r="D22" s="397">
        <f t="shared" si="2"/>
        <v>84830.001386768548</v>
      </c>
      <c r="E22" s="385">
        <f t="shared" si="0"/>
        <v>-2375240.038829518</v>
      </c>
    </row>
    <row r="23" spans="1:8">
      <c r="B23" s="387" t="s">
        <v>515</v>
      </c>
      <c r="C23" s="385">
        <f t="shared" si="1"/>
        <v>-2375240.038829518</v>
      </c>
      <c r="D23" s="397">
        <f t="shared" si="2"/>
        <v>84830.001386768548</v>
      </c>
      <c r="E23" s="385">
        <f t="shared" si="0"/>
        <v>-2290410.0374427494</v>
      </c>
    </row>
    <row r="24" spans="1:8">
      <c r="B24" s="387" t="s">
        <v>516</v>
      </c>
      <c r="C24" s="385">
        <f t="shared" si="1"/>
        <v>-2290410.0374427494</v>
      </c>
      <c r="D24" s="397">
        <f t="shared" si="2"/>
        <v>84830.001386768548</v>
      </c>
      <c r="E24" s="385">
        <f t="shared" si="0"/>
        <v>-2205580.0360559807</v>
      </c>
    </row>
    <row r="25" spans="1:8">
      <c r="B25" s="387" t="s">
        <v>517</v>
      </c>
      <c r="C25" s="385">
        <f t="shared" si="1"/>
        <v>-2205580.0360559807</v>
      </c>
      <c r="D25" s="397">
        <f t="shared" si="2"/>
        <v>84830.001386768548</v>
      </c>
      <c r="E25" s="385">
        <f t="shared" si="0"/>
        <v>-2120750.0346692121</v>
      </c>
    </row>
    <row r="26" spans="1:8" ht="13.5" thickBot="1">
      <c r="B26" s="387" t="s">
        <v>518</v>
      </c>
      <c r="C26" s="385">
        <f t="shared" si="1"/>
        <v>-2120750.0346692121</v>
      </c>
      <c r="D26" s="398">
        <f t="shared" si="2"/>
        <v>84830.001386768548</v>
      </c>
      <c r="E26" s="385">
        <f t="shared" si="0"/>
        <v>-2035920.0332824434</v>
      </c>
      <c r="G26" s="421">
        <f>E11</f>
        <v>1013713.3485877872</v>
      </c>
      <c r="H26" s="421">
        <f>G26*0.37951</f>
        <v>384714.35292255116</v>
      </c>
    </row>
    <row r="27" spans="1:8">
      <c r="A27" s="387">
        <v>2011</v>
      </c>
      <c r="B27" s="387" t="s">
        <v>507</v>
      </c>
      <c r="C27" s="385">
        <f t="shared" si="1"/>
        <v>-2035920.0332824434</v>
      </c>
      <c r="D27" s="394">
        <f t="shared" si="2"/>
        <v>84830.001386768548</v>
      </c>
      <c r="E27" s="385">
        <f t="shared" si="0"/>
        <v>-1951090.0318956748</v>
      </c>
      <c r="G27" s="422" t="s">
        <v>538</v>
      </c>
      <c r="H27" s="422" t="s">
        <v>538</v>
      </c>
    </row>
    <row r="28" spans="1:8">
      <c r="B28" s="387" t="s">
        <v>508</v>
      </c>
      <c r="C28" s="385">
        <f t="shared" si="1"/>
        <v>-1951090.0318956748</v>
      </c>
      <c r="D28" s="394">
        <f t="shared" si="2"/>
        <v>84830.001386768548</v>
      </c>
      <c r="E28" s="385">
        <f t="shared" si="0"/>
        <v>-1866260.0305089061</v>
      </c>
    </row>
    <row r="29" spans="1:8">
      <c r="B29" s="387" t="s">
        <v>509</v>
      </c>
      <c r="C29" s="385">
        <f t="shared" si="1"/>
        <v>-1866260.0305089061</v>
      </c>
      <c r="D29" s="394">
        <f t="shared" si="2"/>
        <v>84830.001386768548</v>
      </c>
      <c r="E29" s="385">
        <f t="shared" si="0"/>
        <v>-1781430.0291221375</v>
      </c>
    </row>
    <row r="30" spans="1:8">
      <c r="B30" s="387" t="s">
        <v>510</v>
      </c>
      <c r="C30" s="385">
        <f t="shared" si="1"/>
        <v>-1781430.0291221375</v>
      </c>
      <c r="D30" s="394">
        <f t="shared" si="2"/>
        <v>84830.001386768548</v>
      </c>
      <c r="E30" s="385">
        <f t="shared" si="0"/>
        <v>-1696600.0277353688</v>
      </c>
    </row>
    <row r="31" spans="1:8">
      <c r="B31" s="387" t="s">
        <v>511</v>
      </c>
      <c r="C31" s="385">
        <f t="shared" si="1"/>
        <v>-1696600.0277353688</v>
      </c>
      <c r="D31" s="394">
        <f t="shared" si="2"/>
        <v>84830.001386768548</v>
      </c>
      <c r="E31" s="385">
        <f t="shared" si="0"/>
        <v>-1611770.0263486002</v>
      </c>
    </row>
    <row r="32" spans="1:8">
      <c r="B32" s="387" t="s">
        <v>512</v>
      </c>
      <c r="C32" s="385">
        <f t="shared" si="1"/>
        <v>-1611770.0263486002</v>
      </c>
      <c r="D32" s="394">
        <f t="shared" si="2"/>
        <v>84830.001386768548</v>
      </c>
      <c r="E32" s="385">
        <f t="shared" si="0"/>
        <v>-1526940.0249618315</v>
      </c>
    </row>
    <row r="33" spans="1:8">
      <c r="B33" s="387" t="s">
        <v>513</v>
      </c>
      <c r="C33" s="385">
        <f t="shared" si="1"/>
        <v>-1526940.0249618315</v>
      </c>
      <c r="D33" s="394">
        <f t="shared" si="2"/>
        <v>84830.001386768548</v>
      </c>
      <c r="E33" s="385">
        <f t="shared" si="0"/>
        <v>-1442110.0235750629</v>
      </c>
    </row>
    <row r="34" spans="1:8">
      <c r="B34" s="387" t="s">
        <v>514</v>
      </c>
      <c r="C34" s="385">
        <f t="shared" si="1"/>
        <v>-1442110.0235750629</v>
      </c>
      <c r="D34" s="394">
        <f t="shared" si="2"/>
        <v>84830.001386768548</v>
      </c>
      <c r="E34" s="385">
        <f t="shared" si="0"/>
        <v>-1357280.0221882942</v>
      </c>
    </row>
    <row r="35" spans="1:8">
      <c r="B35" s="387" t="s">
        <v>515</v>
      </c>
      <c r="C35" s="385">
        <f t="shared" si="1"/>
        <v>-1357280.0221882942</v>
      </c>
      <c r="D35" s="394">
        <f t="shared" si="2"/>
        <v>84830.001386768548</v>
      </c>
      <c r="E35" s="385">
        <f t="shared" si="0"/>
        <v>-1272450.0208015256</v>
      </c>
    </row>
    <row r="36" spans="1:8">
      <c r="B36" s="387" t="s">
        <v>516</v>
      </c>
      <c r="C36" s="385">
        <f t="shared" si="1"/>
        <v>-1272450.0208015256</v>
      </c>
      <c r="D36" s="394">
        <f t="shared" si="2"/>
        <v>84830.001386768548</v>
      </c>
      <c r="E36" s="385">
        <f t="shared" si="0"/>
        <v>-1187620.0194147569</v>
      </c>
    </row>
    <row r="37" spans="1:8">
      <c r="B37" s="387" t="s">
        <v>517</v>
      </c>
      <c r="C37" s="385">
        <f t="shared" si="1"/>
        <v>-1187620.0194147569</v>
      </c>
      <c r="D37" s="394">
        <f t="shared" si="2"/>
        <v>84830.001386768548</v>
      </c>
      <c r="E37" s="385">
        <f t="shared" si="0"/>
        <v>-1102790.0180279883</v>
      </c>
    </row>
    <row r="38" spans="1:8">
      <c r="B38" s="387" t="s">
        <v>518</v>
      </c>
      <c r="C38" s="385">
        <f t="shared" si="1"/>
        <v>-1102790.0180279883</v>
      </c>
      <c r="D38" s="394">
        <f t="shared" si="2"/>
        <v>84830.001386768548</v>
      </c>
      <c r="E38" s="385">
        <f t="shared" si="0"/>
        <v>-1017960.0166412197</v>
      </c>
      <c r="G38" s="385">
        <v>-1017960</v>
      </c>
      <c r="H38" s="385">
        <v>386326</v>
      </c>
    </row>
    <row r="39" spans="1:8">
      <c r="A39" s="387">
        <v>2012</v>
      </c>
      <c r="B39" s="387" t="s">
        <v>507</v>
      </c>
      <c r="C39" s="385">
        <f t="shared" si="1"/>
        <v>-1017960.0166412197</v>
      </c>
      <c r="D39" s="394">
        <f t="shared" si="2"/>
        <v>84830.001386768548</v>
      </c>
      <c r="E39" s="385">
        <f t="shared" si="0"/>
        <v>-933130.01525445119</v>
      </c>
    </row>
    <row r="40" spans="1:8">
      <c r="B40" s="387" t="s">
        <v>508</v>
      </c>
      <c r="C40" s="385">
        <f t="shared" si="1"/>
        <v>-933130.01525445119</v>
      </c>
      <c r="D40" s="394">
        <f t="shared" si="2"/>
        <v>84830.001386768548</v>
      </c>
      <c r="E40" s="385">
        <f t="shared" si="0"/>
        <v>-848300.01386768266</v>
      </c>
    </row>
    <row r="41" spans="1:8">
      <c r="B41" s="387" t="s">
        <v>509</v>
      </c>
      <c r="C41" s="385">
        <f t="shared" si="1"/>
        <v>-848300.01386768266</v>
      </c>
      <c r="D41" s="394">
        <f t="shared" si="2"/>
        <v>84830.001386768548</v>
      </c>
      <c r="E41" s="385">
        <f t="shared" si="0"/>
        <v>-763470.01248091413</v>
      </c>
    </row>
    <row r="42" spans="1:8">
      <c r="B42" s="387" t="s">
        <v>510</v>
      </c>
      <c r="C42" s="385">
        <f t="shared" si="1"/>
        <v>-763470.01248091413</v>
      </c>
      <c r="D42" s="394">
        <f t="shared" si="2"/>
        <v>84830.001386768548</v>
      </c>
      <c r="E42" s="385">
        <f t="shared" si="0"/>
        <v>-678640.01109414559</v>
      </c>
    </row>
    <row r="43" spans="1:8">
      <c r="B43" s="387" t="s">
        <v>511</v>
      </c>
      <c r="C43" s="385">
        <f t="shared" si="1"/>
        <v>-678640.01109414559</v>
      </c>
      <c r="D43" s="394">
        <f t="shared" si="2"/>
        <v>84830.001386768548</v>
      </c>
      <c r="E43" s="385">
        <f t="shared" si="0"/>
        <v>-593810.00970737706</v>
      </c>
    </row>
    <row r="44" spans="1:8">
      <c r="B44" s="387" t="s">
        <v>512</v>
      </c>
      <c r="C44" s="385">
        <f t="shared" si="1"/>
        <v>-593810.00970737706</v>
      </c>
      <c r="D44" s="394">
        <f t="shared" si="2"/>
        <v>84830.001386768548</v>
      </c>
      <c r="E44" s="385">
        <f t="shared" si="0"/>
        <v>-508980.00832060853</v>
      </c>
    </row>
    <row r="45" spans="1:8">
      <c r="B45" s="387" t="s">
        <v>513</v>
      </c>
      <c r="C45" s="385">
        <f t="shared" si="1"/>
        <v>-508980.00832060853</v>
      </c>
      <c r="D45" s="394">
        <f t="shared" si="2"/>
        <v>84830.001386768548</v>
      </c>
      <c r="E45" s="385">
        <f t="shared" si="0"/>
        <v>-424150.00693383999</v>
      </c>
    </row>
    <row r="46" spans="1:8">
      <c r="B46" s="387" t="s">
        <v>514</v>
      </c>
      <c r="C46" s="385">
        <f t="shared" si="1"/>
        <v>-424150.00693383999</v>
      </c>
      <c r="D46" s="394">
        <f t="shared" si="2"/>
        <v>84830.001386768548</v>
      </c>
      <c r="E46" s="385">
        <f t="shared" si="0"/>
        <v>-339320.00554707146</v>
      </c>
    </row>
    <row r="47" spans="1:8">
      <c r="B47" s="387" t="s">
        <v>515</v>
      </c>
      <c r="C47" s="385">
        <f t="shared" si="1"/>
        <v>-339320.00554707146</v>
      </c>
      <c r="D47" s="394">
        <f t="shared" si="2"/>
        <v>84830.001386768548</v>
      </c>
      <c r="E47" s="385">
        <f t="shared" si="0"/>
        <v>-254490.00416030292</v>
      </c>
    </row>
    <row r="48" spans="1:8">
      <c r="B48" s="387" t="s">
        <v>516</v>
      </c>
      <c r="C48" s="385">
        <f t="shared" si="1"/>
        <v>-254490.00416030292</v>
      </c>
      <c r="D48" s="394">
        <f t="shared" si="2"/>
        <v>84830.001386768548</v>
      </c>
      <c r="E48" s="385">
        <f t="shared" si="0"/>
        <v>-169660.00277353439</v>
      </c>
    </row>
    <row r="49" spans="2:8">
      <c r="B49" s="387" t="s">
        <v>517</v>
      </c>
      <c r="C49" s="385">
        <f t="shared" si="1"/>
        <v>-169660.00277353439</v>
      </c>
      <c r="D49" s="394">
        <f t="shared" si="2"/>
        <v>84830.001386768548</v>
      </c>
      <c r="E49" s="385">
        <f t="shared" si="0"/>
        <v>-84830.001386765842</v>
      </c>
    </row>
    <row r="50" spans="2:8">
      <c r="B50" s="387" t="s">
        <v>518</v>
      </c>
      <c r="C50" s="385">
        <f t="shared" si="1"/>
        <v>-84830.001386765842</v>
      </c>
      <c r="D50" s="394">
        <f t="shared" si="2"/>
        <v>84830.001386768548</v>
      </c>
      <c r="E50" s="385">
        <f t="shared" si="0"/>
        <v>2.7066562324762344E-9</v>
      </c>
      <c r="G50" s="385">
        <v>-1017960</v>
      </c>
      <c r="H50" s="385">
        <v>386326</v>
      </c>
    </row>
  </sheetData>
  <pageMargins left="0.75" right="0.75" top="1" bottom="1" header="0.5" footer="0.5"/>
  <pageSetup scale="64" orientation="portrait" r:id="rId1"/>
  <headerFooter alignWithMargins="0">
    <oddHeader xml:space="preserve">&amp;RPage 4.4.2
</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N200"/>
  <sheetViews>
    <sheetView workbookViewId="0">
      <pane ySplit="2" topLeftCell="A3" activePane="bottomLeft" state="frozen"/>
      <selection pane="bottomLeft" activeCell="M1" sqref="M1"/>
    </sheetView>
  </sheetViews>
  <sheetFormatPr defaultRowHeight="12.75" outlineLevelCol="1"/>
  <cols>
    <col min="1" max="1" width="10.42578125" bestFit="1" customWidth="1"/>
    <col min="2" max="2" width="13.28515625" hidden="1" customWidth="1" outlineLevel="1"/>
    <col min="3" max="3" width="16.5703125" hidden="1" customWidth="1" outlineLevel="1"/>
    <col min="4" max="4" width="14.7109375" bestFit="1" customWidth="1" collapsed="1"/>
    <col min="5" max="5" width="18.140625" bestFit="1" customWidth="1"/>
    <col min="6" max="6" width="10" hidden="1" customWidth="1" outlineLevel="1"/>
    <col min="7" max="7" width="59.5703125" style="204" hidden="1" customWidth="1" outlineLevel="1"/>
    <col min="8" max="8" width="8.5703125" bestFit="1" customWidth="1" collapsed="1"/>
    <col min="9" max="9" width="11.28515625" hidden="1" customWidth="1" outlineLevel="1"/>
    <col min="10" max="10" width="11.85546875" customWidth="1" collapsed="1"/>
    <col min="11" max="11" width="11.140625" customWidth="1"/>
    <col min="12" max="12" width="13.5703125" bestFit="1" customWidth="1"/>
    <col min="13" max="13" width="13.7109375" bestFit="1" customWidth="1"/>
    <col min="14" max="14" width="10.28515625" bestFit="1" customWidth="1"/>
  </cols>
  <sheetData>
    <row r="1" spans="1:14" ht="24.75" customHeight="1">
      <c r="A1" s="322" t="s">
        <v>457</v>
      </c>
      <c r="B1" s="322"/>
      <c r="C1" s="322"/>
      <c r="D1" s="322"/>
      <c r="E1" s="322"/>
      <c r="F1" s="322"/>
      <c r="G1" s="322"/>
      <c r="H1" s="322"/>
      <c r="I1" s="322"/>
      <c r="J1" s="322"/>
      <c r="K1" s="322"/>
      <c r="L1" s="322"/>
      <c r="M1" s="327"/>
    </row>
    <row r="2" spans="1:14">
      <c r="A2" s="322" t="s">
        <v>351</v>
      </c>
      <c r="B2" s="322" t="s">
        <v>352</v>
      </c>
      <c r="C2" s="322" t="s">
        <v>353</v>
      </c>
      <c r="D2" s="322" t="s">
        <v>354</v>
      </c>
      <c r="E2" s="323" t="s">
        <v>355</v>
      </c>
      <c r="F2" s="322" t="s">
        <v>356</v>
      </c>
      <c r="G2" s="322" t="s">
        <v>357</v>
      </c>
      <c r="H2" s="322" t="s">
        <v>358</v>
      </c>
      <c r="I2" s="322" t="s">
        <v>359</v>
      </c>
      <c r="J2" s="322" t="s">
        <v>360</v>
      </c>
      <c r="K2" s="322" t="s">
        <v>361</v>
      </c>
      <c r="L2" s="322" t="s">
        <v>362</v>
      </c>
      <c r="M2" s="322" t="s">
        <v>363</v>
      </c>
    </row>
    <row r="3" spans="1:14" s="204" customFormat="1" ht="14.25">
      <c r="A3" s="204">
        <v>2005</v>
      </c>
      <c r="B3" s="204">
        <v>1</v>
      </c>
      <c r="C3" s="204">
        <v>53737123</v>
      </c>
      <c r="D3" s="204">
        <v>530007</v>
      </c>
      <c r="E3" s="340">
        <v>2809.5</v>
      </c>
      <c r="F3" s="204" t="s">
        <v>364</v>
      </c>
      <c r="G3" s="204" t="s">
        <v>365</v>
      </c>
      <c r="H3" s="204" t="s">
        <v>366</v>
      </c>
      <c r="I3" s="204">
        <v>1900955277</v>
      </c>
      <c r="J3" s="204">
        <v>11650</v>
      </c>
      <c r="L3" s="204">
        <v>9230000</v>
      </c>
      <c r="M3" s="204">
        <v>1</v>
      </c>
    </row>
    <row r="4" spans="1:14" s="204" customFormat="1" ht="14.25">
      <c r="A4" s="204">
        <v>2005</v>
      </c>
      <c r="B4" s="204">
        <v>1</v>
      </c>
      <c r="C4" s="204">
        <v>53737123</v>
      </c>
      <c r="D4" s="204">
        <v>530007</v>
      </c>
      <c r="E4" s="340">
        <v>1592.05</v>
      </c>
      <c r="F4" s="204" t="s">
        <v>364</v>
      </c>
      <c r="G4" s="204" t="s">
        <v>367</v>
      </c>
      <c r="H4" s="204" t="s">
        <v>366</v>
      </c>
      <c r="I4" s="204">
        <v>1900955277</v>
      </c>
      <c r="J4" s="204">
        <v>11648</v>
      </c>
      <c r="L4" s="204">
        <v>9230000</v>
      </c>
      <c r="M4" s="204">
        <v>1</v>
      </c>
    </row>
    <row r="5" spans="1:14" s="204" customFormat="1" ht="14.25">
      <c r="A5" s="204">
        <v>2005</v>
      </c>
      <c r="B5" s="204">
        <v>1</v>
      </c>
      <c r="C5" s="204">
        <v>53737123</v>
      </c>
      <c r="D5" s="204">
        <v>530007</v>
      </c>
      <c r="E5" s="340">
        <v>561.9</v>
      </c>
      <c r="F5" s="204" t="s">
        <v>364</v>
      </c>
      <c r="G5" s="204" t="s">
        <v>368</v>
      </c>
      <c r="H5" s="204" t="s">
        <v>366</v>
      </c>
      <c r="I5" s="204">
        <v>1900955277</v>
      </c>
      <c r="K5" s="204">
        <v>213488</v>
      </c>
      <c r="L5" s="204">
        <v>9230000</v>
      </c>
      <c r="M5" s="204">
        <v>1</v>
      </c>
    </row>
    <row r="6" spans="1:14" s="204" customFormat="1" ht="14.25">
      <c r="A6" s="204">
        <v>2005</v>
      </c>
      <c r="B6" s="204">
        <v>1</v>
      </c>
      <c r="C6" s="204">
        <v>53737128</v>
      </c>
      <c r="D6" s="204">
        <v>530007</v>
      </c>
      <c r="E6" s="340">
        <v>655.55</v>
      </c>
      <c r="F6" s="204" t="s">
        <v>364</v>
      </c>
      <c r="G6" s="204" t="s">
        <v>369</v>
      </c>
      <c r="H6" s="204" t="s">
        <v>366</v>
      </c>
      <c r="I6" s="204">
        <v>1900955278</v>
      </c>
      <c r="J6" s="204">
        <v>13253</v>
      </c>
      <c r="L6" s="204">
        <v>9230000</v>
      </c>
      <c r="M6" s="204">
        <v>1</v>
      </c>
    </row>
    <row r="7" spans="1:14" s="204" customFormat="1" ht="14.25">
      <c r="A7" s="204">
        <v>2005</v>
      </c>
      <c r="B7" s="204">
        <v>1</v>
      </c>
      <c r="C7" s="204">
        <v>53737128</v>
      </c>
      <c r="D7" s="204">
        <v>530007</v>
      </c>
      <c r="E7" s="340">
        <v>936.5</v>
      </c>
      <c r="F7" s="204" t="s">
        <v>364</v>
      </c>
      <c r="G7" s="204" t="s">
        <v>370</v>
      </c>
      <c r="H7" s="204" t="s">
        <v>366</v>
      </c>
      <c r="I7" s="204">
        <v>1900955278</v>
      </c>
      <c r="K7" s="204">
        <v>213488</v>
      </c>
      <c r="L7" s="204">
        <v>9230000</v>
      </c>
      <c r="M7" s="204">
        <v>1</v>
      </c>
    </row>
    <row r="8" spans="1:14" s="204" customFormat="1" ht="14.25">
      <c r="A8" s="204">
        <v>2005</v>
      </c>
      <c r="B8" s="204">
        <v>1</v>
      </c>
      <c r="C8" s="204">
        <v>53737128</v>
      </c>
      <c r="D8" s="204">
        <v>530007</v>
      </c>
      <c r="E8" s="340">
        <v>1357.92</v>
      </c>
      <c r="F8" s="204" t="s">
        <v>364</v>
      </c>
      <c r="G8" s="204" t="s">
        <v>371</v>
      </c>
      <c r="H8" s="204" t="s">
        <v>366</v>
      </c>
      <c r="I8" s="204">
        <v>1900955278</v>
      </c>
      <c r="K8" s="204">
        <v>213488</v>
      </c>
      <c r="L8" s="204">
        <v>9230000</v>
      </c>
      <c r="M8" s="204">
        <v>1</v>
      </c>
    </row>
    <row r="9" spans="1:14" s="322" customFormat="1" ht="14.25">
      <c r="A9" s="322">
        <v>2005</v>
      </c>
      <c r="B9" s="322">
        <v>1</v>
      </c>
      <c r="C9" s="322">
        <v>53737128</v>
      </c>
      <c r="D9" s="322">
        <v>530007</v>
      </c>
      <c r="E9" s="324">
        <v>2341.25</v>
      </c>
      <c r="F9" s="322" t="s">
        <v>364</v>
      </c>
      <c r="G9" s="322" t="s">
        <v>372</v>
      </c>
      <c r="H9" s="322" t="s">
        <v>366</v>
      </c>
      <c r="I9" s="322">
        <v>1900955278</v>
      </c>
      <c r="J9" s="322">
        <v>13023</v>
      </c>
      <c r="L9" s="322">
        <v>9230000</v>
      </c>
      <c r="M9" s="322">
        <v>109</v>
      </c>
      <c r="N9" s="322" t="s">
        <v>465</v>
      </c>
    </row>
    <row r="10" spans="1:14" s="204" customFormat="1" ht="14.25">
      <c r="A10" s="204">
        <v>2005</v>
      </c>
      <c r="B10" s="204">
        <v>1</v>
      </c>
      <c r="C10" s="204">
        <v>53737128</v>
      </c>
      <c r="D10" s="204">
        <v>530007</v>
      </c>
      <c r="E10" s="340">
        <v>187.3</v>
      </c>
      <c r="F10" s="204" t="s">
        <v>364</v>
      </c>
      <c r="G10" s="204" t="s">
        <v>373</v>
      </c>
      <c r="H10" s="204" t="s">
        <v>366</v>
      </c>
      <c r="I10" s="204">
        <v>1900955278</v>
      </c>
      <c r="K10" s="204">
        <v>216081</v>
      </c>
      <c r="L10" s="204">
        <v>9230000</v>
      </c>
      <c r="M10" s="204">
        <v>1</v>
      </c>
    </row>
    <row r="11" spans="1:14" s="204" customFormat="1" ht="14.25">
      <c r="A11" s="204">
        <v>2005</v>
      </c>
      <c r="B11" s="204">
        <v>1</v>
      </c>
      <c r="C11" s="204">
        <v>53737243</v>
      </c>
      <c r="D11" s="204">
        <v>530007</v>
      </c>
      <c r="E11" s="340">
        <v>299.68</v>
      </c>
      <c r="F11" s="204" t="s">
        <v>364</v>
      </c>
      <c r="G11" s="204" t="s">
        <v>374</v>
      </c>
      <c r="H11" s="204" t="s">
        <v>366</v>
      </c>
      <c r="I11" s="204">
        <v>1900955279</v>
      </c>
      <c r="K11" s="204">
        <v>213488</v>
      </c>
      <c r="L11" s="204">
        <v>9230000</v>
      </c>
      <c r="M11" s="204">
        <v>1</v>
      </c>
    </row>
    <row r="12" spans="1:14" s="204" customFormat="1" ht="14.25">
      <c r="A12" s="204">
        <v>2005</v>
      </c>
      <c r="B12" s="204">
        <v>1</v>
      </c>
      <c r="C12" s="204">
        <v>53737243</v>
      </c>
      <c r="D12" s="204">
        <v>530007</v>
      </c>
      <c r="E12" s="340">
        <v>299.68</v>
      </c>
      <c r="F12" s="204" t="s">
        <v>364</v>
      </c>
      <c r="G12" s="204" t="s">
        <v>375</v>
      </c>
      <c r="H12" s="204" t="s">
        <v>366</v>
      </c>
      <c r="I12" s="204">
        <v>1900955279</v>
      </c>
      <c r="J12" s="204">
        <v>13150</v>
      </c>
      <c r="L12" s="204">
        <v>9230000</v>
      </c>
      <c r="M12" s="204">
        <v>1</v>
      </c>
    </row>
    <row r="13" spans="1:14" s="204" customFormat="1" ht="14.25">
      <c r="A13" s="204">
        <v>2005</v>
      </c>
      <c r="B13" s="204">
        <v>1</v>
      </c>
      <c r="C13" s="204">
        <v>53737243</v>
      </c>
      <c r="D13" s="204">
        <v>530007</v>
      </c>
      <c r="E13" s="340">
        <v>299.68</v>
      </c>
      <c r="F13" s="204" t="s">
        <v>364</v>
      </c>
      <c r="G13" s="204" t="s">
        <v>373</v>
      </c>
      <c r="H13" s="204" t="s">
        <v>366</v>
      </c>
      <c r="I13" s="204">
        <v>1900955279</v>
      </c>
      <c r="K13" s="204">
        <v>216081</v>
      </c>
      <c r="L13" s="204">
        <v>9230000</v>
      </c>
      <c r="M13" s="204">
        <v>1</v>
      </c>
    </row>
    <row r="14" spans="1:14" s="204" customFormat="1" ht="14.25">
      <c r="A14" s="204">
        <v>2005</v>
      </c>
      <c r="B14" s="204">
        <v>1</v>
      </c>
      <c r="C14" s="204">
        <v>53737243</v>
      </c>
      <c r="D14" s="204">
        <v>530007</v>
      </c>
      <c r="E14" s="340">
        <v>299.68</v>
      </c>
      <c r="F14" s="204" t="s">
        <v>364</v>
      </c>
      <c r="G14" s="204" t="s">
        <v>376</v>
      </c>
      <c r="H14" s="204" t="s">
        <v>366</v>
      </c>
      <c r="I14" s="204">
        <v>1900955279</v>
      </c>
      <c r="J14" s="204">
        <v>13193</v>
      </c>
      <c r="L14" s="204">
        <v>9230000</v>
      </c>
      <c r="M14" s="204">
        <v>1</v>
      </c>
    </row>
    <row r="15" spans="1:14" s="204" customFormat="1" ht="14.25">
      <c r="A15" s="204">
        <v>2005</v>
      </c>
      <c r="B15" s="204">
        <v>1</v>
      </c>
      <c r="C15" s="204">
        <v>53737243</v>
      </c>
      <c r="D15" s="204">
        <v>530007</v>
      </c>
      <c r="E15" s="340">
        <v>299.68</v>
      </c>
      <c r="F15" s="204" t="s">
        <v>364</v>
      </c>
      <c r="G15" s="204" t="s">
        <v>377</v>
      </c>
      <c r="H15" s="204" t="s">
        <v>366</v>
      </c>
      <c r="I15" s="204">
        <v>1900955279</v>
      </c>
      <c r="J15" s="204">
        <v>11643</v>
      </c>
      <c r="L15" s="204">
        <v>9230000</v>
      </c>
      <c r="M15" s="204">
        <v>1</v>
      </c>
    </row>
    <row r="16" spans="1:14" s="204" customFormat="1" ht="14.25">
      <c r="A16" s="204">
        <v>2005</v>
      </c>
      <c r="B16" s="204">
        <v>1</v>
      </c>
      <c r="C16" s="204">
        <v>53737243</v>
      </c>
      <c r="D16" s="204">
        <v>530007</v>
      </c>
      <c r="E16" s="340">
        <v>299.68</v>
      </c>
      <c r="F16" s="204" t="s">
        <v>364</v>
      </c>
      <c r="G16" s="204" t="s">
        <v>378</v>
      </c>
      <c r="H16" s="204" t="s">
        <v>366</v>
      </c>
      <c r="I16" s="204">
        <v>1900955279</v>
      </c>
      <c r="J16" s="204">
        <v>13024</v>
      </c>
      <c r="L16" s="204">
        <v>9230000</v>
      </c>
      <c r="M16" s="204">
        <v>1</v>
      </c>
    </row>
    <row r="17" spans="1:14" s="204" customFormat="1" ht="14.25">
      <c r="A17" s="204">
        <v>2005</v>
      </c>
      <c r="B17" s="204">
        <v>1</v>
      </c>
      <c r="C17" s="204">
        <v>53737243</v>
      </c>
      <c r="D17" s="204">
        <v>530007</v>
      </c>
      <c r="E17" s="340">
        <v>299.68</v>
      </c>
      <c r="F17" s="204" t="s">
        <v>364</v>
      </c>
      <c r="G17" s="204" t="s">
        <v>379</v>
      </c>
      <c r="H17" s="204" t="s">
        <v>366</v>
      </c>
      <c r="I17" s="204">
        <v>1900955279</v>
      </c>
      <c r="J17" s="204">
        <v>13026</v>
      </c>
      <c r="L17" s="204">
        <v>9230000</v>
      </c>
      <c r="M17" s="204">
        <v>1</v>
      </c>
    </row>
    <row r="18" spans="1:14" s="204" customFormat="1" ht="14.25">
      <c r="A18" s="204">
        <v>2005</v>
      </c>
      <c r="B18" s="204">
        <v>1</v>
      </c>
      <c r="C18" s="204">
        <v>53737243</v>
      </c>
      <c r="D18" s="204">
        <v>530007</v>
      </c>
      <c r="E18" s="340">
        <v>299.68</v>
      </c>
      <c r="F18" s="204" t="s">
        <v>364</v>
      </c>
      <c r="G18" s="204" t="s">
        <v>380</v>
      </c>
      <c r="H18" s="204" t="s">
        <v>366</v>
      </c>
      <c r="I18" s="204">
        <v>1900955279</v>
      </c>
      <c r="J18" s="204">
        <v>11622</v>
      </c>
      <c r="L18" s="204">
        <v>9230000</v>
      </c>
      <c r="M18" s="204">
        <v>1</v>
      </c>
    </row>
    <row r="19" spans="1:14" s="204" customFormat="1" ht="14.25">
      <c r="A19" s="204">
        <v>2005</v>
      </c>
      <c r="B19" s="204">
        <v>1</v>
      </c>
      <c r="C19" s="204">
        <v>53737243</v>
      </c>
      <c r="D19" s="204">
        <v>530007</v>
      </c>
      <c r="E19" s="340">
        <v>299.68</v>
      </c>
      <c r="F19" s="204" t="s">
        <v>364</v>
      </c>
      <c r="G19" s="204" t="s">
        <v>381</v>
      </c>
      <c r="H19" s="204" t="s">
        <v>366</v>
      </c>
      <c r="I19" s="204">
        <v>1900955279</v>
      </c>
      <c r="K19" s="204">
        <v>213488</v>
      </c>
      <c r="L19" s="204">
        <v>9230000</v>
      </c>
      <c r="M19" s="204">
        <v>1</v>
      </c>
    </row>
    <row r="20" spans="1:14" s="204" customFormat="1" ht="14.25">
      <c r="A20" s="204">
        <v>2005</v>
      </c>
      <c r="B20" s="204">
        <v>1</v>
      </c>
      <c r="C20" s="204">
        <v>53737243</v>
      </c>
      <c r="D20" s="204">
        <v>530007</v>
      </c>
      <c r="E20" s="340">
        <v>299.68</v>
      </c>
      <c r="F20" s="204" t="s">
        <v>364</v>
      </c>
      <c r="G20" s="204" t="s">
        <v>382</v>
      </c>
      <c r="H20" s="204" t="s">
        <v>366</v>
      </c>
      <c r="I20" s="204">
        <v>1900955279</v>
      </c>
      <c r="K20" s="204">
        <v>213488</v>
      </c>
      <c r="L20" s="204">
        <v>9230000</v>
      </c>
      <c r="M20" s="204">
        <v>1</v>
      </c>
    </row>
    <row r="21" spans="1:14" s="204" customFormat="1" ht="14.25">
      <c r="A21" s="204">
        <v>2005</v>
      </c>
      <c r="B21" s="204">
        <v>1</v>
      </c>
      <c r="C21" s="204">
        <v>53737243</v>
      </c>
      <c r="D21" s="204">
        <v>530007</v>
      </c>
      <c r="E21" s="340">
        <v>299.68</v>
      </c>
      <c r="F21" s="204" t="s">
        <v>364</v>
      </c>
      <c r="G21" s="204" t="s">
        <v>383</v>
      </c>
      <c r="H21" s="204" t="s">
        <v>366</v>
      </c>
      <c r="I21" s="204">
        <v>1900955279</v>
      </c>
      <c r="K21" s="204">
        <v>213488</v>
      </c>
      <c r="L21" s="204">
        <v>9230000</v>
      </c>
      <c r="M21" s="204">
        <v>1</v>
      </c>
    </row>
    <row r="22" spans="1:14" s="204" customFormat="1" ht="14.25">
      <c r="A22" s="204">
        <v>2005</v>
      </c>
      <c r="B22" s="204">
        <v>1</v>
      </c>
      <c r="C22" s="204">
        <v>53737243</v>
      </c>
      <c r="D22" s="204">
        <v>530007</v>
      </c>
      <c r="E22" s="340">
        <v>299.68</v>
      </c>
      <c r="F22" s="204" t="s">
        <v>364</v>
      </c>
      <c r="G22" s="204" t="s">
        <v>384</v>
      </c>
      <c r="H22" s="204" t="s">
        <v>366</v>
      </c>
      <c r="I22" s="204">
        <v>1900955279</v>
      </c>
      <c r="K22" s="204">
        <v>213488</v>
      </c>
      <c r="L22" s="204">
        <v>9230000</v>
      </c>
      <c r="M22" s="204">
        <v>1</v>
      </c>
    </row>
    <row r="23" spans="1:14" s="204" customFormat="1" ht="14.25">
      <c r="A23" s="204">
        <v>2005</v>
      </c>
      <c r="B23" s="204">
        <v>1</v>
      </c>
      <c r="C23" s="204">
        <v>53737243</v>
      </c>
      <c r="D23" s="204">
        <v>530007</v>
      </c>
      <c r="E23" s="340">
        <v>299.68</v>
      </c>
      <c r="F23" s="204" t="s">
        <v>364</v>
      </c>
      <c r="G23" s="204" t="s">
        <v>385</v>
      </c>
      <c r="H23" s="204" t="s">
        <v>366</v>
      </c>
      <c r="I23" s="204">
        <v>1900955279</v>
      </c>
      <c r="J23" s="204">
        <v>11676</v>
      </c>
      <c r="L23" s="204">
        <v>9230000</v>
      </c>
      <c r="M23" s="204">
        <v>1</v>
      </c>
    </row>
    <row r="24" spans="1:14" s="204" customFormat="1" ht="14.25">
      <c r="A24" s="204">
        <v>2005</v>
      </c>
      <c r="B24" s="204">
        <v>1</v>
      </c>
      <c r="C24" s="204">
        <v>53737243</v>
      </c>
      <c r="D24" s="204">
        <v>530007</v>
      </c>
      <c r="E24" s="340">
        <v>299.68</v>
      </c>
      <c r="F24" s="204" t="s">
        <v>364</v>
      </c>
      <c r="G24" s="204" t="s">
        <v>386</v>
      </c>
      <c r="H24" s="204" t="s">
        <v>366</v>
      </c>
      <c r="I24" s="204">
        <v>1900955279</v>
      </c>
      <c r="J24" s="204">
        <v>11622</v>
      </c>
      <c r="L24" s="204">
        <v>9230000</v>
      </c>
      <c r="M24" s="204">
        <v>1</v>
      </c>
    </row>
    <row r="25" spans="1:14" s="204" customFormat="1" ht="14.25">
      <c r="A25" s="204">
        <v>2005</v>
      </c>
      <c r="B25" s="204">
        <v>1</v>
      </c>
      <c r="C25" s="204">
        <v>53737243</v>
      </c>
      <c r="D25" s="204">
        <v>530007</v>
      </c>
      <c r="E25" s="340">
        <v>299.68</v>
      </c>
      <c r="F25" s="204" t="s">
        <v>364</v>
      </c>
      <c r="G25" s="204" t="s">
        <v>387</v>
      </c>
      <c r="H25" s="204" t="s">
        <v>366</v>
      </c>
      <c r="I25" s="204">
        <v>1900955279</v>
      </c>
      <c r="J25" s="204">
        <v>13383</v>
      </c>
      <c r="L25" s="204">
        <v>9230000</v>
      </c>
      <c r="M25" s="204">
        <v>1</v>
      </c>
    </row>
    <row r="26" spans="1:14" s="204" customFormat="1" ht="14.25">
      <c r="A26" s="204">
        <v>2005</v>
      </c>
      <c r="B26" s="204">
        <v>1</v>
      </c>
      <c r="C26" s="204">
        <v>53737243</v>
      </c>
      <c r="D26" s="204">
        <v>530007</v>
      </c>
      <c r="E26" s="340">
        <v>299.68</v>
      </c>
      <c r="F26" s="204" t="s">
        <v>364</v>
      </c>
      <c r="G26" s="204" t="s">
        <v>368</v>
      </c>
      <c r="H26" s="204" t="s">
        <v>366</v>
      </c>
      <c r="I26" s="204">
        <v>1900955279</v>
      </c>
      <c r="K26" s="204">
        <v>213488</v>
      </c>
      <c r="L26" s="204">
        <v>9230000</v>
      </c>
      <c r="M26" s="204">
        <v>1</v>
      </c>
    </row>
    <row r="27" spans="1:14" s="322" customFormat="1" ht="14.25">
      <c r="A27" s="322">
        <v>2005</v>
      </c>
      <c r="B27" s="322">
        <v>1</v>
      </c>
      <c r="C27" s="322">
        <v>53737243</v>
      </c>
      <c r="D27" s="322">
        <v>530007</v>
      </c>
      <c r="E27" s="324">
        <v>299.68</v>
      </c>
      <c r="F27" s="322" t="s">
        <v>364</v>
      </c>
      <c r="G27" s="322" t="s">
        <v>372</v>
      </c>
      <c r="H27" s="322" t="s">
        <v>366</v>
      </c>
      <c r="I27" s="322">
        <v>1900955279</v>
      </c>
      <c r="J27" s="322">
        <v>13023</v>
      </c>
      <c r="L27" s="322">
        <v>9230000</v>
      </c>
      <c r="M27" s="322">
        <v>109</v>
      </c>
      <c r="N27" s="322" t="s">
        <v>465</v>
      </c>
    </row>
    <row r="28" spans="1:14" s="204" customFormat="1" ht="14.25">
      <c r="A28" s="204">
        <v>2005</v>
      </c>
      <c r="B28" s="204">
        <v>1</v>
      </c>
      <c r="C28" s="204">
        <v>53737243</v>
      </c>
      <c r="D28" s="204">
        <v>530007</v>
      </c>
      <c r="E28" s="340">
        <v>299.68</v>
      </c>
      <c r="F28" s="204" t="s">
        <v>364</v>
      </c>
      <c r="G28" s="204" t="s">
        <v>388</v>
      </c>
      <c r="H28" s="204" t="s">
        <v>366</v>
      </c>
      <c r="I28" s="204">
        <v>1900955279</v>
      </c>
      <c r="J28" s="204">
        <v>13193</v>
      </c>
      <c r="L28" s="204">
        <v>9230000</v>
      </c>
      <c r="M28" s="204">
        <v>1</v>
      </c>
    </row>
    <row r="29" spans="1:14" s="204" customFormat="1" ht="14.25">
      <c r="A29" s="204">
        <v>2005</v>
      </c>
      <c r="B29" s="204">
        <v>1</v>
      </c>
      <c r="C29" s="204">
        <v>53737243</v>
      </c>
      <c r="D29" s="204">
        <v>530007</v>
      </c>
      <c r="E29" s="340">
        <v>299.68</v>
      </c>
      <c r="F29" s="204" t="s">
        <v>364</v>
      </c>
      <c r="G29" s="204" t="s">
        <v>389</v>
      </c>
      <c r="H29" s="204" t="s">
        <v>366</v>
      </c>
      <c r="I29" s="204">
        <v>1900955279</v>
      </c>
      <c r="J29" s="204">
        <v>11654</v>
      </c>
      <c r="L29" s="204">
        <v>9230000</v>
      </c>
      <c r="M29" s="204">
        <v>1</v>
      </c>
    </row>
    <row r="30" spans="1:14" s="204" customFormat="1" ht="14.25">
      <c r="A30" s="204">
        <v>2005</v>
      </c>
      <c r="B30" s="204">
        <v>3</v>
      </c>
      <c r="C30" s="204">
        <v>55022996</v>
      </c>
      <c r="D30" s="204">
        <v>530007</v>
      </c>
      <c r="E30" s="340">
        <v>116.25</v>
      </c>
      <c r="F30" s="204" t="s">
        <v>390</v>
      </c>
      <c r="G30" s="204" t="s">
        <v>391</v>
      </c>
      <c r="H30" s="204" t="s">
        <v>366</v>
      </c>
      <c r="I30" s="204">
        <v>1901011908</v>
      </c>
      <c r="J30" s="204">
        <v>11656</v>
      </c>
      <c r="L30" s="204">
        <v>9230000</v>
      </c>
      <c r="M30" s="204">
        <v>1</v>
      </c>
    </row>
    <row r="31" spans="1:14" s="204" customFormat="1" ht="14.25">
      <c r="A31" s="204">
        <v>2005</v>
      </c>
      <c r="B31" s="204">
        <v>3</v>
      </c>
      <c r="C31" s="204">
        <v>55022994</v>
      </c>
      <c r="D31" s="204">
        <v>530007</v>
      </c>
      <c r="E31" s="340">
        <v>225</v>
      </c>
      <c r="F31" s="204" t="s">
        <v>390</v>
      </c>
      <c r="G31" s="204" t="s">
        <v>391</v>
      </c>
      <c r="H31" s="204" t="s">
        <v>366</v>
      </c>
      <c r="I31" s="204">
        <v>1901011906</v>
      </c>
      <c r="J31" s="204">
        <v>11656</v>
      </c>
      <c r="L31" s="204">
        <v>9230000</v>
      </c>
      <c r="M31" s="204">
        <v>1</v>
      </c>
    </row>
    <row r="32" spans="1:14" s="204" customFormat="1" ht="14.25">
      <c r="A32" s="204">
        <v>2005</v>
      </c>
      <c r="B32" s="204">
        <v>3</v>
      </c>
      <c r="C32" s="204">
        <v>55022992</v>
      </c>
      <c r="D32" s="204">
        <v>530007</v>
      </c>
      <c r="E32" s="340">
        <v>27.35</v>
      </c>
      <c r="F32" s="204" t="s">
        <v>390</v>
      </c>
      <c r="G32" s="204" t="s">
        <v>391</v>
      </c>
      <c r="H32" s="204" t="s">
        <v>366</v>
      </c>
      <c r="I32" s="204">
        <v>1901011904</v>
      </c>
      <c r="J32" s="204">
        <v>11656</v>
      </c>
      <c r="L32" s="204">
        <v>9230000</v>
      </c>
      <c r="M32" s="204">
        <v>1</v>
      </c>
    </row>
    <row r="33" spans="1:14" s="204" customFormat="1" ht="14.25">
      <c r="A33" s="204">
        <v>2005</v>
      </c>
      <c r="B33" s="204">
        <v>3</v>
      </c>
      <c r="C33" s="204">
        <v>55022997</v>
      </c>
      <c r="D33" s="204">
        <v>530007</v>
      </c>
      <c r="E33" s="340">
        <v>7</v>
      </c>
      <c r="F33" s="204" t="s">
        <v>390</v>
      </c>
      <c r="G33" s="204" t="s">
        <v>391</v>
      </c>
      <c r="H33" s="204" t="s">
        <v>366</v>
      </c>
      <c r="I33" s="204">
        <v>1901011909</v>
      </c>
      <c r="J33" s="204">
        <v>11656</v>
      </c>
      <c r="L33" s="204">
        <v>9230000</v>
      </c>
      <c r="M33" s="204">
        <v>1</v>
      </c>
    </row>
    <row r="34" spans="1:14" s="204" customFormat="1" ht="14.25">
      <c r="A34" s="204">
        <v>2005</v>
      </c>
      <c r="B34" s="204">
        <v>3</v>
      </c>
      <c r="C34" s="204">
        <v>55023000</v>
      </c>
      <c r="D34" s="204">
        <v>530007</v>
      </c>
      <c r="E34" s="340">
        <v>149.82</v>
      </c>
      <c r="F34" s="204" t="s">
        <v>390</v>
      </c>
      <c r="G34" s="204" t="s">
        <v>391</v>
      </c>
      <c r="H34" s="204" t="s">
        <v>366</v>
      </c>
      <c r="I34" s="204">
        <v>1901011910</v>
      </c>
      <c r="J34" s="204">
        <v>11656</v>
      </c>
      <c r="L34" s="204">
        <v>9230000</v>
      </c>
      <c r="M34" s="204">
        <v>1</v>
      </c>
    </row>
    <row r="35" spans="1:14" s="204" customFormat="1" ht="14.25">
      <c r="A35" s="204">
        <v>2005</v>
      </c>
      <c r="B35" s="204">
        <v>4</v>
      </c>
      <c r="C35" s="204">
        <v>55553687</v>
      </c>
      <c r="D35" s="204">
        <v>530007</v>
      </c>
      <c r="E35" s="340">
        <v>326.48</v>
      </c>
      <c r="F35" s="204" t="s">
        <v>364</v>
      </c>
      <c r="G35" s="204" t="s">
        <v>392</v>
      </c>
      <c r="H35" s="204" t="s">
        <v>366</v>
      </c>
      <c r="I35" s="204">
        <v>1901017577</v>
      </c>
      <c r="K35" s="204">
        <v>213488</v>
      </c>
      <c r="L35" s="204">
        <v>9230000</v>
      </c>
      <c r="M35" s="204">
        <v>1</v>
      </c>
    </row>
    <row r="36" spans="1:14" s="204" customFormat="1" ht="14.25">
      <c r="A36" s="204">
        <v>2005</v>
      </c>
      <c r="B36" s="204">
        <v>4</v>
      </c>
      <c r="C36" s="204">
        <v>55553691</v>
      </c>
      <c r="D36" s="204">
        <v>530007</v>
      </c>
      <c r="E36" s="340">
        <v>1212.6400000000001</v>
      </c>
      <c r="F36" s="204" t="s">
        <v>364</v>
      </c>
      <c r="G36" s="204" t="s">
        <v>392</v>
      </c>
      <c r="H36" s="204" t="s">
        <v>366</v>
      </c>
      <c r="I36" s="204">
        <v>1901017580</v>
      </c>
      <c r="K36" s="204">
        <v>213488</v>
      </c>
      <c r="L36" s="204">
        <v>9230000</v>
      </c>
      <c r="M36" s="204">
        <v>1</v>
      </c>
    </row>
    <row r="37" spans="1:14" s="204" customFormat="1" ht="14.25">
      <c r="A37" s="204">
        <v>2005</v>
      </c>
      <c r="B37" s="204">
        <v>4</v>
      </c>
      <c r="C37" s="204">
        <v>55553700</v>
      </c>
      <c r="D37" s="204">
        <v>530007</v>
      </c>
      <c r="E37" s="340">
        <v>279.83999999999997</v>
      </c>
      <c r="F37" s="204" t="s">
        <v>364</v>
      </c>
      <c r="G37" s="204" t="s">
        <v>393</v>
      </c>
      <c r="H37" s="204" t="s">
        <v>366</v>
      </c>
      <c r="I37" s="204">
        <v>1901017587</v>
      </c>
      <c r="J37" s="204">
        <v>13383</v>
      </c>
      <c r="L37" s="204">
        <v>9230000</v>
      </c>
      <c r="M37" s="204">
        <v>1</v>
      </c>
    </row>
    <row r="38" spans="1:14" s="204" customFormat="1" ht="14.25">
      <c r="A38" s="204">
        <v>2005</v>
      </c>
      <c r="B38" s="204">
        <v>4</v>
      </c>
      <c r="C38" s="204">
        <v>55553700</v>
      </c>
      <c r="D38" s="204">
        <v>530007</v>
      </c>
      <c r="E38" s="340">
        <v>1026.08</v>
      </c>
      <c r="F38" s="204" t="s">
        <v>364</v>
      </c>
      <c r="G38" s="204" t="s">
        <v>394</v>
      </c>
      <c r="H38" s="204" t="s">
        <v>366</v>
      </c>
      <c r="I38" s="204">
        <v>1901017587</v>
      </c>
      <c r="J38" s="204">
        <v>11622</v>
      </c>
      <c r="L38" s="204">
        <v>9230000</v>
      </c>
      <c r="M38" s="204">
        <v>1</v>
      </c>
    </row>
    <row r="39" spans="1:14" s="204" customFormat="1" ht="14.25">
      <c r="A39" s="204">
        <v>2005</v>
      </c>
      <c r="B39" s="204">
        <v>4</v>
      </c>
      <c r="C39" s="204">
        <v>55553700</v>
      </c>
      <c r="D39" s="204">
        <v>530007</v>
      </c>
      <c r="E39" s="340">
        <v>186.56</v>
      </c>
      <c r="F39" s="204" t="s">
        <v>364</v>
      </c>
      <c r="G39" s="204" t="s">
        <v>395</v>
      </c>
      <c r="H39" s="204" t="s">
        <v>366</v>
      </c>
      <c r="I39" s="204">
        <v>1901017587</v>
      </c>
      <c r="J39" s="204">
        <v>11883</v>
      </c>
      <c r="L39" s="204">
        <v>9230000</v>
      </c>
      <c r="M39" s="204">
        <v>1</v>
      </c>
    </row>
    <row r="40" spans="1:14" s="322" customFormat="1" ht="14.25">
      <c r="A40" s="322">
        <v>2005</v>
      </c>
      <c r="B40" s="322">
        <v>4</v>
      </c>
      <c r="C40" s="322">
        <v>55553700</v>
      </c>
      <c r="D40" s="322">
        <v>530007</v>
      </c>
      <c r="E40" s="324">
        <v>279.83999999999997</v>
      </c>
      <c r="F40" s="322" t="s">
        <v>364</v>
      </c>
      <c r="G40" s="322" t="s">
        <v>396</v>
      </c>
      <c r="H40" s="322" t="s">
        <v>366</v>
      </c>
      <c r="I40" s="322">
        <v>1901017587</v>
      </c>
      <c r="J40" s="322">
        <v>13023</v>
      </c>
      <c r="L40" s="322">
        <v>9230000</v>
      </c>
      <c r="M40" s="322">
        <v>109</v>
      </c>
      <c r="N40" s="322" t="s">
        <v>465</v>
      </c>
    </row>
    <row r="41" spans="1:14" s="204" customFormat="1" ht="14.25">
      <c r="A41" s="204">
        <v>2005</v>
      </c>
      <c r="B41" s="204">
        <v>4</v>
      </c>
      <c r="C41" s="204">
        <v>55553700</v>
      </c>
      <c r="D41" s="204">
        <v>530007</v>
      </c>
      <c r="E41" s="340">
        <v>746.24</v>
      </c>
      <c r="F41" s="204" t="s">
        <v>364</v>
      </c>
      <c r="G41" s="204" t="s">
        <v>397</v>
      </c>
      <c r="H41" s="204" t="s">
        <v>366</v>
      </c>
      <c r="I41" s="204">
        <v>1901017587</v>
      </c>
      <c r="J41" s="204">
        <v>13193</v>
      </c>
      <c r="L41" s="204">
        <v>9230000</v>
      </c>
      <c r="M41" s="204">
        <v>1</v>
      </c>
    </row>
    <row r="42" spans="1:14" s="204" customFormat="1" ht="14.25">
      <c r="A42" s="204">
        <v>2005</v>
      </c>
      <c r="B42" s="204">
        <v>4</v>
      </c>
      <c r="C42" s="204">
        <v>55553700</v>
      </c>
      <c r="D42" s="204">
        <v>530007</v>
      </c>
      <c r="E42" s="340">
        <v>466.4</v>
      </c>
      <c r="F42" s="204" t="s">
        <v>364</v>
      </c>
      <c r="G42" s="204" t="s">
        <v>398</v>
      </c>
      <c r="H42" s="204" t="s">
        <v>366</v>
      </c>
      <c r="I42" s="204">
        <v>1901017587</v>
      </c>
      <c r="J42" s="204">
        <v>10190</v>
      </c>
      <c r="L42" s="204">
        <v>9230000</v>
      </c>
      <c r="M42" s="204">
        <v>1</v>
      </c>
    </row>
    <row r="43" spans="1:14" s="204" customFormat="1" ht="14.25">
      <c r="A43" s="204">
        <v>2005</v>
      </c>
      <c r="B43" s="204">
        <v>4</v>
      </c>
      <c r="C43" s="204">
        <v>55553700</v>
      </c>
      <c r="D43" s="204">
        <v>530007</v>
      </c>
      <c r="E43" s="340">
        <v>326.48</v>
      </c>
      <c r="F43" s="204" t="s">
        <v>364</v>
      </c>
      <c r="G43" s="204" t="s">
        <v>399</v>
      </c>
      <c r="H43" s="204" t="s">
        <v>366</v>
      </c>
      <c r="I43" s="204">
        <v>1901017587</v>
      </c>
      <c r="J43" s="204">
        <v>11643</v>
      </c>
      <c r="L43" s="204">
        <v>9230000</v>
      </c>
      <c r="M43" s="204">
        <v>1</v>
      </c>
    </row>
    <row r="44" spans="1:14" s="204" customFormat="1" ht="14.25">
      <c r="A44" s="204">
        <v>2005</v>
      </c>
      <c r="B44" s="204">
        <v>4</v>
      </c>
      <c r="C44" s="204">
        <v>55553700</v>
      </c>
      <c r="D44" s="204">
        <v>530007</v>
      </c>
      <c r="E44" s="340">
        <v>326.48</v>
      </c>
      <c r="F44" s="204" t="s">
        <v>364</v>
      </c>
      <c r="G44" s="204" t="s">
        <v>400</v>
      </c>
      <c r="H44" s="204" t="s">
        <v>366</v>
      </c>
      <c r="I44" s="204">
        <v>1901017587</v>
      </c>
      <c r="J44" s="204">
        <v>13026</v>
      </c>
      <c r="L44" s="204">
        <v>9230000</v>
      </c>
      <c r="M44" s="204">
        <v>1</v>
      </c>
    </row>
    <row r="45" spans="1:14" s="322" customFormat="1" ht="14.25">
      <c r="A45" s="322">
        <v>2005</v>
      </c>
      <c r="B45" s="322">
        <v>4</v>
      </c>
      <c r="C45" s="322">
        <v>55553793</v>
      </c>
      <c r="D45" s="322">
        <v>530007</v>
      </c>
      <c r="E45" s="324">
        <v>746.24</v>
      </c>
      <c r="F45" s="322" t="s">
        <v>364</v>
      </c>
      <c r="G45" s="322" t="s">
        <v>396</v>
      </c>
      <c r="H45" s="322" t="s">
        <v>366</v>
      </c>
      <c r="I45" s="322">
        <v>1901017591</v>
      </c>
      <c r="J45" s="322">
        <v>13023</v>
      </c>
      <c r="L45" s="322">
        <v>9230000</v>
      </c>
      <c r="M45" s="322">
        <v>109</v>
      </c>
      <c r="N45" s="322" t="s">
        <v>465</v>
      </c>
    </row>
    <row r="46" spans="1:14" s="204" customFormat="1" ht="14.25">
      <c r="A46" s="204">
        <v>2005</v>
      </c>
      <c r="B46" s="204">
        <v>4</v>
      </c>
      <c r="C46" s="204">
        <v>55553793</v>
      </c>
      <c r="D46" s="204">
        <v>530007</v>
      </c>
      <c r="E46" s="340">
        <v>746.24</v>
      </c>
      <c r="F46" s="204" t="s">
        <v>364</v>
      </c>
      <c r="G46" s="204" t="s">
        <v>399</v>
      </c>
      <c r="H46" s="204" t="s">
        <v>366</v>
      </c>
      <c r="I46" s="204">
        <v>1901017591</v>
      </c>
      <c r="J46" s="204">
        <v>11643</v>
      </c>
      <c r="L46" s="204">
        <v>9230000</v>
      </c>
      <c r="M46" s="204">
        <v>1</v>
      </c>
    </row>
    <row r="47" spans="1:14" s="204" customFormat="1" ht="14.25">
      <c r="A47" s="204">
        <v>2005</v>
      </c>
      <c r="B47" s="204">
        <v>4</v>
      </c>
      <c r="C47" s="204">
        <v>55553793</v>
      </c>
      <c r="D47" s="204">
        <v>530007</v>
      </c>
      <c r="E47" s="340">
        <v>746.24</v>
      </c>
      <c r="F47" s="204" t="s">
        <v>364</v>
      </c>
      <c r="G47" s="204" t="s">
        <v>401</v>
      </c>
      <c r="H47" s="204" t="s">
        <v>366</v>
      </c>
      <c r="I47" s="204">
        <v>1901017591</v>
      </c>
      <c r="J47" s="204">
        <v>13150</v>
      </c>
      <c r="L47" s="204">
        <v>9230000</v>
      </c>
      <c r="M47" s="204">
        <v>1</v>
      </c>
    </row>
    <row r="48" spans="1:14" s="204" customFormat="1" ht="14.25">
      <c r="A48" s="204">
        <v>2005</v>
      </c>
      <c r="B48" s="204">
        <v>4</v>
      </c>
      <c r="C48" s="204">
        <v>55553793</v>
      </c>
      <c r="D48" s="204">
        <v>530007</v>
      </c>
      <c r="E48" s="340">
        <v>746.24</v>
      </c>
      <c r="F48" s="204" t="s">
        <v>364</v>
      </c>
      <c r="G48" s="204" t="s">
        <v>402</v>
      </c>
      <c r="H48" s="204" t="s">
        <v>366</v>
      </c>
      <c r="I48" s="204">
        <v>1901017591</v>
      </c>
      <c r="J48" s="204">
        <v>11654</v>
      </c>
      <c r="L48" s="204">
        <v>9230000</v>
      </c>
      <c r="M48" s="204">
        <v>1</v>
      </c>
    </row>
    <row r="49" spans="1:14" s="204" customFormat="1" ht="14.25">
      <c r="A49" s="204">
        <v>2005</v>
      </c>
      <c r="B49" s="204">
        <v>4</v>
      </c>
      <c r="C49" s="204">
        <v>55553793</v>
      </c>
      <c r="D49" s="204">
        <v>530007</v>
      </c>
      <c r="E49" s="340">
        <v>746.24</v>
      </c>
      <c r="F49" s="204" t="s">
        <v>364</v>
      </c>
      <c r="G49" s="204" t="s">
        <v>403</v>
      </c>
      <c r="H49" s="204" t="s">
        <v>366</v>
      </c>
      <c r="I49" s="204">
        <v>1901017591</v>
      </c>
      <c r="J49" s="204">
        <v>13193</v>
      </c>
      <c r="L49" s="204">
        <v>9230000</v>
      </c>
      <c r="M49" s="204">
        <v>1</v>
      </c>
    </row>
    <row r="50" spans="1:14" s="204" customFormat="1" ht="14.25">
      <c r="A50" s="204">
        <v>2005</v>
      </c>
      <c r="B50" s="204">
        <v>4</v>
      </c>
      <c r="C50" s="204">
        <v>55553793</v>
      </c>
      <c r="D50" s="204">
        <v>530007</v>
      </c>
      <c r="E50" s="340">
        <v>746.24</v>
      </c>
      <c r="F50" s="204" t="s">
        <v>364</v>
      </c>
      <c r="G50" s="204" t="s">
        <v>393</v>
      </c>
      <c r="H50" s="204" t="s">
        <v>366</v>
      </c>
      <c r="I50" s="204">
        <v>1901017591</v>
      </c>
      <c r="J50" s="204">
        <v>13383</v>
      </c>
      <c r="L50" s="204">
        <v>9230000</v>
      </c>
      <c r="M50" s="204">
        <v>1</v>
      </c>
    </row>
    <row r="51" spans="1:14" s="204" customFormat="1" ht="14.25">
      <c r="A51" s="204">
        <v>2005</v>
      </c>
      <c r="B51" s="204">
        <v>4</v>
      </c>
      <c r="C51" s="204">
        <v>55553793</v>
      </c>
      <c r="D51" s="204">
        <v>530007</v>
      </c>
      <c r="E51" s="340">
        <v>746.24</v>
      </c>
      <c r="F51" s="204" t="s">
        <v>364</v>
      </c>
      <c r="G51" s="204" t="s">
        <v>404</v>
      </c>
      <c r="H51" s="204" t="s">
        <v>366</v>
      </c>
      <c r="I51" s="204">
        <v>1901017591</v>
      </c>
      <c r="J51" s="204">
        <v>13024</v>
      </c>
      <c r="L51" s="204">
        <v>9230000</v>
      </c>
      <c r="M51" s="204">
        <v>1</v>
      </c>
    </row>
    <row r="52" spans="1:14" s="204" customFormat="1" ht="14.25">
      <c r="A52" s="204">
        <v>2005</v>
      </c>
      <c r="B52" s="204">
        <v>4</v>
      </c>
      <c r="C52" s="204">
        <v>55553851</v>
      </c>
      <c r="D52" s="204">
        <v>530007</v>
      </c>
      <c r="E52" s="340">
        <v>578.34</v>
      </c>
      <c r="F52" s="204" t="s">
        <v>364</v>
      </c>
      <c r="G52" s="204" t="s">
        <v>403</v>
      </c>
      <c r="H52" s="204" t="s">
        <v>366</v>
      </c>
      <c r="I52" s="204">
        <v>1901017601</v>
      </c>
      <c r="J52" s="204">
        <v>13193</v>
      </c>
      <c r="L52" s="204">
        <v>9230000</v>
      </c>
      <c r="M52" s="204">
        <v>1</v>
      </c>
    </row>
    <row r="53" spans="1:14" s="322" customFormat="1" ht="14.25">
      <c r="A53" s="322">
        <v>2005</v>
      </c>
      <c r="B53" s="322">
        <v>4</v>
      </c>
      <c r="C53" s="322">
        <v>55553851</v>
      </c>
      <c r="D53" s="322">
        <v>530007</v>
      </c>
      <c r="E53" s="324">
        <v>3749.86</v>
      </c>
      <c r="F53" s="322" t="s">
        <v>364</v>
      </c>
      <c r="G53" s="322" t="s">
        <v>396</v>
      </c>
      <c r="H53" s="322" t="s">
        <v>366</v>
      </c>
      <c r="I53" s="322">
        <v>1901017601</v>
      </c>
      <c r="J53" s="322">
        <v>13023</v>
      </c>
      <c r="L53" s="322">
        <v>9230000</v>
      </c>
      <c r="M53" s="322">
        <v>109</v>
      </c>
      <c r="N53" s="322" t="s">
        <v>465</v>
      </c>
    </row>
    <row r="54" spans="1:14" s="204" customFormat="1" ht="14.25">
      <c r="A54" s="204">
        <v>2005</v>
      </c>
      <c r="B54" s="204">
        <v>4</v>
      </c>
      <c r="C54" s="204">
        <v>55553851</v>
      </c>
      <c r="D54" s="204">
        <v>530007</v>
      </c>
      <c r="E54" s="340">
        <v>485.04</v>
      </c>
      <c r="F54" s="204" t="s">
        <v>364</v>
      </c>
      <c r="G54" s="204" t="s">
        <v>394</v>
      </c>
      <c r="H54" s="204" t="s">
        <v>366</v>
      </c>
      <c r="I54" s="204">
        <v>1901017601</v>
      </c>
      <c r="J54" s="204">
        <v>11622</v>
      </c>
      <c r="L54" s="204">
        <v>9230000</v>
      </c>
      <c r="M54" s="204">
        <v>1</v>
      </c>
    </row>
    <row r="55" spans="1:14" s="204" customFormat="1" ht="14.25">
      <c r="A55" s="204">
        <v>2005</v>
      </c>
      <c r="B55" s="204">
        <v>4</v>
      </c>
      <c r="C55" s="204">
        <v>55553847</v>
      </c>
      <c r="D55" s="204">
        <v>530007</v>
      </c>
      <c r="E55" s="340">
        <v>466.4</v>
      </c>
      <c r="F55" s="204" t="s">
        <v>364</v>
      </c>
      <c r="G55" s="204" t="s">
        <v>400</v>
      </c>
      <c r="H55" s="204" t="s">
        <v>366</v>
      </c>
      <c r="I55" s="204">
        <v>1901017598</v>
      </c>
      <c r="J55" s="204">
        <v>13026</v>
      </c>
      <c r="L55" s="204">
        <v>9230000</v>
      </c>
      <c r="M55" s="204">
        <v>1</v>
      </c>
    </row>
    <row r="56" spans="1:14" s="204" customFormat="1" ht="14.25">
      <c r="A56" s="204">
        <v>2005</v>
      </c>
      <c r="B56" s="204">
        <v>4</v>
      </c>
      <c r="C56" s="204">
        <v>55553857</v>
      </c>
      <c r="D56" s="204">
        <v>530007</v>
      </c>
      <c r="E56" s="340">
        <v>46.64</v>
      </c>
      <c r="F56" s="204" t="s">
        <v>364</v>
      </c>
      <c r="G56" s="204" t="s">
        <v>395</v>
      </c>
      <c r="H56" s="204" t="s">
        <v>366</v>
      </c>
      <c r="I56" s="204">
        <v>1901017604</v>
      </c>
      <c r="J56" s="204">
        <v>11883</v>
      </c>
      <c r="L56" s="204">
        <v>9230000</v>
      </c>
      <c r="M56" s="204">
        <v>1</v>
      </c>
    </row>
    <row r="57" spans="1:14" s="204" customFormat="1" ht="14.25">
      <c r="A57" s="204">
        <v>2005</v>
      </c>
      <c r="B57" s="204">
        <v>4</v>
      </c>
      <c r="C57" s="204">
        <v>55553857</v>
      </c>
      <c r="D57" s="204">
        <v>530007</v>
      </c>
      <c r="E57" s="340">
        <v>46.64</v>
      </c>
      <c r="F57" s="204" t="s">
        <v>364</v>
      </c>
      <c r="G57" s="204" t="s">
        <v>397</v>
      </c>
      <c r="H57" s="204" t="s">
        <v>366</v>
      </c>
      <c r="I57" s="204">
        <v>1901017604</v>
      </c>
      <c r="J57" s="204">
        <v>13193</v>
      </c>
      <c r="L57" s="204">
        <v>9230000</v>
      </c>
      <c r="M57" s="204">
        <v>1</v>
      </c>
    </row>
    <row r="58" spans="1:14" s="204" customFormat="1" ht="14.25">
      <c r="A58" s="204">
        <v>2005</v>
      </c>
      <c r="B58" s="204">
        <v>4</v>
      </c>
      <c r="C58" s="204">
        <v>55553857</v>
      </c>
      <c r="D58" s="204">
        <v>530007</v>
      </c>
      <c r="E58" s="340">
        <v>46.64</v>
      </c>
      <c r="F58" s="204" t="s">
        <v>364</v>
      </c>
      <c r="G58" s="204" t="s">
        <v>400</v>
      </c>
      <c r="H58" s="204" t="s">
        <v>366</v>
      </c>
      <c r="I58" s="204">
        <v>1901017604</v>
      </c>
      <c r="J58" s="204">
        <v>13026</v>
      </c>
      <c r="L58" s="204">
        <v>9230000</v>
      </c>
      <c r="M58" s="204">
        <v>1</v>
      </c>
    </row>
    <row r="59" spans="1:14" s="204" customFormat="1" ht="14.25">
      <c r="A59" s="204">
        <v>2005</v>
      </c>
      <c r="B59" s="204">
        <v>4</v>
      </c>
      <c r="C59" s="204">
        <v>55553857</v>
      </c>
      <c r="D59" s="204">
        <v>530007</v>
      </c>
      <c r="E59" s="340">
        <v>46.64</v>
      </c>
      <c r="F59" s="204" t="s">
        <v>364</v>
      </c>
      <c r="G59" s="204" t="s">
        <v>405</v>
      </c>
      <c r="H59" s="204" t="s">
        <v>366</v>
      </c>
      <c r="I59" s="204">
        <v>1901017604</v>
      </c>
      <c r="J59" s="204">
        <v>11622</v>
      </c>
      <c r="L59" s="204">
        <v>9230000</v>
      </c>
      <c r="M59" s="204">
        <v>1</v>
      </c>
    </row>
    <row r="60" spans="1:14" s="204" customFormat="1" ht="14.25">
      <c r="A60" s="204">
        <v>2005</v>
      </c>
      <c r="B60" s="204">
        <v>4</v>
      </c>
      <c r="C60" s="204">
        <v>55553857</v>
      </c>
      <c r="D60" s="204">
        <v>530007</v>
      </c>
      <c r="E60" s="340">
        <v>46.64</v>
      </c>
      <c r="F60" s="204" t="s">
        <v>364</v>
      </c>
      <c r="G60" s="204" t="s">
        <v>403</v>
      </c>
      <c r="H60" s="204" t="s">
        <v>366</v>
      </c>
      <c r="I60" s="204">
        <v>1901017604</v>
      </c>
      <c r="J60" s="204">
        <v>13193</v>
      </c>
      <c r="L60" s="204">
        <v>9230000</v>
      </c>
      <c r="M60" s="204">
        <v>1</v>
      </c>
    </row>
    <row r="61" spans="1:14" s="204" customFormat="1" ht="14.25">
      <c r="A61" s="204">
        <v>2005</v>
      </c>
      <c r="B61" s="204">
        <v>4</v>
      </c>
      <c r="C61" s="204">
        <v>55553857</v>
      </c>
      <c r="D61" s="204">
        <v>530007</v>
      </c>
      <c r="E61" s="340">
        <v>46.64</v>
      </c>
      <c r="F61" s="204" t="s">
        <v>364</v>
      </c>
      <c r="G61" s="204" t="s">
        <v>393</v>
      </c>
      <c r="H61" s="204" t="s">
        <v>366</v>
      </c>
      <c r="I61" s="204">
        <v>1901017604</v>
      </c>
      <c r="J61" s="204">
        <v>13383</v>
      </c>
      <c r="L61" s="204">
        <v>9230000</v>
      </c>
      <c r="M61" s="204">
        <v>1</v>
      </c>
    </row>
    <row r="62" spans="1:14" s="322" customFormat="1" ht="14.25">
      <c r="A62" s="322">
        <v>2005</v>
      </c>
      <c r="B62" s="322">
        <v>4</v>
      </c>
      <c r="C62" s="322">
        <v>55553857</v>
      </c>
      <c r="D62" s="322">
        <v>530007</v>
      </c>
      <c r="E62" s="324">
        <v>46.64</v>
      </c>
      <c r="F62" s="322" t="s">
        <v>364</v>
      </c>
      <c r="G62" s="322" t="s">
        <v>396</v>
      </c>
      <c r="H62" s="322" t="s">
        <v>366</v>
      </c>
      <c r="I62" s="322">
        <v>1901017604</v>
      </c>
      <c r="J62" s="322">
        <v>13023</v>
      </c>
      <c r="L62" s="322">
        <v>9230000</v>
      </c>
      <c r="M62" s="322">
        <v>109</v>
      </c>
      <c r="N62" s="322" t="s">
        <v>465</v>
      </c>
    </row>
    <row r="63" spans="1:14" s="204" customFormat="1" ht="14.25">
      <c r="A63" s="204">
        <v>2005</v>
      </c>
      <c r="B63" s="204">
        <v>4</v>
      </c>
      <c r="C63" s="204">
        <v>55553857</v>
      </c>
      <c r="D63" s="204">
        <v>530007</v>
      </c>
      <c r="E63" s="340">
        <v>46.64</v>
      </c>
      <c r="F63" s="204" t="s">
        <v>364</v>
      </c>
      <c r="G63" s="204" t="s">
        <v>399</v>
      </c>
      <c r="H63" s="204" t="s">
        <v>366</v>
      </c>
      <c r="I63" s="204">
        <v>1901017604</v>
      </c>
      <c r="J63" s="204">
        <v>11643</v>
      </c>
      <c r="L63" s="204">
        <v>9230000</v>
      </c>
      <c r="M63" s="204">
        <v>1</v>
      </c>
    </row>
    <row r="64" spans="1:14" s="204" customFormat="1" ht="14.25">
      <c r="A64" s="204">
        <v>2005</v>
      </c>
      <c r="B64" s="204">
        <v>4</v>
      </c>
      <c r="C64" s="204">
        <v>55553857</v>
      </c>
      <c r="D64" s="204">
        <v>530007</v>
      </c>
      <c r="E64" s="340">
        <v>46.64</v>
      </c>
      <c r="F64" s="204" t="s">
        <v>364</v>
      </c>
      <c r="G64" s="204" t="s">
        <v>401</v>
      </c>
      <c r="H64" s="204" t="s">
        <v>366</v>
      </c>
      <c r="I64" s="204">
        <v>1901017604</v>
      </c>
      <c r="J64" s="204">
        <v>13150</v>
      </c>
      <c r="L64" s="204">
        <v>9230000</v>
      </c>
      <c r="M64" s="204">
        <v>1</v>
      </c>
    </row>
    <row r="65" spans="1:13" s="204" customFormat="1" ht="14.25">
      <c r="A65" s="204">
        <v>2005</v>
      </c>
      <c r="B65" s="204">
        <v>4</v>
      </c>
      <c r="C65" s="204">
        <v>55553857</v>
      </c>
      <c r="D65" s="204">
        <v>530007</v>
      </c>
      <c r="E65" s="340">
        <v>46.64</v>
      </c>
      <c r="F65" s="204" t="s">
        <v>364</v>
      </c>
      <c r="G65" s="204" t="s">
        <v>402</v>
      </c>
      <c r="H65" s="204" t="s">
        <v>366</v>
      </c>
      <c r="I65" s="204">
        <v>1901017604</v>
      </c>
      <c r="J65" s="204">
        <v>11654</v>
      </c>
      <c r="L65" s="204">
        <v>9230000</v>
      </c>
      <c r="M65" s="204">
        <v>1</v>
      </c>
    </row>
    <row r="66" spans="1:13" s="204" customFormat="1" ht="14.25">
      <c r="A66" s="204">
        <v>2005</v>
      </c>
      <c r="B66" s="204">
        <v>4</v>
      </c>
      <c r="C66" s="204">
        <v>55553857</v>
      </c>
      <c r="D66" s="204">
        <v>530007</v>
      </c>
      <c r="E66" s="340">
        <v>46.64</v>
      </c>
      <c r="F66" s="204" t="s">
        <v>364</v>
      </c>
      <c r="G66" s="204" t="s">
        <v>394</v>
      </c>
      <c r="H66" s="204" t="s">
        <v>366</v>
      </c>
      <c r="I66" s="204">
        <v>1901017604</v>
      </c>
      <c r="J66" s="204">
        <v>11622</v>
      </c>
      <c r="L66" s="204">
        <v>9230000</v>
      </c>
      <c r="M66" s="204">
        <v>1</v>
      </c>
    </row>
    <row r="67" spans="1:13" s="204" customFormat="1" ht="14.25">
      <c r="A67" s="204">
        <v>2005</v>
      </c>
      <c r="B67" s="204">
        <v>4</v>
      </c>
      <c r="C67" s="204">
        <v>55553857</v>
      </c>
      <c r="D67" s="204">
        <v>530007</v>
      </c>
      <c r="E67" s="340">
        <v>46.64</v>
      </c>
      <c r="F67" s="204" t="s">
        <v>364</v>
      </c>
      <c r="G67" s="204" t="s">
        <v>406</v>
      </c>
      <c r="H67" s="204" t="s">
        <v>366</v>
      </c>
      <c r="I67" s="204">
        <v>1901017604</v>
      </c>
      <c r="J67" s="204">
        <v>11676</v>
      </c>
      <c r="L67" s="204">
        <v>9230000</v>
      </c>
      <c r="M67" s="204">
        <v>1</v>
      </c>
    </row>
    <row r="68" spans="1:13" s="204" customFormat="1" ht="14.25">
      <c r="A68" s="204">
        <v>2005</v>
      </c>
      <c r="B68" s="204">
        <v>4</v>
      </c>
      <c r="C68" s="204">
        <v>55557013</v>
      </c>
      <c r="D68" s="204">
        <v>530007</v>
      </c>
      <c r="E68" s="340">
        <v>699.6</v>
      </c>
      <c r="F68" s="204" t="s">
        <v>364</v>
      </c>
      <c r="G68" s="204" t="s">
        <v>407</v>
      </c>
      <c r="H68" s="204" t="s">
        <v>366</v>
      </c>
      <c r="I68" s="204">
        <v>1901017616</v>
      </c>
      <c r="J68" s="204">
        <v>12633</v>
      </c>
      <c r="L68" s="204">
        <v>9230000</v>
      </c>
      <c r="M68" s="204">
        <v>1</v>
      </c>
    </row>
    <row r="69" spans="1:13" s="204" customFormat="1" ht="14.25">
      <c r="A69" s="204">
        <v>2005</v>
      </c>
      <c r="B69" s="204">
        <v>4</v>
      </c>
      <c r="C69" s="204">
        <v>55557013</v>
      </c>
      <c r="D69" s="204">
        <v>530007</v>
      </c>
      <c r="E69" s="340">
        <v>298.5</v>
      </c>
      <c r="F69" s="204" t="s">
        <v>364</v>
      </c>
      <c r="G69" s="204" t="s">
        <v>394</v>
      </c>
      <c r="H69" s="204" t="s">
        <v>366</v>
      </c>
      <c r="I69" s="204">
        <v>1901017616</v>
      </c>
      <c r="J69" s="204">
        <v>11622</v>
      </c>
      <c r="L69" s="204">
        <v>9230000</v>
      </c>
      <c r="M69" s="204">
        <v>1</v>
      </c>
    </row>
    <row r="70" spans="1:13" s="204" customFormat="1" ht="14.25">
      <c r="A70" s="204">
        <v>2005</v>
      </c>
      <c r="B70" s="204">
        <v>4</v>
      </c>
      <c r="C70" s="204">
        <v>55557013</v>
      </c>
      <c r="D70" s="204">
        <v>530007</v>
      </c>
      <c r="E70" s="340">
        <v>373.12</v>
      </c>
      <c r="F70" s="204" t="s">
        <v>364</v>
      </c>
      <c r="G70" s="204" t="s">
        <v>399</v>
      </c>
      <c r="H70" s="204" t="s">
        <v>366</v>
      </c>
      <c r="I70" s="204">
        <v>1901017616</v>
      </c>
      <c r="J70" s="204">
        <v>11643</v>
      </c>
      <c r="L70" s="204">
        <v>9230000</v>
      </c>
      <c r="M70" s="204">
        <v>1</v>
      </c>
    </row>
    <row r="71" spans="1:13" s="204" customFormat="1" ht="14.25">
      <c r="A71" s="204">
        <v>2005</v>
      </c>
      <c r="B71" s="204">
        <v>4</v>
      </c>
      <c r="C71" s="204">
        <v>55557013</v>
      </c>
      <c r="D71" s="204">
        <v>530007</v>
      </c>
      <c r="E71" s="340">
        <v>186.56</v>
      </c>
      <c r="F71" s="204" t="s">
        <v>364</v>
      </c>
      <c r="G71" s="204" t="s">
        <v>403</v>
      </c>
      <c r="H71" s="204" t="s">
        <v>366</v>
      </c>
      <c r="I71" s="204">
        <v>1901017616</v>
      </c>
      <c r="J71" s="204">
        <v>13193</v>
      </c>
      <c r="L71" s="204">
        <v>9230000</v>
      </c>
      <c r="M71" s="204">
        <v>1</v>
      </c>
    </row>
    <row r="72" spans="1:13" s="204" customFormat="1" ht="14.25">
      <c r="A72" s="204">
        <v>2005</v>
      </c>
      <c r="B72" s="204">
        <v>4</v>
      </c>
      <c r="C72" s="204">
        <v>55557013</v>
      </c>
      <c r="D72" s="204">
        <v>530007</v>
      </c>
      <c r="E72" s="340">
        <v>419.76</v>
      </c>
      <c r="F72" s="204" t="s">
        <v>364</v>
      </c>
      <c r="G72" s="204" t="s">
        <v>408</v>
      </c>
      <c r="H72" s="204" t="s">
        <v>366</v>
      </c>
      <c r="I72" s="204">
        <v>1901017616</v>
      </c>
      <c r="J72" s="204">
        <v>13333</v>
      </c>
      <c r="L72" s="204">
        <v>9230000</v>
      </c>
      <c r="M72" s="204">
        <v>1</v>
      </c>
    </row>
    <row r="73" spans="1:13" s="204" customFormat="1" ht="14.25">
      <c r="A73" s="204">
        <v>2005</v>
      </c>
      <c r="B73" s="204">
        <v>4</v>
      </c>
      <c r="C73" s="204">
        <v>56012417</v>
      </c>
      <c r="D73" s="204">
        <v>530007</v>
      </c>
      <c r="E73" s="340">
        <v>1780</v>
      </c>
      <c r="F73" s="204" t="s">
        <v>409</v>
      </c>
      <c r="G73" s="204" t="s">
        <v>410</v>
      </c>
      <c r="H73" s="204" t="s">
        <v>366</v>
      </c>
      <c r="I73" s="204">
        <v>1901027571</v>
      </c>
      <c r="J73" s="204">
        <v>13026</v>
      </c>
      <c r="L73" s="204">
        <v>9230000</v>
      </c>
      <c r="M73" s="204">
        <v>1</v>
      </c>
    </row>
    <row r="74" spans="1:13" s="204" customFormat="1" ht="14.25">
      <c r="A74" s="204">
        <v>2005</v>
      </c>
      <c r="B74" s="204">
        <v>5</v>
      </c>
      <c r="C74" s="204">
        <v>57200772</v>
      </c>
      <c r="D74" s="204">
        <v>530007</v>
      </c>
      <c r="E74" s="340">
        <v>1525.19</v>
      </c>
      <c r="F74" s="204" t="s">
        <v>364</v>
      </c>
      <c r="G74" s="204" t="s">
        <v>379</v>
      </c>
      <c r="H74" s="204" t="s">
        <v>366</v>
      </c>
      <c r="I74" s="204">
        <v>1901041906</v>
      </c>
      <c r="J74" s="204">
        <v>13026</v>
      </c>
      <c r="L74" s="204">
        <v>9230000</v>
      </c>
      <c r="M74" s="204">
        <v>1</v>
      </c>
    </row>
    <row r="75" spans="1:13" s="204" customFormat="1" ht="14.25">
      <c r="A75" s="204">
        <v>2005</v>
      </c>
      <c r="B75" s="204">
        <v>5</v>
      </c>
      <c r="C75" s="204">
        <v>57562406</v>
      </c>
      <c r="D75" s="204">
        <v>530007</v>
      </c>
      <c r="E75" s="340">
        <v>123.2</v>
      </c>
      <c r="F75" s="204" t="s">
        <v>411</v>
      </c>
      <c r="G75" s="204" t="s">
        <v>412</v>
      </c>
      <c r="H75" s="204" t="s">
        <v>366</v>
      </c>
      <c r="I75" s="204">
        <v>1901045117</v>
      </c>
      <c r="J75" s="204">
        <v>11656</v>
      </c>
      <c r="L75" s="204">
        <v>9230000</v>
      </c>
      <c r="M75" s="204">
        <v>1</v>
      </c>
    </row>
    <row r="76" spans="1:13" s="204" customFormat="1" ht="14.25">
      <c r="A76" s="204">
        <v>2005</v>
      </c>
      <c r="B76" s="204">
        <v>5</v>
      </c>
      <c r="C76" s="204">
        <v>57562405</v>
      </c>
      <c r="D76" s="204">
        <v>530007</v>
      </c>
      <c r="E76" s="340">
        <v>28.55</v>
      </c>
      <c r="F76" s="204" t="s">
        <v>411</v>
      </c>
      <c r="G76" s="204" t="s">
        <v>412</v>
      </c>
      <c r="H76" s="204" t="s">
        <v>366</v>
      </c>
      <c r="I76" s="204">
        <v>1901045116</v>
      </c>
      <c r="J76" s="204">
        <v>11656</v>
      </c>
      <c r="L76" s="204">
        <v>9230000</v>
      </c>
      <c r="M76" s="204">
        <v>1</v>
      </c>
    </row>
    <row r="77" spans="1:13" s="204" customFormat="1" ht="14.25">
      <c r="A77" s="204">
        <v>2005</v>
      </c>
      <c r="B77" s="204">
        <v>8</v>
      </c>
      <c r="C77" s="204">
        <v>60710468</v>
      </c>
      <c r="D77" s="204">
        <v>530007</v>
      </c>
      <c r="E77" s="340">
        <v>47.1</v>
      </c>
      <c r="F77" s="204" t="s">
        <v>409</v>
      </c>
      <c r="G77" s="204" t="s">
        <v>412</v>
      </c>
      <c r="H77" s="204" t="s">
        <v>366</v>
      </c>
      <c r="I77" s="204">
        <v>1901106422</v>
      </c>
      <c r="J77" s="204">
        <v>11620</v>
      </c>
      <c r="L77" s="204">
        <v>9230000</v>
      </c>
      <c r="M77" s="204">
        <v>1</v>
      </c>
    </row>
    <row r="78" spans="1:13" s="204" customFormat="1" ht="14.25">
      <c r="A78" s="204">
        <v>2005</v>
      </c>
      <c r="B78" s="204">
        <v>8</v>
      </c>
      <c r="C78" s="204">
        <v>60710464</v>
      </c>
      <c r="D78" s="204">
        <v>530007</v>
      </c>
      <c r="E78" s="340">
        <v>146.59</v>
      </c>
      <c r="F78" s="204" t="s">
        <v>409</v>
      </c>
      <c r="G78" s="204" t="s">
        <v>412</v>
      </c>
      <c r="H78" s="204" t="s">
        <v>366</v>
      </c>
      <c r="I78" s="204">
        <v>1901106420</v>
      </c>
      <c r="J78" s="204">
        <v>11620</v>
      </c>
      <c r="L78" s="204">
        <v>9230000</v>
      </c>
      <c r="M78" s="204">
        <v>1</v>
      </c>
    </row>
    <row r="79" spans="1:13" s="204" customFormat="1" ht="14.25">
      <c r="A79" s="204">
        <v>2005</v>
      </c>
      <c r="B79" s="204">
        <v>8</v>
      </c>
      <c r="C79" s="204">
        <v>60710478</v>
      </c>
      <c r="D79" s="204">
        <v>530007</v>
      </c>
      <c r="E79" s="340">
        <v>148.59</v>
      </c>
      <c r="F79" s="204" t="s">
        <v>409</v>
      </c>
      <c r="G79" s="204" t="s">
        <v>412</v>
      </c>
      <c r="H79" s="204" t="s">
        <v>366</v>
      </c>
      <c r="I79" s="204">
        <v>1901106424</v>
      </c>
      <c r="J79" s="204">
        <v>11620</v>
      </c>
      <c r="L79" s="204">
        <v>9230000</v>
      </c>
      <c r="M79" s="204">
        <v>1</v>
      </c>
    </row>
    <row r="80" spans="1:13" s="204" customFormat="1" ht="14.25">
      <c r="A80" s="204">
        <v>2005</v>
      </c>
      <c r="B80" s="204">
        <v>9</v>
      </c>
      <c r="C80" s="204">
        <v>61197248</v>
      </c>
      <c r="D80" s="204">
        <v>530007</v>
      </c>
      <c r="E80" s="340">
        <v>11375</v>
      </c>
      <c r="F80" s="204" t="s">
        <v>390</v>
      </c>
      <c r="G80" s="204" t="s">
        <v>413</v>
      </c>
      <c r="H80" s="204" t="s">
        <v>366</v>
      </c>
      <c r="I80" s="204">
        <v>1901115296</v>
      </c>
      <c r="J80" s="204">
        <v>11656</v>
      </c>
      <c r="L80" s="204">
        <v>9230000</v>
      </c>
      <c r="M80" s="204">
        <v>1</v>
      </c>
    </row>
    <row r="81" spans="1:14" s="204" customFormat="1" ht="14.25">
      <c r="A81" s="204">
        <v>2005</v>
      </c>
      <c r="B81" s="204">
        <v>10</v>
      </c>
      <c r="C81" s="204">
        <v>62819420</v>
      </c>
      <c r="D81" s="204">
        <v>530007</v>
      </c>
      <c r="E81" s="340">
        <v>239.43</v>
      </c>
      <c r="F81" s="204" t="s">
        <v>414</v>
      </c>
      <c r="G81" s="204" t="s">
        <v>412</v>
      </c>
      <c r="H81" s="204" t="s">
        <v>366</v>
      </c>
      <c r="I81" s="204">
        <v>1901136978</v>
      </c>
      <c r="J81" s="204">
        <v>11620</v>
      </c>
      <c r="L81" s="204">
        <v>9230000</v>
      </c>
      <c r="M81" s="204">
        <v>1</v>
      </c>
    </row>
    <row r="82" spans="1:14" s="204" customFormat="1" ht="14.25">
      <c r="A82" s="204">
        <v>2005</v>
      </c>
      <c r="B82" s="204">
        <v>10</v>
      </c>
      <c r="C82" s="204">
        <v>62819417</v>
      </c>
      <c r="D82" s="204">
        <v>530007</v>
      </c>
      <c r="E82" s="340">
        <v>47.1</v>
      </c>
      <c r="F82" s="204" t="s">
        <v>414</v>
      </c>
      <c r="G82" s="204" t="s">
        <v>412</v>
      </c>
      <c r="H82" s="204" t="s">
        <v>366</v>
      </c>
      <c r="I82" s="204">
        <v>1901136975</v>
      </c>
      <c r="J82" s="204">
        <v>11620</v>
      </c>
      <c r="L82" s="204">
        <v>9230000</v>
      </c>
      <c r="M82" s="204">
        <v>1</v>
      </c>
    </row>
    <row r="83" spans="1:14" s="204" customFormat="1" ht="14.25">
      <c r="A83" s="204">
        <v>2005</v>
      </c>
      <c r="B83" s="204">
        <v>10</v>
      </c>
      <c r="C83" s="204">
        <v>63076827</v>
      </c>
      <c r="D83" s="204">
        <v>530007</v>
      </c>
      <c r="E83" s="340">
        <v>714.94</v>
      </c>
      <c r="F83" s="204" t="s">
        <v>415</v>
      </c>
      <c r="G83" s="204" t="s">
        <v>416</v>
      </c>
      <c r="H83" s="204" t="s">
        <v>366</v>
      </c>
      <c r="I83" s="204">
        <v>1901146179</v>
      </c>
      <c r="J83" s="204">
        <v>12633</v>
      </c>
      <c r="L83" s="204">
        <v>9230000</v>
      </c>
      <c r="M83" s="204">
        <v>1</v>
      </c>
    </row>
    <row r="84" spans="1:14" s="204" customFormat="1" ht="14.25">
      <c r="A84" s="204">
        <v>2005</v>
      </c>
      <c r="B84" s="204">
        <v>10</v>
      </c>
      <c r="C84" s="204">
        <v>63076827</v>
      </c>
      <c r="D84" s="204">
        <v>530007</v>
      </c>
      <c r="E84" s="340">
        <v>6367.71</v>
      </c>
      <c r="F84" s="204" t="s">
        <v>415</v>
      </c>
      <c r="G84" s="204" t="s">
        <v>417</v>
      </c>
      <c r="H84" s="204" t="s">
        <v>366</v>
      </c>
      <c r="I84" s="204">
        <v>1901146179</v>
      </c>
      <c r="J84" s="204">
        <v>13581</v>
      </c>
      <c r="L84" s="204">
        <v>9230000</v>
      </c>
      <c r="M84" s="204">
        <v>1</v>
      </c>
    </row>
    <row r="85" spans="1:14" s="204" customFormat="1" ht="14.25">
      <c r="A85" s="204">
        <v>2005</v>
      </c>
      <c r="B85" s="204">
        <v>10</v>
      </c>
      <c r="C85" s="204">
        <v>63076827</v>
      </c>
      <c r="D85" s="204">
        <v>530007</v>
      </c>
      <c r="E85" s="340">
        <v>3288.71</v>
      </c>
      <c r="F85" s="204" t="s">
        <v>415</v>
      </c>
      <c r="G85" s="204" t="s">
        <v>418</v>
      </c>
      <c r="H85" s="204" t="s">
        <v>366</v>
      </c>
      <c r="I85" s="204">
        <v>1901146179</v>
      </c>
      <c r="J85" s="204">
        <v>11643</v>
      </c>
      <c r="L85" s="204">
        <v>9230000</v>
      </c>
      <c r="M85" s="204">
        <v>1</v>
      </c>
    </row>
    <row r="86" spans="1:14" s="322" customFormat="1" ht="14.25">
      <c r="A86" s="322">
        <v>2005</v>
      </c>
      <c r="B86" s="322">
        <v>10</v>
      </c>
      <c r="C86" s="322">
        <v>63076827</v>
      </c>
      <c r="D86" s="322">
        <v>530007</v>
      </c>
      <c r="E86" s="324">
        <v>1429.88</v>
      </c>
      <c r="F86" s="322" t="s">
        <v>415</v>
      </c>
      <c r="G86" s="322" t="s">
        <v>419</v>
      </c>
      <c r="H86" s="322" t="s">
        <v>366</v>
      </c>
      <c r="I86" s="322">
        <v>1901146179</v>
      </c>
      <c r="J86" s="322">
        <v>13023</v>
      </c>
      <c r="L86" s="322">
        <v>9230000</v>
      </c>
      <c r="M86" s="322">
        <v>109</v>
      </c>
      <c r="N86" s="322" t="s">
        <v>465</v>
      </c>
    </row>
    <row r="87" spans="1:14" s="204" customFormat="1" ht="14.25">
      <c r="A87" s="204">
        <v>2005</v>
      </c>
      <c r="B87" s="204">
        <v>10</v>
      </c>
      <c r="C87" s="204">
        <v>63076827</v>
      </c>
      <c r="D87" s="204">
        <v>530007</v>
      </c>
      <c r="E87" s="340">
        <v>367.6</v>
      </c>
      <c r="F87" s="204" t="s">
        <v>415</v>
      </c>
      <c r="G87" s="204" t="s">
        <v>420</v>
      </c>
      <c r="H87" s="204" t="s">
        <v>366</v>
      </c>
      <c r="I87" s="204">
        <v>1901146179</v>
      </c>
      <c r="K87" s="204">
        <v>213488</v>
      </c>
      <c r="L87" s="204">
        <v>9230000</v>
      </c>
      <c r="M87" s="204">
        <v>1</v>
      </c>
    </row>
    <row r="88" spans="1:14" s="204" customFormat="1" ht="14.25">
      <c r="A88" s="204">
        <v>2005</v>
      </c>
      <c r="B88" s="204">
        <v>10</v>
      </c>
      <c r="C88" s="204">
        <v>63076827</v>
      </c>
      <c r="D88" s="204">
        <v>530007</v>
      </c>
      <c r="E88" s="340">
        <v>367.69</v>
      </c>
      <c r="F88" s="204" t="s">
        <v>415</v>
      </c>
      <c r="G88" s="204" t="s">
        <v>417</v>
      </c>
      <c r="H88" s="204" t="s">
        <v>366</v>
      </c>
      <c r="I88" s="204">
        <v>1901146179</v>
      </c>
      <c r="J88" s="204">
        <v>13581</v>
      </c>
      <c r="L88" s="204">
        <v>9230000</v>
      </c>
      <c r="M88" s="204">
        <v>1</v>
      </c>
    </row>
    <row r="89" spans="1:14" s="204" customFormat="1" ht="14.25">
      <c r="A89" s="204">
        <v>2005</v>
      </c>
      <c r="B89" s="204">
        <v>10</v>
      </c>
      <c r="C89" s="204">
        <v>63076827</v>
      </c>
      <c r="D89" s="204">
        <v>530007</v>
      </c>
      <c r="E89" s="340">
        <v>367.69</v>
      </c>
      <c r="F89" s="204" t="s">
        <v>415</v>
      </c>
      <c r="G89" s="204" t="s">
        <v>418</v>
      </c>
      <c r="H89" s="204" t="s">
        <v>366</v>
      </c>
      <c r="I89" s="204">
        <v>1901146179</v>
      </c>
      <c r="J89" s="204">
        <v>11643</v>
      </c>
      <c r="L89" s="204">
        <v>9230000</v>
      </c>
      <c r="M89" s="204">
        <v>1</v>
      </c>
    </row>
    <row r="90" spans="1:14" s="204" customFormat="1" ht="14.25">
      <c r="A90" s="204">
        <v>2005</v>
      </c>
      <c r="B90" s="204">
        <v>10</v>
      </c>
      <c r="C90" s="204">
        <v>63076827</v>
      </c>
      <c r="D90" s="204">
        <v>530007</v>
      </c>
      <c r="E90" s="340">
        <v>367.69</v>
      </c>
      <c r="F90" s="204" t="s">
        <v>415</v>
      </c>
      <c r="G90" s="204" t="s">
        <v>421</v>
      </c>
      <c r="H90" s="204" t="s">
        <v>366</v>
      </c>
      <c r="I90" s="204">
        <v>1901146179</v>
      </c>
      <c r="K90" s="204">
        <v>213488</v>
      </c>
      <c r="L90" s="204">
        <v>9230000</v>
      </c>
      <c r="M90" s="204">
        <v>1</v>
      </c>
    </row>
    <row r="91" spans="1:14" s="204" customFormat="1" ht="14.25">
      <c r="A91" s="204">
        <v>2005</v>
      </c>
      <c r="B91" s="204">
        <v>10</v>
      </c>
      <c r="C91" s="204">
        <v>63076827</v>
      </c>
      <c r="D91" s="204">
        <v>530007</v>
      </c>
      <c r="E91" s="340">
        <v>367.69</v>
      </c>
      <c r="F91" s="204" t="s">
        <v>415</v>
      </c>
      <c r="G91" s="204" t="s">
        <v>422</v>
      </c>
      <c r="H91" s="204" t="s">
        <v>366</v>
      </c>
      <c r="I91" s="204">
        <v>1901146179</v>
      </c>
      <c r="J91" s="204">
        <v>13193</v>
      </c>
      <c r="L91" s="204">
        <v>9230000</v>
      </c>
      <c r="M91" s="204">
        <v>1</v>
      </c>
    </row>
    <row r="92" spans="1:14" s="204" customFormat="1" ht="14.25">
      <c r="A92" s="204">
        <v>2005</v>
      </c>
      <c r="B92" s="204">
        <v>10</v>
      </c>
      <c r="C92" s="204">
        <v>63076827</v>
      </c>
      <c r="D92" s="204">
        <v>530007</v>
      </c>
      <c r="E92" s="340">
        <v>367.69</v>
      </c>
      <c r="F92" s="204" t="s">
        <v>415</v>
      </c>
      <c r="G92" s="204" t="s">
        <v>423</v>
      </c>
      <c r="H92" s="204" t="s">
        <v>366</v>
      </c>
      <c r="I92" s="204">
        <v>1901146179</v>
      </c>
      <c r="K92" s="204">
        <v>213488</v>
      </c>
      <c r="L92" s="204">
        <v>9230000</v>
      </c>
      <c r="M92" s="204">
        <v>1</v>
      </c>
    </row>
    <row r="93" spans="1:14" s="204" customFormat="1" ht="14.25">
      <c r="A93" s="204">
        <v>2005</v>
      </c>
      <c r="B93" s="204">
        <v>10</v>
      </c>
      <c r="C93" s="204">
        <v>63076827</v>
      </c>
      <c r="D93" s="204">
        <v>530007</v>
      </c>
      <c r="E93" s="340">
        <v>367.69</v>
      </c>
      <c r="F93" s="204" t="s">
        <v>415</v>
      </c>
      <c r="G93" s="204" t="s">
        <v>424</v>
      </c>
      <c r="H93" s="204" t="s">
        <v>366</v>
      </c>
      <c r="I93" s="204">
        <v>1901146179</v>
      </c>
      <c r="J93" s="204">
        <v>11654</v>
      </c>
      <c r="L93" s="204">
        <v>9230000</v>
      </c>
      <c r="M93" s="204">
        <v>1</v>
      </c>
    </row>
    <row r="94" spans="1:14" s="204" customFormat="1" ht="14.25">
      <c r="A94" s="204">
        <v>2005</v>
      </c>
      <c r="B94" s="204">
        <v>10</v>
      </c>
      <c r="C94" s="204">
        <v>63076827</v>
      </c>
      <c r="D94" s="204">
        <v>530007</v>
      </c>
      <c r="E94" s="340">
        <v>1286.8900000000001</v>
      </c>
      <c r="F94" s="204" t="s">
        <v>415</v>
      </c>
      <c r="G94" s="204" t="s">
        <v>425</v>
      </c>
      <c r="H94" s="204" t="s">
        <v>366</v>
      </c>
      <c r="I94" s="204">
        <v>1901146179</v>
      </c>
      <c r="J94" s="204">
        <v>13024</v>
      </c>
      <c r="L94" s="204">
        <v>9230000</v>
      </c>
      <c r="M94" s="204">
        <v>1</v>
      </c>
    </row>
    <row r="95" spans="1:14" s="204" customFormat="1" ht="14.25">
      <c r="A95" s="204">
        <v>2005</v>
      </c>
      <c r="B95" s="204">
        <v>10</v>
      </c>
      <c r="C95" s="204">
        <v>63076827</v>
      </c>
      <c r="D95" s="204">
        <v>530007</v>
      </c>
      <c r="E95" s="340">
        <v>714.94</v>
      </c>
      <c r="F95" s="204" t="s">
        <v>415</v>
      </c>
      <c r="G95" s="204" t="s">
        <v>426</v>
      </c>
      <c r="H95" s="204" t="s">
        <v>366</v>
      </c>
      <c r="I95" s="204">
        <v>1901146179</v>
      </c>
      <c r="J95" s="204">
        <v>13024</v>
      </c>
      <c r="L95" s="204">
        <v>9230000</v>
      </c>
      <c r="M95" s="204">
        <v>1</v>
      </c>
    </row>
    <row r="96" spans="1:14" s="204" customFormat="1" ht="14.25">
      <c r="A96" s="204">
        <v>2005</v>
      </c>
      <c r="B96" s="204">
        <v>10</v>
      </c>
      <c r="C96" s="204">
        <v>63076978</v>
      </c>
      <c r="D96" s="204">
        <v>530007</v>
      </c>
      <c r="E96" s="340">
        <v>238.31</v>
      </c>
      <c r="F96" s="204" t="s">
        <v>415</v>
      </c>
      <c r="G96" s="204" t="s">
        <v>424</v>
      </c>
      <c r="H96" s="204" t="s">
        <v>366</v>
      </c>
      <c r="I96" s="204">
        <v>1901146181</v>
      </c>
      <c r="J96" s="204">
        <v>11654</v>
      </c>
      <c r="L96" s="204">
        <v>9230000</v>
      </c>
      <c r="M96" s="204">
        <v>1</v>
      </c>
    </row>
    <row r="97" spans="1:14" s="204" customFormat="1" ht="14.25">
      <c r="A97" s="204">
        <v>2005</v>
      </c>
      <c r="B97" s="204">
        <v>10</v>
      </c>
      <c r="C97" s="204">
        <v>63076978</v>
      </c>
      <c r="D97" s="204">
        <v>530007</v>
      </c>
      <c r="E97" s="340">
        <v>238.31</v>
      </c>
      <c r="F97" s="204" t="s">
        <v>415</v>
      </c>
      <c r="G97" s="204" t="s">
        <v>427</v>
      </c>
      <c r="H97" s="204" t="s">
        <v>366</v>
      </c>
      <c r="I97" s="204">
        <v>1901146181</v>
      </c>
      <c r="J97" s="204">
        <v>13383</v>
      </c>
      <c r="L97" s="204">
        <v>9230000</v>
      </c>
      <c r="M97" s="204">
        <v>1</v>
      </c>
    </row>
    <row r="98" spans="1:14" s="204" customFormat="1" ht="14.25">
      <c r="A98" s="204">
        <v>2005</v>
      </c>
      <c r="B98" s="204">
        <v>10</v>
      </c>
      <c r="C98" s="204">
        <v>63076978</v>
      </c>
      <c r="D98" s="204">
        <v>530007</v>
      </c>
      <c r="E98" s="340">
        <v>238.31</v>
      </c>
      <c r="F98" s="204" t="s">
        <v>415</v>
      </c>
      <c r="G98" s="204" t="s">
        <v>428</v>
      </c>
      <c r="H98" s="204" t="s">
        <v>366</v>
      </c>
      <c r="I98" s="204">
        <v>1901146181</v>
      </c>
      <c r="J98" s="204">
        <v>13150</v>
      </c>
      <c r="L98" s="204">
        <v>9230000</v>
      </c>
      <c r="M98" s="204">
        <v>1</v>
      </c>
    </row>
    <row r="99" spans="1:14" s="204" customFormat="1" ht="14.25">
      <c r="A99" s="204">
        <v>2005</v>
      </c>
      <c r="B99" s="204">
        <v>10</v>
      </c>
      <c r="C99" s="204">
        <v>63076978</v>
      </c>
      <c r="D99" s="204">
        <v>530007</v>
      </c>
      <c r="E99" s="340">
        <v>238.31</v>
      </c>
      <c r="F99" s="204" t="s">
        <v>415</v>
      </c>
      <c r="G99" s="204" t="s">
        <v>422</v>
      </c>
      <c r="H99" s="204" t="s">
        <v>366</v>
      </c>
      <c r="I99" s="204">
        <v>1901146181</v>
      </c>
      <c r="J99" s="204">
        <v>13193</v>
      </c>
      <c r="L99" s="204">
        <v>9230000</v>
      </c>
      <c r="M99" s="204">
        <v>1</v>
      </c>
    </row>
    <row r="100" spans="1:14" s="204" customFormat="1" ht="14.25">
      <c r="A100" s="204">
        <v>2005</v>
      </c>
      <c r="B100" s="204">
        <v>10</v>
      </c>
      <c r="C100" s="204">
        <v>63076978</v>
      </c>
      <c r="D100" s="204">
        <v>530007</v>
      </c>
      <c r="E100" s="340">
        <v>238.31</v>
      </c>
      <c r="F100" s="204" t="s">
        <v>415</v>
      </c>
      <c r="G100" s="204" t="s">
        <v>418</v>
      </c>
      <c r="H100" s="204" t="s">
        <v>366</v>
      </c>
      <c r="I100" s="204">
        <v>1901146181</v>
      </c>
      <c r="J100" s="204">
        <v>11643</v>
      </c>
      <c r="L100" s="204">
        <v>9230000</v>
      </c>
      <c r="M100" s="204">
        <v>1</v>
      </c>
    </row>
    <row r="101" spans="1:14" s="204" customFormat="1" ht="14.25">
      <c r="A101" s="204">
        <v>2005</v>
      </c>
      <c r="B101" s="204">
        <v>10</v>
      </c>
      <c r="C101" s="204">
        <v>63076978</v>
      </c>
      <c r="D101" s="204">
        <v>530007</v>
      </c>
      <c r="E101" s="340">
        <v>238.31</v>
      </c>
      <c r="F101" s="204" t="s">
        <v>415</v>
      </c>
      <c r="G101" s="204" t="s">
        <v>429</v>
      </c>
      <c r="H101" s="204" t="s">
        <v>366</v>
      </c>
      <c r="I101" s="204">
        <v>1901146181</v>
      </c>
      <c r="K101" s="204">
        <v>213488</v>
      </c>
      <c r="L101" s="204">
        <v>9230000</v>
      </c>
      <c r="M101" s="204">
        <v>1</v>
      </c>
    </row>
    <row r="102" spans="1:14" s="204" customFormat="1" ht="14.25">
      <c r="A102" s="204">
        <v>2005</v>
      </c>
      <c r="B102" s="204">
        <v>10</v>
      </c>
      <c r="C102" s="204">
        <v>63076978</v>
      </c>
      <c r="D102" s="204">
        <v>530007</v>
      </c>
      <c r="E102" s="340">
        <v>238.31</v>
      </c>
      <c r="F102" s="204" t="s">
        <v>415</v>
      </c>
      <c r="G102" s="204" t="s">
        <v>430</v>
      </c>
      <c r="H102" s="204" t="s">
        <v>366</v>
      </c>
      <c r="I102" s="204">
        <v>1901146181</v>
      </c>
      <c r="K102" s="204">
        <v>213488</v>
      </c>
      <c r="L102" s="204">
        <v>9230000</v>
      </c>
      <c r="M102" s="204">
        <v>1</v>
      </c>
    </row>
    <row r="103" spans="1:14" s="204" customFormat="1" ht="14.25">
      <c r="A103" s="204">
        <v>2005</v>
      </c>
      <c r="B103" s="204">
        <v>10</v>
      </c>
      <c r="C103" s="204">
        <v>63076978</v>
      </c>
      <c r="D103" s="204">
        <v>530007</v>
      </c>
      <c r="E103" s="340">
        <v>238.31</v>
      </c>
      <c r="F103" s="204" t="s">
        <v>415</v>
      </c>
      <c r="G103" s="204" t="s">
        <v>423</v>
      </c>
      <c r="H103" s="204" t="s">
        <v>366</v>
      </c>
      <c r="I103" s="204">
        <v>1901146181</v>
      </c>
      <c r="K103" s="204">
        <v>213488</v>
      </c>
      <c r="L103" s="204">
        <v>9230000</v>
      </c>
      <c r="M103" s="204">
        <v>1</v>
      </c>
    </row>
    <row r="104" spans="1:14" s="204" customFormat="1" ht="14.25">
      <c r="A104" s="204">
        <v>2005</v>
      </c>
      <c r="B104" s="204">
        <v>10</v>
      </c>
      <c r="C104" s="204">
        <v>63076978</v>
      </c>
      <c r="D104" s="204">
        <v>530007</v>
      </c>
      <c r="E104" s="340">
        <v>238.31</v>
      </c>
      <c r="F104" s="204" t="s">
        <v>415</v>
      </c>
      <c r="G104" s="204" t="s">
        <v>431</v>
      </c>
      <c r="H104" s="204" t="s">
        <v>366</v>
      </c>
      <c r="I104" s="204">
        <v>1901146181</v>
      </c>
      <c r="K104" s="204">
        <v>213488</v>
      </c>
      <c r="L104" s="204">
        <v>9230000</v>
      </c>
      <c r="M104" s="204">
        <v>1</v>
      </c>
    </row>
    <row r="105" spans="1:14" s="204" customFormat="1" ht="14.25">
      <c r="A105" s="204">
        <v>2005</v>
      </c>
      <c r="B105" s="204">
        <v>10</v>
      </c>
      <c r="C105" s="204">
        <v>63076978</v>
      </c>
      <c r="D105" s="204">
        <v>530007</v>
      </c>
      <c r="E105" s="340">
        <v>95.33</v>
      </c>
      <c r="F105" s="204" t="s">
        <v>415</v>
      </c>
      <c r="G105" s="204" t="s">
        <v>432</v>
      </c>
      <c r="H105" s="204" t="s">
        <v>366</v>
      </c>
      <c r="I105" s="204">
        <v>1901146181</v>
      </c>
      <c r="K105" s="204">
        <v>213488</v>
      </c>
      <c r="L105" s="204">
        <v>9230000</v>
      </c>
      <c r="M105" s="204">
        <v>1</v>
      </c>
    </row>
    <row r="106" spans="1:14" s="204" customFormat="1" ht="14.25">
      <c r="A106" s="204">
        <v>2005</v>
      </c>
      <c r="B106" s="204">
        <v>10</v>
      </c>
      <c r="C106" s="204">
        <v>63076978</v>
      </c>
      <c r="D106" s="204">
        <v>530007</v>
      </c>
      <c r="E106" s="340">
        <v>2192.48</v>
      </c>
      <c r="F106" s="204" t="s">
        <v>415</v>
      </c>
      <c r="G106" s="204" t="s">
        <v>433</v>
      </c>
      <c r="H106" s="204" t="s">
        <v>366</v>
      </c>
      <c r="I106" s="204">
        <v>1901146181</v>
      </c>
      <c r="J106" s="204">
        <v>13026</v>
      </c>
      <c r="L106" s="204">
        <v>9230000</v>
      </c>
      <c r="M106" s="204">
        <v>1</v>
      </c>
    </row>
    <row r="107" spans="1:14" s="204" customFormat="1" ht="14.25">
      <c r="A107" s="204">
        <v>2005</v>
      </c>
      <c r="B107" s="204">
        <v>10</v>
      </c>
      <c r="C107" s="204">
        <v>63076978</v>
      </c>
      <c r="D107" s="204">
        <v>530007</v>
      </c>
      <c r="E107" s="340">
        <v>1668.19</v>
      </c>
      <c r="F107" s="204" t="s">
        <v>415</v>
      </c>
      <c r="G107" s="204" t="s">
        <v>434</v>
      </c>
      <c r="H107" s="204" t="s">
        <v>366</v>
      </c>
      <c r="I107" s="204">
        <v>1901146181</v>
      </c>
      <c r="J107" s="204">
        <v>11676</v>
      </c>
      <c r="L107" s="204">
        <v>9230000</v>
      </c>
      <c r="M107" s="204">
        <v>1</v>
      </c>
    </row>
    <row r="108" spans="1:14" s="204" customFormat="1" ht="14.25">
      <c r="A108" s="204">
        <v>2005</v>
      </c>
      <c r="B108" s="204">
        <v>10</v>
      </c>
      <c r="C108" s="204">
        <v>63076978</v>
      </c>
      <c r="D108" s="204">
        <v>530007</v>
      </c>
      <c r="E108" s="340">
        <v>667.28</v>
      </c>
      <c r="F108" s="204" t="s">
        <v>415</v>
      </c>
      <c r="G108" s="204" t="s">
        <v>417</v>
      </c>
      <c r="H108" s="204" t="s">
        <v>366</v>
      </c>
      <c r="I108" s="204">
        <v>1901146181</v>
      </c>
      <c r="J108" s="204">
        <v>13581</v>
      </c>
      <c r="L108" s="204">
        <v>9230000</v>
      </c>
      <c r="M108" s="204">
        <v>1</v>
      </c>
    </row>
    <row r="109" spans="1:14" s="322" customFormat="1" ht="14.25">
      <c r="A109" s="322">
        <v>2005</v>
      </c>
      <c r="B109" s="322">
        <v>10</v>
      </c>
      <c r="C109" s="322">
        <v>63076978</v>
      </c>
      <c r="D109" s="322">
        <v>530007</v>
      </c>
      <c r="E109" s="324">
        <v>1000.91</v>
      </c>
      <c r="F109" s="322" t="s">
        <v>415</v>
      </c>
      <c r="G109" s="322" t="s">
        <v>419</v>
      </c>
      <c r="H109" s="322" t="s">
        <v>366</v>
      </c>
      <c r="I109" s="322">
        <v>1901146181</v>
      </c>
      <c r="J109" s="322">
        <v>13023</v>
      </c>
      <c r="L109" s="322">
        <v>9230000</v>
      </c>
      <c r="M109" s="322">
        <v>109</v>
      </c>
      <c r="N109" s="322" t="s">
        <v>465</v>
      </c>
    </row>
    <row r="110" spans="1:14" s="204" customFormat="1" ht="14.25">
      <c r="A110" s="204">
        <v>2005</v>
      </c>
      <c r="B110" s="204">
        <v>10</v>
      </c>
      <c r="C110" s="204">
        <v>63076978</v>
      </c>
      <c r="D110" s="204">
        <v>530007</v>
      </c>
      <c r="E110" s="340">
        <v>571.95000000000005</v>
      </c>
      <c r="F110" s="204" t="s">
        <v>415</v>
      </c>
      <c r="G110" s="204" t="s">
        <v>435</v>
      </c>
      <c r="H110" s="204" t="s">
        <v>366</v>
      </c>
      <c r="I110" s="204">
        <v>1901146181</v>
      </c>
      <c r="J110" s="204">
        <v>11622</v>
      </c>
      <c r="L110" s="204">
        <v>9230000</v>
      </c>
      <c r="M110" s="204">
        <v>1</v>
      </c>
    </row>
    <row r="111" spans="1:14" s="204" customFormat="1" ht="14.25">
      <c r="A111" s="204">
        <v>2005</v>
      </c>
      <c r="B111" s="204">
        <v>10</v>
      </c>
      <c r="C111" s="204">
        <v>63076978</v>
      </c>
      <c r="D111" s="204">
        <v>530007</v>
      </c>
      <c r="E111" s="340">
        <v>619.61</v>
      </c>
      <c r="F111" s="204" t="s">
        <v>415</v>
      </c>
      <c r="G111" s="204" t="s">
        <v>436</v>
      </c>
      <c r="H111" s="204" t="s">
        <v>366</v>
      </c>
      <c r="I111" s="204">
        <v>1901146181</v>
      </c>
      <c r="J111" s="204">
        <v>11622</v>
      </c>
      <c r="L111" s="204">
        <v>9230000</v>
      </c>
      <c r="M111" s="204">
        <v>1</v>
      </c>
    </row>
    <row r="112" spans="1:14" s="204" customFormat="1" ht="14.25">
      <c r="A112" s="204">
        <v>2005</v>
      </c>
      <c r="B112" s="204">
        <v>10</v>
      </c>
      <c r="C112" s="204">
        <v>63076978</v>
      </c>
      <c r="D112" s="204">
        <v>530007</v>
      </c>
      <c r="E112" s="340">
        <v>333.64</v>
      </c>
      <c r="F112" s="204" t="s">
        <v>415</v>
      </c>
      <c r="G112" s="204" t="s">
        <v>437</v>
      </c>
      <c r="H112" s="204" t="s">
        <v>366</v>
      </c>
      <c r="I112" s="204">
        <v>1901146181</v>
      </c>
      <c r="K112" s="204">
        <v>213488</v>
      </c>
      <c r="L112" s="204">
        <v>9230000</v>
      </c>
      <c r="M112" s="204">
        <v>1</v>
      </c>
    </row>
    <row r="113" spans="1:14" s="204" customFormat="1" ht="14.25">
      <c r="A113" s="204">
        <v>2005</v>
      </c>
      <c r="B113" s="204">
        <v>10</v>
      </c>
      <c r="C113" s="204">
        <v>63076978</v>
      </c>
      <c r="D113" s="204">
        <v>530007</v>
      </c>
      <c r="E113" s="340">
        <v>95.33</v>
      </c>
      <c r="F113" s="204" t="s">
        <v>415</v>
      </c>
      <c r="G113" s="204" t="s">
        <v>438</v>
      </c>
      <c r="H113" s="204" t="s">
        <v>366</v>
      </c>
      <c r="I113" s="204">
        <v>1901146181</v>
      </c>
      <c r="J113" s="204">
        <v>11648</v>
      </c>
      <c r="L113" s="204">
        <v>9230000</v>
      </c>
      <c r="M113" s="204">
        <v>1</v>
      </c>
    </row>
    <row r="114" spans="1:14" s="204" customFormat="1" ht="14.25">
      <c r="A114" s="204">
        <v>2005</v>
      </c>
      <c r="B114" s="204">
        <v>10</v>
      </c>
      <c r="C114" s="204">
        <v>63076978</v>
      </c>
      <c r="D114" s="204">
        <v>530007</v>
      </c>
      <c r="E114" s="340">
        <v>333.64</v>
      </c>
      <c r="F114" s="204" t="s">
        <v>415</v>
      </c>
      <c r="G114" s="204" t="s">
        <v>420</v>
      </c>
      <c r="H114" s="204" t="s">
        <v>366</v>
      </c>
      <c r="I114" s="204">
        <v>1901146181</v>
      </c>
      <c r="K114" s="204">
        <v>213488</v>
      </c>
      <c r="L114" s="204">
        <v>9230000</v>
      </c>
      <c r="M114" s="204">
        <v>1</v>
      </c>
    </row>
    <row r="115" spans="1:14" s="204" customFormat="1" ht="14.25">
      <c r="A115" s="204">
        <v>2005</v>
      </c>
      <c r="B115" s="204">
        <v>10</v>
      </c>
      <c r="C115" s="204">
        <v>63076988</v>
      </c>
      <c r="D115" s="204">
        <v>530007</v>
      </c>
      <c r="E115" s="340">
        <v>2128.9299999999998</v>
      </c>
      <c r="F115" s="204" t="s">
        <v>415</v>
      </c>
      <c r="G115" s="204" t="s">
        <v>439</v>
      </c>
      <c r="H115" s="204" t="s">
        <v>366</v>
      </c>
      <c r="I115" s="204">
        <v>1901146183</v>
      </c>
      <c r="K115" s="204">
        <v>213488</v>
      </c>
      <c r="L115" s="204">
        <v>9230000</v>
      </c>
      <c r="M115" s="204">
        <v>1</v>
      </c>
    </row>
    <row r="116" spans="1:14" s="204" customFormat="1" ht="14.25">
      <c r="A116" s="204">
        <v>2005</v>
      </c>
      <c r="B116" s="204">
        <v>10</v>
      </c>
      <c r="C116" s="204">
        <v>63076988</v>
      </c>
      <c r="D116" s="204">
        <v>530007</v>
      </c>
      <c r="E116" s="340">
        <v>699.06</v>
      </c>
      <c r="F116" s="204" t="s">
        <v>415</v>
      </c>
      <c r="G116" s="204" t="s">
        <v>440</v>
      </c>
      <c r="H116" s="204" t="s">
        <v>366</v>
      </c>
      <c r="I116" s="204">
        <v>1901146183</v>
      </c>
      <c r="J116" s="204">
        <v>13150</v>
      </c>
      <c r="L116" s="204">
        <v>9230000</v>
      </c>
      <c r="M116" s="204">
        <v>1</v>
      </c>
    </row>
    <row r="117" spans="1:14" s="204" customFormat="1" ht="14.25">
      <c r="A117" s="204">
        <v>2005</v>
      </c>
      <c r="B117" s="204">
        <v>10</v>
      </c>
      <c r="C117" s="204">
        <v>63076988</v>
      </c>
      <c r="D117" s="204">
        <v>530007</v>
      </c>
      <c r="E117" s="340">
        <v>794.38</v>
      </c>
      <c r="F117" s="204" t="s">
        <v>415</v>
      </c>
      <c r="G117" s="204" t="s">
        <v>441</v>
      </c>
      <c r="H117" s="204" t="s">
        <v>366</v>
      </c>
      <c r="I117" s="204">
        <v>1901146183</v>
      </c>
      <c r="J117" s="204">
        <v>13024</v>
      </c>
      <c r="L117" s="204">
        <v>9230000</v>
      </c>
      <c r="M117" s="204">
        <v>1</v>
      </c>
    </row>
    <row r="118" spans="1:14" s="204" customFormat="1" ht="14.25">
      <c r="A118" s="204">
        <v>2005</v>
      </c>
      <c r="B118" s="204">
        <v>10</v>
      </c>
      <c r="C118" s="204">
        <v>63076988</v>
      </c>
      <c r="D118" s="204">
        <v>530007</v>
      </c>
      <c r="E118" s="340">
        <v>1080.32</v>
      </c>
      <c r="F118" s="204" t="s">
        <v>415</v>
      </c>
      <c r="G118" s="204" t="s">
        <v>442</v>
      </c>
      <c r="H118" s="204" t="s">
        <v>366</v>
      </c>
      <c r="I118" s="204">
        <v>1901146183</v>
      </c>
      <c r="J118" s="204">
        <v>13581</v>
      </c>
      <c r="L118" s="204">
        <v>9230000</v>
      </c>
      <c r="M118" s="204">
        <v>1</v>
      </c>
    </row>
    <row r="119" spans="1:14" s="204" customFormat="1" ht="14.25">
      <c r="A119" s="204">
        <v>2005</v>
      </c>
      <c r="B119" s="204">
        <v>10</v>
      </c>
      <c r="C119" s="204">
        <v>63076995</v>
      </c>
      <c r="D119" s="204">
        <v>530007</v>
      </c>
      <c r="E119" s="340">
        <v>953.25</v>
      </c>
      <c r="F119" s="204" t="s">
        <v>415</v>
      </c>
      <c r="G119" s="204" t="s">
        <v>443</v>
      </c>
      <c r="H119" s="204" t="s">
        <v>366</v>
      </c>
      <c r="I119" s="204">
        <v>1901146185</v>
      </c>
      <c r="K119" s="204">
        <v>216081</v>
      </c>
      <c r="L119" s="204">
        <v>9230000</v>
      </c>
      <c r="M119" s="204">
        <v>1</v>
      </c>
    </row>
    <row r="120" spans="1:14" s="204" customFormat="1" ht="14.25">
      <c r="A120" s="204">
        <v>2005</v>
      </c>
      <c r="B120" s="204">
        <v>10</v>
      </c>
      <c r="C120" s="204">
        <v>63076995</v>
      </c>
      <c r="D120" s="204">
        <v>530007</v>
      </c>
      <c r="E120" s="340">
        <v>476.63</v>
      </c>
      <c r="F120" s="204" t="s">
        <v>415</v>
      </c>
      <c r="G120" s="204" t="s">
        <v>436</v>
      </c>
      <c r="H120" s="204" t="s">
        <v>366</v>
      </c>
      <c r="I120" s="204">
        <v>1901146185</v>
      </c>
      <c r="J120" s="204">
        <v>11622</v>
      </c>
      <c r="L120" s="204">
        <v>9230000</v>
      </c>
      <c r="M120" s="204">
        <v>1</v>
      </c>
    </row>
    <row r="121" spans="1:14" s="204" customFormat="1" ht="14.25">
      <c r="A121" s="204">
        <v>2005</v>
      </c>
      <c r="B121" s="204">
        <v>10</v>
      </c>
      <c r="C121" s="204">
        <v>63076995</v>
      </c>
      <c r="D121" s="204">
        <v>530007</v>
      </c>
      <c r="E121" s="340">
        <v>2478.4499999999998</v>
      </c>
      <c r="F121" s="204" t="s">
        <v>415</v>
      </c>
      <c r="G121" s="204" t="s">
        <v>444</v>
      </c>
      <c r="H121" s="204" t="s">
        <v>366</v>
      </c>
      <c r="I121" s="204">
        <v>1901146185</v>
      </c>
      <c r="K121" s="204">
        <v>213488</v>
      </c>
      <c r="L121" s="204">
        <v>9230000</v>
      </c>
      <c r="M121" s="204">
        <v>1</v>
      </c>
    </row>
    <row r="122" spans="1:14" s="204" customFormat="1" ht="14.25">
      <c r="A122" s="204">
        <v>2005</v>
      </c>
      <c r="B122" s="204">
        <v>10</v>
      </c>
      <c r="C122" s="204">
        <v>63076995</v>
      </c>
      <c r="D122" s="204">
        <v>530007</v>
      </c>
      <c r="E122" s="340">
        <v>2173.41</v>
      </c>
      <c r="F122" s="204" t="s">
        <v>415</v>
      </c>
      <c r="G122" s="204" t="s">
        <v>445</v>
      </c>
      <c r="H122" s="204" t="s">
        <v>366</v>
      </c>
      <c r="I122" s="204">
        <v>1901146185</v>
      </c>
      <c r="K122" s="204">
        <v>213488</v>
      </c>
      <c r="L122" s="204">
        <v>9230000</v>
      </c>
      <c r="M122" s="204">
        <v>1</v>
      </c>
    </row>
    <row r="123" spans="1:14" s="204" customFormat="1" ht="14.25">
      <c r="A123" s="204">
        <v>2005</v>
      </c>
      <c r="B123" s="204">
        <v>10</v>
      </c>
      <c r="C123" s="204">
        <v>63076995</v>
      </c>
      <c r="D123" s="204">
        <v>530007</v>
      </c>
      <c r="E123" s="340">
        <v>2478.4499999999998</v>
      </c>
      <c r="F123" s="204" t="s">
        <v>415</v>
      </c>
      <c r="G123" s="204" t="s">
        <v>446</v>
      </c>
      <c r="H123" s="204" t="s">
        <v>366</v>
      </c>
      <c r="I123" s="204">
        <v>1901146185</v>
      </c>
      <c r="K123" s="204">
        <v>213488</v>
      </c>
      <c r="L123" s="204">
        <v>9230000</v>
      </c>
      <c r="M123" s="204">
        <v>1</v>
      </c>
    </row>
    <row r="124" spans="1:14" s="322" customFormat="1" ht="14.25">
      <c r="A124" s="322">
        <v>2005</v>
      </c>
      <c r="B124" s="322">
        <v>10</v>
      </c>
      <c r="C124" s="322">
        <v>63076995</v>
      </c>
      <c r="D124" s="322">
        <v>530007</v>
      </c>
      <c r="E124" s="324">
        <v>1029.51</v>
      </c>
      <c r="F124" s="322" t="s">
        <v>415</v>
      </c>
      <c r="G124" s="322" t="s">
        <v>419</v>
      </c>
      <c r="H124" s="322" t="s">
        <v>366</v>
      </c>
      <c r="I124" s="322">
        <v>1901146185</v>
      </c>
      <c r="J124" s="322">
        <v>13023</v>
      </c>
      <c r="L124" s="322">
        <v>9230000</v>
      </c>
      <c r="M124" s="322">
        <v>109</v>
      </c>
      <c r="N124" s="322" t="s">
        <v>465</v>
      </c>
    </row>
    <row r="125" spans="1:14" s="204" customFormat="1" ht="14.25">
      <c r="A125" s="204">
        <v>2005</v>
      </c>
      <c r="B125" s="204">
        <v>12</v>
      </c>
      <c r="C125" s="204">
        <v>65453348</v>
      </c>
      <c r="D125" s="204">
        <v>530007</v>
      </c>
      <c r="E125" s="340">
        <v>375</v>
      </c>
      <c r="F125" s="204" t="s">
        <v>447</v>
      </c>
      <c r="G125" s="204" t="s">
        <v>448</v>
      </c>
      <c r="H125" s="204" t="s">
        <v>366</v>
      </c>
      <c r="I125" s="204">
        <v>1901183159</v>
      </c>
      <c r="J125" s="204">
        <v>11676</v>
      </c>
      <c r="L125" s="204">
        <v>9230000</v>
      </c>
      <c r="M125" s="204">
        <v>1</v>
      </c>
    </row>
    <row r="126" spans="1:14" s="204" customFormat="1" ht="14.25">
      <c r="A126" s="204">
        <v>2005</v>
      </c>
      <c r="B126" s="204">
        <v>12</v>
      </c>
      <c r="C126" s="204">
        <v>65453348</v>
      </c>
      <c r="D126" s="204">
        <v>530007</v>
      </c>
      <c r="E126" s="340">
        <v>375</v>
      </c>
      <c r="F126" s="204" t="s">
        <v>447</v>
      </c>
      <c r="G126" s="204" t="s">
        <v>449</v>
      </c>
      <c r="H126" s="204" t="s">
        <v>366</v>
      </c>
      <c r="I126" s="204">
        <v>1901183159</v>
      </c>
      <c r="J126" s="204">
        <v>11622</v>
      </c>
      <c r="L126" s="204">
        <v>9230000</v>
      </c>
      <c r="M126" s="204">
        <v>1</v>
      </c>
    </row>
    <row r="127" spans="1:14" s="204" customFormat="1" ht="14.25">
      <c r="A127" s="204">
        <v>2005</v>
      </c>
      <c r="B127" s="204">
        <v>1</v>
      </c>
      <c r="C127" s="204">
        <v>53901592</v>
      </c>
      <c r="D127" s="204">
        <v>530190</v>
      </c>
      <c r="E127" s="340">
        <v>-39.880000000000003</v>
      </c>
      <c r="F127" s="204" t="s">
        <v>450</v>
      </c>
      <c r="G127" s="204" t="s">
        <v>451</v>
      </c>
      <c r="H127" s="204" t="s">
        <v>366</v>
      </c>
      <c r="I127" s="204">
        <v>108249338</v>
      </c>
      <c r="J127" s="204">
        <v>11620</v>
      </c>
      <c r="L127" s="204">
        <v>9230000</v>
      </c>
      <c r="M127" s="204">
        <v>1</v>
      </c>
    </row>
    <row r="128" spans="1:14" s="204" customFormat="1" ht="14.25">
      <c r="A128" s="204">
        <v>2005</v>
      </c>
      <c r="B128" s="204">
        <v>1</v>
      </c>
      <c r="C128" s="204">
        <v>53911239</v>
      </c>
      <c r="D128" s="204">
        <v>530190</v>
      </c>
      <c r="E128" s="340">
        <v>44.5</v>
      </c>
      <c r="F128" s="204" t="s">
        <v>414</v>
      </c>
      <c r="G128" s="204" t="s">
        <v>452</v>
      </c>
      <c r="H128" s="204" t="s">
        <v>366</v>
      </c>
      <c r="I128" s="204">
        <v>1900959259</v>
      </c>
      <c r="J128" s="204">
        <v>11620</v>
      </c>
      <c r="L128" s="204">
        <v>9230000</v>
      </c>
      <c r="M128" s="204">
        <v>1</v>
      </c>
    </row>
    <row r="129" spans="1:14" s="204" customFormat="1" ht="14.25">
      <c r="A129" s="204">
        <v>2005</v>
      </c>
      <c r="B129" s="204">
        <v>1</v>
      </c>
      <c r="C129" s="204">
        <v>53956427</v>
      </c>
      <c r="D129" s="204">
        <v>530190</v>
      </c>
      <c r="E129" s="340">
        <v>148.43</v>
      </c>
      <c r="F129" s="204" t="s">
        <v>390</v>
      </c>
      <c r="G129" s="204" t="s">
        <v>453</v>
      </c>
      <c r="H129" s="204" t="s">
        <v>366</v>
      </c>
      <c r="I129" s="204">
        <v>1900962448</v>
      </c>
      <c r="J129" s="204">
        <v>11620</v>
      </c>
      <c r="L129" s="204">
        <v>9230000</v>
      </c>
      <c r="M129" s="204">
        <v>1</v>
      </c>
    </row>
    <row r="130" spans="1:14" s="204" customFormat="1" ht="14.25">
      <c r="A130" s="204">
        <v>2005</v>
      </c>
      <c r="B130" s="204">
        <v>4</v>
      </c>
      <c r="C130" s="204">
        <v>56012414</v>
      </c>
      <c r="D130" s="204">
        <v>530190</v>
      </c>
      <c r="E130" s="340">
        <v>524.32000000000005</v>
      </c>
      <c r="F130" s="204" t="s">
        <v>409</v>
      </c>
      <c r="G130" s="204" t="s">
        <v>454</v>
      </c>
      <c r="H130" s="204" t="s">
        <v>366</v>
      </c>
      <c r="I130" s="204">
        <v>1901027569</v>
      </c>
      <c r="J130" s="204">
        <v>11620</v>
      </c>
      <c r="L130" s="204">
        <v>9230000</v>
      </c>
      <c r="M130" s="204">
        <v>1</v>
      </c>
    </row>
    <row r="131" spans="1:14" s="204" customFormat="1" ht="14.25">
      <c r="A131" s="204">
        <v>2005</v>
      </c>
      <c r="B131" s="204">
        <v>4</v>
      </c>
      <c r="C131" s="204">
        <v>56012768</v>
      </c>
      <c r="D131" s="204">
        <v>530190</v>
      </c>
      <c r="E131" s="340">
        <v>47.1</v>
      </c>
      <c r="F131" s="204" t="s">
        <v>409</v>
      </c>
      <c r="G131" s="204" t="s">
        <v>455</v>
      </c>
      <c r="H131" s="204" t="s">
        <v>366</v>
      </c>
      <c r="I131" s="204">
        <v>1901027576</v>
      </c>
      <c r="J131" s="204">
        <v>11620</v>
      </c>
      <c r="L131" s="204">
        <v>9230000</v>
      </c>
      <c r="M131" s="204">
        <v>1</v>
      </c>
    </row>
    <row r="132" spans="1:14" s="204" customFormat="1" ht="14.25">
      <c r="A132" s="204">
        <v>2005</v>
      </c>
      <c r="B132" s="204">
        <v>6</v>
      </c>
      <c r="C132" s="204">
        <v>58469715</v>
      </c>
      <c r="D132" s="204">
        <v>530190</v>
      </c>
      <c r="E132" s="340">
        <v>150.03</v>
      </c>
      <c r="F132" s="204" t="s">
        <v>414</v>
      </c>
      <c r="G132" s="204" t="s">
        <v>455</v>
      </c>
      <c r="H132" s="204" t="s">
        <v>366</v>
      </c>
      <c r="I132" s="204">
        <v>1901055641</v>
      </c>
      <c r="J132" s="204">
        <v>11620</v>
      </c>
      <c r="L132" s="204">
        <v>9230000</v>
      </c>
      <c r="M132" s="204">
        <v>1</v>
      </c>
    </row>
    <row r="133" spans="1:14" s="204" customFormat="1" ht="14.25">
      <c r="A133" s="204">
        <v>2005</v>
      </c>
      <c r="B133" s="204">
        <v>9</v>
      </c>
      <c r="C133" s="204">
        <v>61275487</v>
      </c>
      <c r="D133" s="204">
        <v>530190</v>
      </c>
      <c r="E133" s="340">
        <v>48.55</v>
      </c>
      <c r="F133" s="204" t="s">
        <v>414</v>
      </c>
      <c r="G133" s="204" t="s">
        <v>454</v>
      </c>
      <c r="H133" s="204" t="s">
        <v>366</v>
      </c>
      <c r="I133" s="204">
        <v>1901118055</v>
      </c>
      <c r="J133" s="204">
        <v>11620</v>
      </c>
      <c r="L133" s="204">
        <v>9230000</v>
      </c>
      <c r="M133" s="204">
        <v>1</v>
      </c>
    </row>
    <row r="134" spans="1:14" s="204" customFormat="1" ht="14.25">
      <c r="A134" s="204">
        <v>2005</v>
      </c>
      <c r="B134" s="204">
        <v>9</v>
      </c>
      <c r="C134" s="204">
        <v>61275493</v>
      </c>
      <c r="D134" s="204">
        <v>530190</v>
      </c>
      <c r="E134" s="340">
        <v>118.04</v>
      </c>
      <c r="F134" s="204" t="s">
        <v>414</v>
      </c>
      <c r="G134" s="204" t="s">
        <v>454</v>
      </c>
      <c r="H134" s="204" t="s">
        <v>366</v>
      </c>
      <c r="I134" s="204">
        <v>1901118056</v>
      </c>
      <c r="J134" s="204">
        <v>11620</v>
      </c>
      <c r="L134" s="204">
        <v>9230000</v>
      </c>
      <c r="M134" s="204">
        <v>1</v>
      </c>
    </row>
    <row r="135" spans="1:14" s="204" customFormat="1" ht="14.25">
      <c r="A135" s="204">
        <v>2005</v>
      </c>
      <c r="B135" s="204">
        <v>12</v>
      </c>
      <c r="C135" s="204">
        <v>64095743</v>
      </c>
      <c r="D135" s="204">
        <v>530190</v>
      </c>
      <c r="E135" s="340">
        <v>153.15</v>
      </c>
      <c r="F135" s="204" t="s">
        <v>414</v>
      </c>
      <c r="G135" s="204" t="s">
        <v>456</v>
      </c>
      <c r="H135" s="204" t="s">
        <v>366</v>
      </c>
      <c r="I135" s="204">
        <v>1901168181</v>
      </c>
      <c r="J135" s="204">
        <v>11620</v>
      </c>
      <c r="L135" s="204">
        <v>9230000</v>
      </c>
      <c r="M135" s="204">
        <v>1</v>
      </c>
    </row>
    <row r="136" spans="1:14" s="204" customFormat="1" ht="14.25">
      <c r="A136" s="204">
        <v>2005</v>
      </c>
      <c r="B136" s="204">
        <v>12</v>
      </c>
      <c r="C136" s="204">
        <v>64095744</v>
      </c>
      <c r="D136" s="204">
        <v>530190</v>
      </c>
      <c r="E136" s="340">
        <v>217.4</v>
      </c>
      <c r="F136" s="204" t="s">
        <v>414</v>
      </c>
      <c r="G136" s="204" t="s">
        <v>456</v>
      </c>
      <c r="H136" s="204" t="s">
        <v>366</v>
      </c>
      <c r="I136" s="204">
        <v>1901168182</v>
      </c>
      <c r="J136" s="204">
        <v>11620</v>
      </c>
      <c r="L136" s="204">
        <v>9230000</v>
      </c>
      <c r="M136" s="204">
        <v>1</v>
      </c>
    </row>
    <row r="137" spans="1:14" s="204" customFormat="1" ht="14.25">
      <c r="A137" s="204">
        <v>2005</v>
      </c>
      <c r="B137" s="204">
        <v>12</v>
      </c>
      <c r="C137" s="204">
        <v>64095701</v>
      </c>
      <c r="D137" s="204">
        <v>530190</v>
      </c>
      <c r="E137" s="340">
        <v>600</v>
      </c>
      <c r="F137" s="204" t="s">
        <v>414</v>
      </c>
      <c r="G137" s="204" t="s">
        <v>456</v>
      </c>
      <c r="H137" s="204" t="s">
        <v>366</v>
      </c>
      <c r="I137" s="204">
        <v>1901168180</v>
      </c>
      <c r="J137" s="204">
        <v>10190</v>
      </c>
      <c r="L137" s="204">
        <v>9230000</v>
      </c>
      <c r="M137" s="204">
        <v>1</v>
      </c>
    </row>
    <row r="138" spans="1:14" s="204" customFormat="1" ht="14.25">
      <c r="A138" s="204">
        <v>2005</v>
      </c>
      <c r="B138" s="204">
        <v>12</v>
      </c>
      <c r="C138" s="204">
        <v>65190200</v>
      </c>
      <c r="D138" s="204">
        <v>530190</v>
      </c>
      <c r="E138" s="340">
        <v>1355.65</v>
      </c>
      <c r="F138" s="204" t="s">
        <v>447</v>
      </c>
      <c r="G138" s="204" t="s">
        <v>454</v>
      </c>
      <c r="H138" s="204" t="s">
        <v>366</v>
      </c>
      <c r="I138" s="204">
        <v>1901182905</v>
      </c>
      <c r="J138" s="204">
        <v>11620</v>
      </c>
      <c r="L138" s="204">
        <v>9230000</v>
      </c>
      <c r="M138" s="204">
        <v>1</v>
      </c>
    </row>
    <row r="139" spans="1:14" s="204" customFormat="1" ht="14.25">
      <c r="E139" s="341"/>
    </row>
    <row r="140" spans="1:14" s="204" customFormat="1" ht="14.25">
      <c r="E140" s="341">
        <f>SUM(E3:E139)</f>
        <v>94849.279999999984</v>
      </c>
    </row>
    <row r="141" spans="1:14" s="204" customFormat="1">
      <c r="F141" s="233"/>
    </row>
    <row r="142" spans="1:14" s="204" customFormat="1" hidden="1">
      <c r="F142" s="233"/>
      <c r="G142" s="300"/>
      <c r="H142" s="263"/>
      <c r="I142" s="263"/>
      <c r="J142" s="264"/>
    </row>
    <row r="143" spans="1:14" s="204" customFormat="1" ht="15" hidden="1">
      <c r="F143" s="233"/>
      <c r="G143" s="245" t="s">
        <v>458</v>
      </c>
      <c r="H143" s="325"/>
      <c r="I143" s="325" t="s">
        <v>460</v>
      </c>
      <c r="J143" s="257" t="s">
        <v>462</v>
      </c>
    </row>
    <row r="144" spans="1:14" s="204" customFormat="1" hidden="1">
      <c r="F144" s="248"/>
      <c r="G144" s="128" t="s">
        <v>312</v>
      </c>
      <c r="H144" s="215"/>
      <c r="I144" s="214">
        <v>923</v>
      </c>
      <c r="J144" s="252">
        <f>+E17+E55+E106</f>
        <v>2958.56</v>
      </c>
      <c r="N144" s="204" t="s">
        <v>459</v>
      </c>
    </row>
    <row r="145" spans="6:13" s="204" customFormat="1" hidden="1">
      <c r="F145" s="248"/>
      <c r="G145" s="128" t="s">
        <v>350</v>
      </c>
      <c r="H145" s="215"/>
      <c r="I145" s="214">
        <v>923</v>
      </c>
      <c r="J145" s="252">
        <f>+E140-J144</f>
        <v>91890.719999999987</v>
      </c>
    </row>
    <row r="146" spans="6:13" s="204" customFormat="1" hidden="1">
      <c r="F146" s="248">
        <f>SUM(F144:F145)</f>
        <v>0</v>
      </c>
      <c r="G146" s="253" t="s">
        <v>461</v>
      </c>
      <c r="H146" s="254"/>
      <c r="I146" s="254"/>
      <c r="J146" s="252">
        <f>SUM(J144:J145)</f>
        <v>94849.279999999984</v>
      </c>
    </row>
    <row r="147" spans="6:13" s="204" customFormat="1" hidden="1">
      <c r="F147" s="233"/>
      <c r="G147" s="255"/>
      <c r="H147" s="256"/>
      <c r="I147" s="256"/>
      <c r="J147" s="257"/>
    </row>
    <row r="148" spans="6:13" s="204" customFormat="1" ht="16.5" hidden="1">
      <c r="F148" s="233"/>
      <c r="G148" s="245" t="s">
        <v>463</v>
      </c>
      <c r="H148" s="246"/>
      <c r="I148" s="246"/>
      <c r="J148" s="257"/>
    </row>
    <row r="149" spans="6:13" s="204" customFormat="1" hidden="1">
      <c r="F149" s="248"/>
      <c r="G149" s="128" t="s">
        <v>312</v>
      </c>
      <c r="H149" s="215"/>
      <c r="I149" s="214">
        <v>923</v>
      </c>
      <c r="J149" s="252"/>
    </row>
    <row r="150" spans="6:13" s="204" customFormat="1" hidden="1">
      <c r="F150" s="248"/>
      <c r="G150" s="128" t="s">
        <v>350</v>
      </c>
      <c r="H150" s="215"/>
      <c r="I150" s="214">
        <v>923</v>
      </c>
      <c r="J150" s="252">
        <f>+J145</f>
        <v>91890.719999999987</v>
      </c>
    </row>
    <row r="151" spans="6:13" s="204" customFormat="1" ht="13.5" hidden="1" thickBot="1">
      <c r="F151" s="248">
        <f>SUM(F149:F150)</f>
        <v>0</v>
      </c>
      <c r="G151" s="266" t="s">
        <v>464</v>
      </c>
      <c r="H151" s="269"/>
      <c r="I151" s="342"/>
      <c r="J151" s="326">
        <f>SUM(J149:J150)</f>
        <v>91890.719999999987</v>
      </c>
    </row>
    <row r="152" spans="6:13" s="204" customFormat="1" ht="13.5" thickBot="1">
      <c r="F152" s="233"/>
    </row>
    <row r="153" spans="6:13" s="204" customFormat="1" ht="13.5" thickBot="1">
      <c r="K153" s="343" t="s">
        <v>9</v>
      </c>
      <c r="L153" s="344" t="s">
        <v>466</v>
      </c>
      <c r="M153" s="345" t="s">
        <v>467</v>
      </c>
    </row>
    <row r="154" spans="6:13" s="204" customFormat="1">
      <c r="G154" s="233"/>
      <c r="J154" s="204" t="str">
        <f>"To Page "&amp;'Lead Sheet'!$J$1</f>
        <v>To Page Page 4.4</v>
      </c>
      <c r="K154" s="346">
        <f>+K156-K155</f>
        <v>83925.469999999987</v>
      </c>
      <c r="L154" s="247">
        <v>1</v>
      </c>
      <c r="M154" s="347" t="s">
        <v>10</v>
      </c>
    </row>
    <row r="155" spans="6:13" s="204" customFormat="1">
      <c r="J155" s="204" t="str">
        <f>"To Page "&amp;'Lead Sheet'!$J$1</f>
        <v>To Page Page 4.4</v>
      </c>
      <c r="K155" s="350">
        <f>+E9+E27+E40+E45+E53+E62+E86+E109+E124</f>
        <v>10923.810000000001</v>
      </c>
      <c r="L155" s="247">
        <v>109</v>
      </c>
      <c r="M155" s="347" t="s">
        <v>468</v>
      </c>
    </row>
    <row r="156" spans="6:13" s="204" customFormat="1" ht="13.5" thickBot="1">
      <c r="G156" s="271" t="s">
        <v>480</v>
      </c>
      <c r="K156" s="348">
        <f>+J146</f>
        <v>94849.279999999984</v>
      </c>
      <c r="L156" s="260"/>
      <c r="M156" s="349"/>
    </row>
    <row r="157" spans="6:13" s="204" customFormat="1"/>
    <row r="158" spans="6:13" s="204" customFormat="1"/>
    <row r="159" spans="6:13" s="204" customFormat="1"/>
    <row r="160" spans="6:13" s="204" customFormat="1"/>
    <row r="161" s="204" customFormat="1"/>
    <row r="162" s="204" customFormat="1"/>
    <row r="163" s="204" customFormat="1"/>
    <row r="164" s="204" customFormat="1"/>
    <row r="165" s="204" customFormat="1"/>
    <row r="166" s="204" customFormat="1"/>
    <row r="167" s="204" customFormat="1"/>
    <row r="168" s="204" customFormat="1"/>
    <row r="169" s="204" customFormat="1"/>
    <row r="170" s="204" customFormat="1"/>
    <row r="171" s="204" customFormat="1"/>
    <row r="172" s="204" customFormat="1"/>
    <row r="173" s="204" customFormat="1"/>
    <row r="174" s="204" customFormat="1"/>
    <row r="175" s="204" customFormat="1"/>
    <row r="176" s="204" customFormat="1"/>
    <row r="177" s="204" customFormat="1"/>
    <row r="178" s="204" customFormat="1"/>
    <row r="179" s="204" customFormat="1"/>
    <row r="180" s="204" customFormat="1"/>
    <row r="181" s="204" customFormat="1"/>
    <row r="182" s="204" customFormat="1"/>
    <row r="183" s="204" customFormat="1"/>
    <row r="184" s="204" customFormat="1"/>
    <row r="185" s="204" customFormat="1"/>
    <row r="186" s="204" customFormat="1"/>
    <row r="187" s="204" customFormat="1"/>
    <row r="188" s="204" customFormat="1"/>
    <row r="189" s="204" customFormat="1"/>
    <row r="190" s="204" customFormat="1"/>
    <row r="191" s="204" customFormat="1"/>
    <row r="192" s="204" customFormat="1"/>
    <row r="193" s="204" customFormat="1"/>
    <row r="194" s="204" customFormat="1"/>
    <row r="195" s="204" customFormat="1"/>
    <row r="196" s="204" customFormat="1"/>
    <row r="197" s="204" customFormat="1"/>
    <row r="198" s="204" customFormat="1"/>
    <row r="199" s="204" customFormat="1"/>
    <row r="200" s="204" customFormat="1"/>
  </sheetData>
  <phoneticPr fontId="11" type="noConversion"/>
  <printOptions horizontalCentered="1"/>
  <pageMargins left="0.25" right="0.25" top="0.5" bottom="0.25" header="0.5" footer="0.5"/>
  <pageSetup scale="72" fitToHeight="2"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V521"/>
  <sheetViews>
    <sheetView zoomScaleNormal="100" workbookViewId="0">
      <pane xSplit="1" ySplit="2" topLeftCell="E78" activePane="bottomRight" state="frozen"/>
      <selection pane="topRight" activeCell="B1" sqref="B1"/>
      <selection pane="bottomLeft" activeCell="A3" sqref="A3"/>
      <selection pane="bottomRight" activeCell="H92" sqref="H92"/>
    </sheetView>
  </sheetViews>
  <sheetFormatPr defaultRowHeight="12.75"/>
  <cols>
    <col min="1" max="1" width="51.140625" customWidth="1"/>
    <col min="2" max="2" width="6" style="30" bestFit="1" customWidth="1"/>
    <col min="3" max="3" width="9" style="30" customWidth="1"/>
    <col min="4" max="4" width="14.7109375" bestFit="1" customWidth="1"/>
    <col min="5" max="5" width="11.5703125" bestFit="1" customWidth="1"/>
    <col min="6" max="6" width="10.5703125" bestFit="1" customWidth="1"/>
    <col min="7" max="7" width="13" bestFit="1" customWidth="1"/>
    <col min="8" max="8" width="12" bestFit="1" customWidth="1"/>
    <col min="9" max="10" width="11.5703125" bestFit="1" customWidth="1"/>
    <col min="11" max="12" width="11.7109375" bestFit="1" customWidth="1"/>
    <col min="13" max="13" width="12.140625" bestFit="1" customWidth="1"/>
    <col min="14" max="14" width="13.140625" bestFit="1" customWidth="1"/>
    <col min="15" max="15" width="12.28515625" customWidth="1"/>
    <col min="16" max="16" width="11.85546875" customWidth="1"/>
    <col min="17" max="17" width="12" customWidth="1"/>
    <col min="18" max="18" width="13.140625" customWidth="1"/>
    <col min="19" max="19" width="12.140625" customWidth="1"/>
    <col min="20" max="20" width="26.42578125" style="28" bestFit="1" customWidth="1"/>
    <col min="21" max="21" width="17.28515625" style="28" bestFit="1" customWidth="1"/>
    <col min="22" max="22" width="9.140625" style="28"/>
  </cols>
  <sheetData>
    <row r="1" spans="1:22" ht="15.75">
      <c r="A1" s="6" t="s">
        <v>174</v>
      </c>
      <c r="B1" s="165"/>
      <c r="C1" s="141" t="s">
        <v>193</v>
      </c>
      <c r="D1" s="141" t="s">
        <v>11</v>
      </c>
      <c r="E1" s="141" t="s">
        <v>12</v>
      </c>
      <c r="F1" s="141"/>
      <c r="G1" s="141" t="s">
        <v>13</v>
      </c>
      <c r="H1" s="141" t="s">
        <v>14</v>
      </c>
      <c r="I1" s="141" t="s">
        <v>124</v>
      </c>
      <c r="J1" s="141" t="s">
        <v>17</v>
      </c>
      <c r="K1" s="141" t="s">
        <v>15</v>
      </c>
      <c r="L1" s="141" t="s">
        <v>15</v>
      </c>
      <c r="M1" s="141" t="s">
        <v>15</v>
      </c>
      <c r="N1" s="141" t="s">
        <v>16</v>
      </c>
      <c r="O1" s="141" t="s">
        <v>125</v>
      </c>
      <c r="P1" s="141" t="s">
        <v>126</v>
      </c>
      <c r="Q1" s="141"/>
      <c r="R1" s="138" t="s">
        <v>166</v>
      </c>
      <c r="T1"/>
      <c r="U1"/>
      <c r="V1"/>
    </row>
    <row r="2" spans="1:22" ht="16.5" thickBot="1">
      <c r="A2" s="6" t="s">
        <v>123</v>
      </c>
      <c r="B2" s="175" t="s">
        <v>192</v>
      </c>
      <c r="C2" s="142" t="s">
        <v>194</v>
      </c>
      <c r="D2" s="142" t="s">
        <v>127</v>
      </c>
      <c r="E2" s="142" t="s">
        <v>21</v>
      </c>
      <c r="F2" s="142" t="s">
        <v>184</v>
      </c>
      <c r="G2" s="142" t="s">
        <v>22</v>
      </c>
      <c r="H2" s="142" t="s">
        <v>23</v>
      </c>
      <c r="I2" s="142" t="s">
        <v>128</v>
      </c>
      <c r="J2" s="142" t="s">
        <v>30</v>
      </c>
      <c r="K2" s="142" t="s">
        <v>24</v>
      </c>
      <c r="L2" s="142" t="s">
        <v>27</v>
      </c>
      <c r="M2" s="142" t="s">
        <v>28</v>
      </c>
      <c r="N2" s="142" t="s">
        <v>129</v>
      </c>
      <c r="O2" s="142" t="s">
        <v>185</v>
      </c>
      <c r="P2" s="142" t="s">
        <v>186</v>
      </c>
      <c r="Q2" s="142" t="s">
        <v>9</v>
      </c>
      <c r="T2"/>
      <c r="U2"/>
      <c r="V2"/>
    </row>
    <row r="3" spans="1:22" ht="13.5">
      <c r="A3" s="109" t="s">
        <v>31</v>
      </c>
      <c r="B3" s="166" t="s">
        <v>191</v>
      </c>
      <c r="C3" s="187">
        <v>10069</v>
      </c>
      <c r="D3" s="115"/>
      <c r="E3" s="115"/>
      <c r="F3" s="115"/>
      <c r="G3" s="110">
        <v>31463.855701289394</v>
      </c>
      <c r="H3" s="110">
        <v>-1766.0528896999999</v>
      </c>
      <c r="I3" s="110"/>
      <c r="J3" s="110"/>
      <c r="K3" s="110"/>
      <c r="L3" s="110"/>
      <c r="M3" s="110"/>
      <c r="N3" s="110"/>
      <c r="O3" s="110">
        <v>3146.3855716217563</v>
      </c>
      <c r="P3" s="110">
        <v>6241.4804129642307</v>
      </c>
      <c r="Q3" s="111">
        <f t="shared" ref="Q3:Q66" si="0">SUM(D3:P3)</f>
        <v>39085.668796175378</v>
      </c>
      <c r="T3"/>
      <c r="U3"/>
      <c r="V3"/>
    </row>
    <row r="4" spans="1:22" ht="13.5">
      <c r="A4" s="112" t="s">
        <v>130</v>
      </c>
      <c r="B4" s="167" t="s">
        <v>191</v>
      </c>
      <c r="C4" s="188">
        <v>10111</v>
      </c>
      <c r="D4" s="95"/>
      <c r="E4" s="95"/>
      <c r="F4" s="95"/>
      <c r="G4" s="95">
        <v>161.01610163365953</v>
      </c>
      <c r="H4" s="95"/>
      <c r="I4" s="95"/>
      <c r="J4" s="95"/>
      <c r="K4" s="95"/>
      <c r="L4" s="95"/>
      <c r="M4" s="95"/>
      <c r="N4" s="95"/>
      <c r="O4" s="95">
        <v>16.101610171005433</v>
      </c>
      <c r="P4" s="95">
        <v>31.968778963894231</v>
      </c>
      <c r="Q4" s="113">
        <f t="shared" si="0"/>
        <v>209.0864907685592</v>
      </c>
      <c r="T4"/>
      <c r="U4"/>
      <c r="V4"/>
    </row>
    <row r="5" spans="1:22" ht="13.5">
      <c r="A5" s="112" t="s">
        <v>64</v>
      </c>
      <c r="B5" s="167" t="s">
        <v>191</v>
      </c>
      <c r="C5" s="188">
        <v>10179</v>
      </c>
      <c r="D5" s="95"/>
      <c r="E5" s="95"/>
      <c r="F5" s="95"/>
      <c r="G5" s="95">
        <v>35734.459894513566</v>
      </c>
      <c r="H5" s="95">
        <v>-17145.503599199998</v>
      </c>
      <c r="I5" s="95"/>
      <c r="J5" s="95"/>
      <c r="K5" s="95"/>
      <c r="L5" s="95"/>
      <c r="M5" s="95"/>
      <c r="N5" s="95">
        <v>54.9</v>
      </c>
      <c r="O5" s="95">
        <v>3262.0535351590524</v>
      </c>
      <c r="P5" s="95">
        <v>3905.3887235290263</v>
      </c>
      <c r="Q5" s="113">
        <f t="shared" si="0"/>
        <v>25811.298554001649</v>
      </c>
      <c r="T5"/>
      <c r="U5"/>
      <c r="V5"/>
    </row>
    <row r="6" spans="1:22" ht="13.5">
      <c r="A6" s="112" t="s">
        <v>63</v>
      </c>
      <c r="B6" s="167" t="s">
        <v>191</v>
      </c>
      <c r="C6" s="188">
        <v>10190</v>
      </c>
      <c r="D6" s="95"/>
      <c r="E6" s="95"/>
      <c r="F6" s="95"/>
      <c r="G6" s="95">
        <v>70810.413375667486</v>
      </c>
      <c r="H6" s="95">
        <v>-277489.77</v>
      </c>
      <c r="I6" s="95"/>
      <c r="J6" s="95"/>
      <c r="K6" s="95"/>
      <c r="L6" s="95"/>
      <c r="M6" s="95"/>
      <c r="N6" s="95">
        <v>601.59</v>
      </c>
      <c r="O6" s="95">
        <v>7081.0413409263801</v>
      </c>
      <c r="P6" s="95">
        <v>15678.24762047176</v>
      </c>
      <c r="Q6" s="113">
        <f t="shared" si="0"/>
        <v>-183318.47766293443</v>
      </c>
      <c r="T6"/>
      <c r="U6"/>
      <c r="V6"/>
    </row>
    <row r="7" spans="1:22" ht="13.5">
      <c r="A7" s="112" t="s">
        <v>37</v>
      </c>
      <c r="B7" s="167" t="s">
        <v>191</v>
      </c>
      <c r="C7" s="188">
        <v>10210</v>
      </c>
      <c r="D7" s="95">
        <v>38292.67</v>
      </c>
      <c r="E7" s="95"/>
      <c r="F7" s="95"/>
      <c r="G7" s="95">
        <v>155414.22995266737</v>
      </c>
      <c r="H7" s="95">
        <v>64654.038708800006</v>
      </c>
      <c r="I7" s="95">
        <v>11081.3</v>
      </c>
      <c r="J7" s="95">
        <v>6596.12</v>
      </c>
      <c r="K7" s="95">
        <v>299</v>
      </c>
      <c r="L7" s="95"/>
      <c r="M7" s="95">
        <v>6806</v>
      </c>
      <c r="N7" s="95">
        <v>47862.64</v>
      </c>
      <c r="O7" s="95">
        <v>963.935682584083</v>
      </c>
      <c r="P7" s="95">
        <v>781.68444471434259</v>
      </c>
      <c r="Q7" s="113">
        <f t="shared" si="0"/>
        <v>332751.6187887658</v>
      </c>
      <c r="T7"/>
      <c r="U7"/>
      <c r="V7"/>
    </row>
    <row r="8" spans="1:22" ht="13.5">
      <c r="A8" s="112" t="s">
        <v>131</v>
      </c>
      <c r="B8" s="167" t="s">
        <v>191</v>
      </c>
      <c r="C8" s="188">
        <v>11620</v>
      </c>
      <c r="D8" s="95"/>
      <c r="E8" s="95"/>
      <c r="F8" s="95"/>
      <c r="G8" s="95">
        <v>46.143902814880249</v>
      </c>
      <c r="H8" s="95"/>
      <c r="I8" s="95"/>
      <c r="J8" s="95"/>
      <c r="K8" s="95"/>
      <c r="L8" s="95"/>
      <c r="M8" s="95"/>
      <c r="N8" s="95"/>
      <c r="O8" s="95">
        <v>4.6143902836773432</v>
      </c>
      <c r="P8" s="95">
        <v>12.911527079178997</v>
      </c>
      <c r="Q8" s="113">
        <f t="shared" si="0"/>
        <v>63.66982017773659</v>
      </c>
      <c r="T8"/>
      <c r="U8"/>
      <c r="V8"/>
    </row>
    <row r="9" spans="1:22" ht="13.5">
      <c r="A9" s="116" t="s">
        <v>132</v>
      </c>
      <c r="B9" s="168" t="s">
        <v>189</v>
      </c>
      <c r="C9" s="189">
        <v>11622</v>
      </c>
      <c r="D9" s="96">
        <v>10082</v>
      </c>
      <c r="E9" s="96"/>
      <c r="F9" s="96">
        <v>26353.439999999999</v>
      </c>
      <c r="G9" s="96">
        <f>52704-F9</f>
        <v>26350.560000000001</v>
      </c>
      <c r="H9" s="96">
        <v>17529.57</v>
      </c>
      <c r="I9" s="96"/>
      <c r="J9" s="96">
        <v>538.05999999999995</v>
      </c>
      <c r="K9" s="96"/>
      <c r="L9" s="96"/>
      <c r="M9" s="96">
        <v>1384</v>
      </c>
      <c r="N9" s="96">
        <v>7560</v>
      </c>
      <c r="O9" s="96"/>
      <c r="P9" s="96"/>
      <c r="Q9" s="117">
        <f t="shared" si="0"/>
        <v>89797.63</v>
      </c>
      <c r="R9" t="s">
        <v>188</v>
      </c>
      <c r="T9"/>
      <c r="U9"/>
      <c r="V9"/>
    </row>
    <row r="10" spans="1:22" ht="13.5">
      <c r="A10" s="112" t="s">
        <v>40</v>
      </c>
      <c r="B10" s="167" t="s">
        <v>191</v>
      </c>
      <c r="C10" s="188">
        <v>11622</v>
      </c>
      <c r="D10" s="95">
        <v>59078.16</v>
      </c>
      <c r="E10" s="95"/>
      <c r="F10" s="95"/>
      <c r="G10" s="95">
        <v>186304.39361073167</v>
      </c>
      <c r="H10" s="95">
        <v>38218.912633600004</v>
      </c>
      <c r="I10" s="95">
        <v>14601.01</v>
      </c>
      <c r="J10" s="95">
        <v>5342.65</v>
      </c>
      <c r="K10" s="95">
        <v>1027</v>
      </c>
      <c r="L10" s="95">
        <v>367.6</v>
      </c>
      <c r="M10" s="95">
        <v>8154</v>
      </c>
      <c r="N10" s="95">
        <v>44143.49</v>
      </c>
      <c r="O10" s="95">
        <v>2635.3444596235195</v>
      </c>
      <c r="P10" s="95">
        <v>1996.8219896411208</v>
      </c>
      <c r="Q10" s="113">
        <f t="shared" si="0"/>
        <v>361869.3826935963</v>
      </c>
      <c r="T10"/>
      <c r="U10"/>
      <c r="V10"/>
    </row>
    <row r="11" spans="1:22" ht="13.5">
      <c r="A11" s="154" t="s">
        <v>61</v>
      </c>
      <c r="B11" s="169" t="s">
        <v>190</v>
      </c>
      <c r="C11" s="190">
        <v>11622</v>
      </c>
      <c r="D11" s="155">
        <v>-1680</v>
      </c>
      <c r="E11" s="155"/>
      <c r="F11" s="155">
        <v>7159.28</v>
      </c>
      <c r="G11" s="155">
        <f>34160.627452306-F11</f>
        <v>27001.347452305999</v>
      </c>
      <c r="H11" s="155">
        <v>-1304.1543843999989</v>
      </c>
      <c r="I11" s="155"/>
      <c r="J11" s="155">
        <v>900</v>
      </c>
      <c r="K11" s="155">
        <v>300</v>
      </c>
      <c r="L11" s="155"/>
      <c r="M11" s="155">
        <v>329</v>
      </c>
      <c r="N11" s="155">
        <v>6750.55</v>
      </c>
      <c r="O11" s="155">
        <v>715.928746990273</v>
      </c>
      <c r="P11" s="155">
        <v>493.1183928617192</v>
      </c>
      <c r="Q11" s="156">
        <f t="shared" si="0"/>
        <v>40665.070207757992</v>
      </c>
      <c r="T11"/>
      <c r="U11"/>
      <c r="V11"/>
    </row>
    <row r="12" spans="1:22" ht="13.5">
      <c r="A12" s="112" t="s">
        <v>149</v>
      </c>
      <c r="B12" s="167" t="s">
        <v>191</v>
      </c>
      <c r="C12" s="188">
        <v>11631</v>
      </c>
      <c r="D12" s="95"/>
      <c r="E12" s="95"/>
      <c r="F12" s="95"/>
      <c r="G12" s="95">
        <v>4093.9044705296906</v>
      </c>
      <c r="H12" s="95"/>
      <c r="I12" s="95"/>
      <c r="J12" s="95"/>
      <c r="K12" s="95"/>
      <c r="L12" s="95"/>
      <c r="M12" s="95"/>
      <c r="N12" s="95"/>
      <c r="O12" s="95">
        <v>409.39044724720623</v>
      </c>
      <c r="P12" s="95">
        <v>494.31726318542974</v>
      </c>
      <c r="Q12" s="113">
        <f t="shared" si="0"/>
        <v>4997.6121809623264</v>
      </c>
      <c r="T12"/>
      <c r="U12"/>
      <c r="V12"/>
    </row>
    <row r="13" spans="1:22" ht="13.5">
      <c r="A13" s="112" t="s">
        <v>133</v>
      </c>
      <c r="B13" s="167" t="s">
        <v>191</v>
      </c>
      <c r="C13" s="188">
        <v>11638</v>
      </c>
      <c r="D13" s="95"/>
      <c r="E13" s="95"/>
      <c r="F13" s="95"/>
      <c r="G13" s="95">
        <v>217.71215731865951</v>
      </c>
      <c r="H13" s="95"/>
      <c r="I13" s="95"/>
      <c r="J13" s="95"/>
      <c r="K13" s="95"/>
      <c r="L13" s="95"/>
      <c r="M13" s="95"/>
      <c r="N13" s="95"/>
      <c r="O13" s="95">
        <v>21.771215742195402</v>
      </c>
      <c r="P13" s="95">
        <v>60.918046441877379</v>
      </c>
      <c r="Q13" s="113">
        <f t="shared" si="0"/>
        <v>300.40141950273232</v>
      </c>
      <c r="T13"/>
      <c r="U13"/>
      <c r="V13"/>
    </row>
    <row r="14" spans="1:22" ht="13.5">
      <c r="A14" s="116" t="s">
        <v>68</v>
      </c>
      <c r="B14" s="168" t="s">
        <v>189</v>
      </c>
      <c r="C14" s="189">
        <v>11640</v>
      </c>
      <c r="D14" s="96">
        <v>71630.880000000005</v>
      </c>
      <c r="E14" s="96"/>
      <c r="F14" s="96">
        <v>-311.38</v>
      </c>
      <c r="G14" s="96">
        <f>279795.788628064-F14</f>
        <v>280107.16862806398</v>
      </c>
      <c r="H14" s="96">
        <v>107342.57129840003</v>
      </c>
      <c r="I14" s="96">
        <v>35665.57</v>
      </c>
      <c r="J14" s="96">
        <v>10131.549999999999</v>
      </c>
      <c r="K14" s="96">
        <v>905.66</v>
      </c>
      <c r="L14" s="96">
        <v>904</v>
      </c>
      <c r="M14" s="96">
        <v>12318</v>
      </c>
      <c r="N14" s="96">
        <v>96547.55</v>
      </c>
      <c r="O14" s="96">
        <v>-31.137557378384244</v>
      </c>
      <c r="P14" s="96">
        <v>-18.531658586573599</v>
      </c>
      <c r="Q14" s="117">
        <f t="shared" si="0"/>
        <v>615191.90071049903</v>
      </c>
      <c r="R14" t="s">
        <v>188</v>
      </c>
      <c r="T14"/>
      <c r="U14"/>
      <c r="V14"/>
    </row>
    <row r="15" spans="1:22" ht="13.5">
      <c r="A15" s="112" t="s">
        <v>149</v>
      </c>
      <c r="B15" s="167" t="s">
        <v>191</v>
      </c>
      <c r="C15" s="188">
        <v>11640</v>
      </c>
      <c r="D15" s="95"/>
      <c r="E15" s="95"/>
      <c r="F15" s="95"/>
      <c r="G15" s="95">
        <v>11970.511965888112</v>
      </c>
      <c r="H15" s="95"/>
      <c r="I15" s="95"/>
      <c r="J15" s="95"/>
      <c r="K15" s="95"/>
      <c r="L15" s="95"/>
      <c r="M15" s="95"/>
      <c r="N15" s="95"/>
      <c r="O15" s="95">
        <v>1197.0511971567576</v>
      </c>
      <c r="P15" s="95">
        <v>2815.9989920281569</v>
      </c>
      <c r="Q15" s="113">
        <f t="shared" si="0"/>
        <v>15983.562155073027</v>
      </c>
      <c r="T15"/>
      <c r="U15"/>
      <c r="V15"/>
    </row>
    <row r="16" spans="1:22" ht="13.5">
      <c r="A16" s="154" t="s">
        <v>67</v>
      </c>
      <c r="B16" s="169" t="s">
        <v>190</v>
      </c>
      <c r="C16" s="190">
        <v>11643</v>
      </c>
      <c r="D16" s="155">
        <v>-19262</v>
      </c>
      <c r="E16" s="155"/>
      <c r="F16" s="155">
        <v>44427.67</v>
      </c>
      <c r="G16" s="155">
        <f>136170.67094745-F16</f>
        <v>91743.000947450011</v>
      </c>
      <c r="H16" s="155">
        <v>27895.531593300017</v>
      </c>
      <c r="I16" s="155">
        <v>3623.78</v>
      </c>
      <c r="J16" s="155">
        <v>1744.32</v>
      </c>
      <c r="K16" s="155">
        <v>325</v>
      </c>
      <c r="L16" s="155"/>
      <c r="M16" s="155">
        <v>1962</v>
      </c>
      <c r="N16" s="155">
        <v>28663.71</v>
      </c>
      <c r="O16" s="155">
        <v>4442.7663081528872</v>
      </c>
      <c r="P16" s="155">
        <v>7133.9214863941052</v>
      </c>
      <c r="Q16" s="156">
        <f t="shared" si="0"/>
        <v>192699.70033529701</v>
      </c>
      <c r="T16"/>
      <c r="U16"/>
      <c r="V16"/>
    </row>
    <row r="17" spans="1:22" ht="13.5">
      <c r="A17" s="112" t="s">
        <v>44</v>
      </c>
      <c r="B17" s="167" t="s">
        <v>191</v>
      </c>
      <c r="C17" s="188">
        <v>11648</v>
      </c>
      <c r="D17" s="95"/>
      <c r="E17" s="95"/>
      <c r="F17" s="95"/>
      <c r="G17" s="95">
        <v>35181.922436590263</v>
      </c>
      <c r="H17" s="95">
        <v>-34331.620000000003</v>
      </c>
      <c r="I17" s="95"/>
      <c r="J17" s="95"/>
      <c r="K17" s="95"/>
      <c r="L17" s="95"/>
      <c r="M17" s="95"/>
      <c r="N17" s="95">
        <v>27282.09</v>
      </c>
      <c r="O17" s="95">
        <v>3518.1922453282482</v>
      </c>
      <c r="P17" s="95">
        <v>4972.4718726909605</v>
      </c>
      <c r="Q17" s="113">
        <f t="shared" si="0"/>
        <v>36623.056554609473</v>
      </c>
      <c r="T17"/>
      <c r="U17"/>
      <c r="V17"/>
    </row>
    <row r="18" spans="1:22" ht="13.5">
      <c r="A18" s="112" t="s">
        <v>42</v>
      </c>
      <c r="B18" s="167" t="s">
        <v>191</v>
      </c>
      <c r="C18" s="188">
        <v>11650</v>
      </c>
      <c r="D18" s="95"/>
      <c r="E18" s="95"/>
      <c r="F18" s="95"/>
      <c r="G18" s="95">
        <v>9714.2144205885907</v>
      </c>
      <c r="H18" s="95">
        <v>-10775.001999999997</v>
      </c>
      <c r="I18" s="95"/>
      <c r="J18" s="95"/>
      <c r="K18" s="95"/>
      <c r="L18" s="95"/>
      <c r="M18" s="95"/>
      <c r="N18" s="95"/>
      <c r="O18" s="95">
        <v>971.42144251975435</v>
      </c>
      <c r="P18" s="95">
        <v>687.49512403913843</v>
      </c>
      <c r="Q18" s="113">
        <f t="shared" si="0"/>
        <v>598.12898714748667</v>
      </c>
      <c r="T18"/>
      <c r="U18"/>
      <c r="V18"/>
    </row>
    <row r="19" spans="1:22" ht="13.5">
      <c r="A19" s="112" t="s">
        <v>54</v>
      </c>
      <c r="B19" s="167" t="s">
        <v>191</v>
      </c>
      <c r="C19" s="188">
        <v>11650</v>
      </c>
      <c r="D19" s="95"/>
      <c r="E19" s="95"/>
      <c r="F19" s="95"/>
      <c r="G19" s="95">
        <v>12232.034711690636</v>
      </c>
      <c r="H19" s="95">
        <v>273.02653279999998</v>
      </c>
      <c r="I19" s="95"/>
      <c r="J19" s="95"/>
      <c r="K19" s="95"/>
      <c r="L19" s="95"/>
      <c r="M19" s="95"/>
      <c r="N19" s="95"/>
      <c r="O19" s="95">
        <v>1223.2034717494182</v>
      </c>
      <c r="P19" s="95">
        <v>3078.5757193466961</v>
      </c>
      <c r="Q19" s="113">
        <f t="shared" si="0"/>
        <v>16806.840435586753</v>
      </c>
      <c r="T19"/>
      <c r="U19"/>
      <c r="V19"/>
    </row>
    <row r="20" spans="1:22" ht="13.5">
      <c r="A20" s="112" t="s">
        <v>134</v>
      </c>
      <c r="B20" s="167" t="s">
        <v>191</v>
      </c>
      <c r="C20" s="188">
        <v>11653</v>
      </c>
      <c r="D20" s="95"/>
      <c r="E20" s="95"/>
      <c r="F20" s="95"/>
      <c r="G20" s="95">
        <v>98.103678663786908</v>
      </c>
      <c r="H20" s="95"/>
      <c r="I20" s="95"/>
      <c r="J20" s="95"/>
      <c r="K20" s="95"/>
      <c r="L20" s="95"/>
      <c r="M20" s="95"/>
      <c r="N20" s="95"/>
      <c r="O20" s="95">
        <v>9.8103678710332627</v>
      </c>
      <c r="P20" s="95">
        <v>19.137167504874231</v>
      </c>
      <c r="Q20" s="113">
        <f t="shared" si="0"/>
        <v>127.0512140396944</v>
      </c>
      <c r="T20"/>
      <c r="U20"/>
      <c r="V20"/>
    </row>
    <row r="21" spans="1:22" ht="13.5">
      <c r="A21" s="114" t="s">
        <v>135</v>
      </c>
      <c r="B21" s="170" t="s">
        <v>191</v>
      </c>
      <c r="C21" s="188">
        <v>11653</v>
      </c>
      <c r="D21" s="95"/>
      <c r="E21" s="95"/>
      <c r="F21" s="95"/>
      <c r="G21" s="95">
        <v>13.024769549256764</v>
      </c>
      <c r="H21" s="95"/>
      <c r="I21" s="95"/>
      <c r="J21" s="95"/>
      <c r="K21" s="95"/>
      <c r="L21" s="95"/>
      <c r="M21" s="95"/>
      <c r="N21" s="95"/>
      <c r="O21" s="95">
        <v>1.3024769555436424</v>
      </c>
      <c r="P21" s="95">
        <v>1.6191873962618004</v>
      </c>
      <c r="Q21" s="113">
        <f t="shared" si="0"/>
        <v>15.946433901062207</v>
      </c>
      <c r="T21"/>
      <c r="U21"/>
      <c r="V21"/>
    </row>
    <row r="22" spans="1:22" ht="13.5">
      <c r="A22" s="112" t="s">
        <v>50</v>
      </c>
      <c r="B22" s="167" t="s">
        <v>191</v>
      </c>
      <c r="C22" s="188">
        <v>11654</v>
      </c>
      <c r="D22" s="95">
        <v>-9618</v>
      </c>
      <c r="E22" s="95"/>
      <c r="F22" s="95"/>
      <c r="G22" s="95">
        <v>108966.09756147453</v>
      </c>
      <c r="H22" s="95">
        <v>11455.741371799995</v>
      </c>
      <c r="I22" s="95">
        <v>3077.73</v>
      </c>
      <c r="J22" s="95">
        <v>2320.12</v>
      </c>
      <c r="K22" s="95">
        <v>400</v>
      </c>
      <c r="L22" s="95"/>
      <c r="M22" s="95">
        <v>987</v>
      </c>
      <c r="N22" s="95">
        <v>18146.490000000002</v>
      </c>
      <c r="O22" s="95">
        <v>2051.9932399610298</v>
      </c>
      <c r="P22" s="95">
        <v>3559.2858269370754</v>
      </c>
      <c r="Q22" s="113">
        <f t="shared" si="0"/>
        <v>141346.45800017263</v>
      </c>
      <c r="T22"/>
      <c r="U22"/>
      <c r="V22"/>
    </row>
    <row r="23" spans="1:22" ht="13.5">
      <c r="A23" s="116" t="s">
        <v>36</v>
      </c>
      <c r="B23" s="168" t="s">
        <v>189</v>
      </c>
      <c r="C23" s="189">
        <v>11676</v>
      </c>
      <c r="D23" s="96">
        <v>70407.600000000006</v>
      </c>
      <c r="E23" s="96"/>
      <c r="F23" s="96">
        <v>2859.84</v>
      </c>
      <c r="G23" s="96">
        <f>267984.856330825-F23</f>
        <v>265125.01633082499</v>
      </c>
      <c r="H23" s="96">
        <v>83791.443763399991</v>
      </c>
      <c r="I23" s="96">
        <v>11906.71</v>
      </c>
      <c r="J23" s="96">
        <v>7791.2</v>
      </c>
      <c r="K23" s="96">
        <v>336</v>
      </c>
      <c r="L23" s="96"/>
      <c r="M23" s="96">
        <v>8190</v>
      </c>
      <c r="N23" s="96">
        <v>39647.17</v>
      </c>
      <c r="O23" s="96">
        <v>285.9842382681507</v>
      </c>
      <c r="P23" s="96">
        <v>138.55886854320397</v>
      </c>
      <c r="Q23" s="117">
        <f t="shared" si="0"/>
        <v>490479.52320103633</v>
      </c>
      <c r="R23" t="s">
        <v>188</v>
      </c>
      <c r="T23"/>
      <c r="U23"/>
      <c r="V23"/>
    </row>
    <row r="24" spans="1:22" ht="13.5">
      <c r="A24" s="112" t="s">
        <v>131</v>
      </c>
      <c r="B24" s="167" t="s">
        <v>191</v>
      </c>
      <c r="C24" s="188">
        <v>11766</v>
      </c>
      <c r="D24" s="95"/>
      <c r="E24" s="95"/>
      <c r="F24" s="95"/>
      <c r="G24" s="95">
        <v>267.84358984848603</v>
      </c>
      <c r="H24" s="95"/>
      <c r="I24" s="95"/>
      <c r="J24" s="95"/>
      <c r="K24" s="95"/>
      <c r="L24" s="95"/>
      <c r="M24" s="95"/>
      <c r="N24" s="95"/>
      <c r="O24" s="95">
        <v>26.784358997556559</v>
      </c>
      <c r="P24" s="95">
        <v>52.248475427755672</v>
      </c>
      <c r="Q24" s="113">
        <f t="shared" si="0"/>
        <v>346.87642427379831</v>
      </c>
      <c r="T24"/>
      <c r="U24"/>
      <c r="V24"/>
    </row>
    <row r="25" spans="1:22" ht="13.5">
      <c r="A25" s="112" t="s">
        <v>136</v>
      </c>
      <c r="B25" s="167" t="s">
        <v>191</v>
      </c>
      <c r="C25" s="188">
        <v>11766</v>
      </c>
      <c r="D25" s="95"/>
      <c r="E25" s="95"/>
      <c r="F25" s="95"/>
      <c r="G25" s="95">
        <v>14.208839508280105</v>
      </c>
      <c r="H25" s="95"/>
      <c r="I25" s="95"/>
      <c r="J25" s="95"/>
      <c r="K25" s="95"/>
      <c r="L25" s="95"/>
      <c r="M25" s="95"/>
      <c r="N25" s="95"/>
      <c r="O25" s="95"/>
      <c r="P25" s="95">
        <v>2.7717303308444041</v>
      </c>
      <c r="Q25" s="113">
        <f t="shared" si="0"/>
        <v>16.980569839124509</v>
      </c>
      <c r="T25"/>
      <c r="U25"/>
      <c r="V25"/>
    </row>
    <row r="26" spans="1:22" ht="13.5">
      <c r="A26" s="112" t="s">
        <v>45</v>
      </c>
      <c r="B26" s="167" t="s">
        <v>191</v>
      </c>
      <c r="C26" s="188">
        <v>12633</v>
      </c>
      <c r="D26" s="95"/>
      <c r="E26" s="95"/>
      <c r="F26" s="95"/>
      <c r="G26" s="95">
        <v>11379.103846942986</v>
      </c>
      <c r="H26" s="95">
        <v>-146122.1978202</v>
      </c>
      <c r="I26" s="95"/>
      <c r="J26" s="95"/>
      <c r="K26" s="95"/>
      <c r="L26" s="95"/>
      <c r="M26" s="95"/>
      <c r="N26" s="95"/>
      <c r="O26" s="95">
        <v>1137.9103852341852</v>
      </c>
      <c r="P26" s="95">
        <v>1231.2766128901392</v>
      </c>
      <c r="Q26" s="113">
        <f t="shared" si="0"/>
        <v>-132373.9069751327</v>
      </c>
      <c r="T26"/>
      <c r="U26"/>
      <c r="V26"/>
    </row>
    <row r="27" spans="1:22" ht="13.5">
      <c r="A27" s="112" t="s">
        <v>137</v>
      </c>
      <c r="B27" s="167" t="s">
        <v>191</v>
      </c>
      <c r="C27" s="188">
        <v>12633</v>
      </c>
      <c r="D27" s="95"/>
      <c r="E27" s="95"/>
      <c r="F27" s="95"/>
      <c r="G27" s="95">
        <v>6.0770649367521532</v>
      </c>
      <c r="H27" s="95"/>
      <c r="I27" s="95"/>
      <c r="J27" s="95"/>
      <c r="K27" s="95"/>
      <c r="L27" s="95"/>
      <c r="M27" s="95"/>
      <c r="N27" s="95"/>
      <c r="O27" s="95">
        <v>0.60770649396354437</v>
      </c>
      <c r="P27" s="95">
        <v>0.75547647232001136</v>
      </c>
      <c r="Q27" s="113">
        <f t="shared" si="0"/>
        <v>7.4402479030357087</v>
      </c>
      <c r="T27"/>
      <c r="U27"/>
      <c r="V27"/>
    </row>
    <row r="28" spans="1:22" ht="13.5">
      <c r="A28" s="112" t="s">
        <v>73</v>
      </c>
      <c r="B28" s="167" t="s">
        <v>191</v>
      </c>
      <c r="C28" s="188">
        <v>12633</v>
      </c>
      <c r="D28" s="95"/>
      <c r="E28" s="95"/>
      <c r="F28" s="95"/>
      <c r="G28" s="95">
        <v>30020.805264316728</v>
      </c>
      <c r="H28" s="95"/>
      <c r="I28" s="95"/>
      <c r="J28" s="95"/>
      <c r="K28" s="95"/>
      <c r="L28" s="95"/>
      <c r="M28" s="95"/>
      <c r="N28" s="95"/>
      <c r="O28" s="95">
        <v>3002.0805278560233</v>
      </c>
      <c r="P28" s="95">
        <v>4231.1340221988921</v>
      </c>
      <c r="Q28" s="113">
        <f t="shared" si="0"/>
        <v>37254.019814371648</v>
      </c>
      <c r="T28"/>
      <c r="U28"/>
      <c r="V28"/>
    </row>
    <row r="29" spans="1:22" ht="13.5">
      <c r="A29" s="112" t="s">
        <v>57</v>
      </c>
      <c r="B29" s="167" t="s">
        <v>191</v>
      </c>
      <c r="C29" s="188">
        <v>12634</v>
      </c>
      <c r="D29" s="95">
        <v>-21370</v>
      </c>
      <c r="E29" s="95"/>
      <c r="F29" s="95"/>
      <c r="G29" s="95">
        <v>43495.575194707766</v>
      </c>
      <c r="H29" s="95">
        <v>-38988.176928599998</v>
      </c>
      <c r="I29" s="95"/>
      <c r="J29" s="95"/>
      <c r="K29" s="95"/>
      <c r="L29" s="95"/>
      <c r="M29" s="95"/>
      <c r="N29" s="95"/>
      <c r="O29" s="95">
        <v>2614.3533370311679</v>
      </c>
      <c r="P29" s="95">
        <v>4167.2494431506111</v>
      </c>
      <c r="Q29" s="113">
        <f t="shared" si="0"/>
        <v>-10080.998953710454</v>
      </c>
      <c r="T29"/>
      <c r="U29"/>
      <c r="V29"/>
    </row>
    <row r="30" spans="1:22" ht="13.5">
      <c r="A30" s="112" t="s">
        <v>138</v>
      </c>
      <c r="B30" s="167" t="s">
        <v>191</v>
      </c>
      <c r="C30" s="188">
        <v>13020</v>
      </c>
      <c r="D30" s="95"/>
      <c r="E30" s="95"/>
      <c r="F30" s="95"/>
      <c r="G30" s="95">
        <v>10.761106392300373</v>
      </c>
      <c r="H30" s="95"/>
      <c r="I30" s="95"/>
      <c r="J30" s="95"/>
      <c r="K30" s="95"/>
      <c r="L30" s="95"/>
      <c r="M30" s="95"/>
      <c r="N30" s="95"/>
      <c r="O30" s="95">
        <v>1.0761106397406031</v>
      </c>
      <c r="P30" s="95">
        <v>2.0991781182130413</v>
      </c>
      <c r="Q30" s="113">
        <f t="shared" si="0"/>
        <v>13.936395150254018</v>
      </c>
      <c r="T30"/>
      <c r="U30"/>
      <c r="V30"/>
    </row>
    <row r="31" spans="1:22" ht="13.5">
      <c r="A31" s="112" t="s">
        <v>149</v>
      </c>
      <c r="B31" s="167" t="s">
        <v>191</v>
      </c>
      <c r="C31" s="188">
        <v>13020</v>
      </c>
      <c r="D31" s="95"/>
      <c r="E31" s="95"/>
      <c r="F31" s="95"/>
      <c r="G31" s="95">
        <v>80.534170007102318</v>
      </c>
      <c r="H31" s="95"/>
      <c r="I31" s="95"/>
      <c r="J31" s="95"/>
      <c r="K31" s="95"/>
      <c r="L31" s="95"/>
      <c r="M31" s="95"/>
      <c r="N31" s="95"/>
      <c r="O31" s="95">
        <v>8.0534170045312106</v>
      </c>
      <c r="P31" s="95">
        <v>22.413274185068445</v>
      </c>
      <c r="Q31" s="113">
        <f t="shared" si="0"/>
        <v>111.00086119670198</v>
      </c>
      <c r="T31"/>
      <c r="U31"/>
      <c r="V31"/>
    </row>
    <row r="32" spans="1:22" ht="13.5">
      <c r="A32" s="112" t="s">
        <v>43</v>
      </c>
      <c r="B32" s="167" t="s">
        <v>191</v>
      </c>
      <c r="C32" s="188">
        <v>13020</v>
      </c>
      <c r="D32" s="95"/>
      <c r="E32" s="95"/>
      <c r="F32" s="95"/>
      <c r="G32" s="95">
        <v>11603.293563449242</v>
      </c>
      <c r="H32" s="95">
        <v>-17376.18</v>
      </c>
      <c r="I32" s="95"/>
      <c r="J32" s="95"/>
      <c r="K32" s="95"/>
      <c r="L32" s="95"/>
      <c r="M32" s="95"/>
      <c r="N32" s="95"/>
      <c r="O32" s="95">
        <v>1160.3293568954477</v>
      </c>
      <c r="P32" s="95">
        <v>2593.4067009635964</v>
      </c>
      <c r="Q32" s="113">
        <f t="shared" si="0"/>
        <v>-2019.1503786917137</v>
      </c>
      <c r="T32"/>
      <c r="U32"/>
      <c r="V32"/>
    </row>
    <row r="33" spans="1:22" ht="13.5">
      <c r="A33" s="112" t="s">
        <v>149</v>
      </c>
      <c r="B33" s="167" t="s">
        <v>191</v>
      </c>
      <c r="C33" s="188">
        <v>13020</v>
      </c>
      <c r="D33" s="95"/>
      <c r="E33" s="95"/>
      <c r="F33" s="95"/>
      <c r="G33" s="95">
        <v>874.87098457661443</v>
      </c>
      <c r="H33" s="95"/>
      <c r="I33" s="95"/>
      <c r="J33" s="95"/>
      <c r="K33" s="95"/>
      <c r="L33" s="95"/>
      <c r="M33" s="95"/>
      <c r="N33" s="95"/>
      <c r="O33" s="95">
        <v>87.487098499170088</v>
      </c>
      <c r="P33" s="95">
        <v>244.79768114686433</v>
      </c>
      <c r="Q33" s="113">
        <f t="shared" si="0"/>
        <v>1207.1557642226489</v>
      </c>
      <c r="T33"/>
      <c r="U33"/>
      <c r="V33"/>
    </row>
    <row r="34" spans="1:22" ht="13.5">
      <c r="A34" s="112" t="s">
        <v>149</v>
      </c>
      <c r="B34" s="167" t="s">
        <v>191</v>
      </c>
      <c r="C34" s="188">
        <v>13020</v>
      </c>
      <c r="D34" s="95"/>
      <c r="E34" s="95"/>
      <c r="F34" s="95"/>
      <c r="G34" s="95">
        <v>4.0920064760365502</v>
      </c>
      <c r="H34" s="95"/>
      <c r="I34" s="95"/>
      <c r="J34" s="95"/>
      <c r="K34" s="95"/>
      <c r="L34" s="95"/>
      <c r="M34" s="95"/>
      <c r="N34" s="95"/>
      <c r="O34" s="95">
        <v>0.40920064779780213</v>
      </c>
      <c r="P34" s="95">
        <v>1.1449844768328548</v>
      </c>
      <c r="Q34" s="113">
        <f t="shared" si="0"/>
        <v>5.6461916006672075</v>
      </c>
      <c r="T34"/>
      <c r="U34"/>
      <c r="V34"/>
    </row>
    <row r="35" spans="1:22" ht="13.5">
      <c r="A35" s="112" t="s">
        <v>131</v>
      </c>
      <c r="B35" s="167" t="s">
        <v>191</v>
      </c>
      <c r="C35" s="188">
        <v>13020</v>
      </c>
      <c r="D35" s="95"/>
      <c r="E35" s="95"/>
      <c r="F35" s="95"/>
      <c r="G35" s="95">
        <v>285.15190660244485</v>
      </c>
      <c r="H35" s="95"/>
      <c r="I35" s="95"/>
      <c r="J35" s="95"/>
      <c r="K35" s="95"/>
      <c r="L35" s="95"/>
      <c r="M35" s="95"/>
      <c r="N35" s="95"/>
      <c r="O35" s="95">
        <v>28.515190673773649</v>
      </c>
      <c r="P35" s="95">
        <v>55.903701602622988</v>
      </c>
      <c r="Q35" s="113">
        <f t="shared" si="0"/>
        <v>369.57079887884152</v>
      </c>
      <c r="T35"/>
      <c r="U35"/>
      <c r="V35"/>
    </row>
    <row r="36" spans="1:22" ht="13.5">
      <c r="A36" s="112" t="s">
        <v>149</v>
      </c>
      <c r="B36" s="167" t="s">
        <v>191</v>
      </c>
      <c r="C36" s="188">
        <v>13020</v>
      </c>
      <c r="D36" s="95"/>
      <c r="E36" s="95"/>
      <c r="F36" s="95"/>
      <c r="G36" s="95">
        <v>14.870525661851973</v>
      </c>
      <c r="H36" s="95"/>
      <c r="I36" s="95"/>
      <c r="J36" s="95"/>
      <c r="K36" s="95"/>
      <c r="L36" s="95"/>
      <c r="M36" s="95"/>
      <c r="N36" s="95"/>
      <c r="O36" s="95">
        <v>1.4870525668907359</v>
      </c>
      <c r="P36" s="95">
        <v>4.1609223115542884</v>
      </c>
      <c r="Q36" s="113">
        <f t="shared" si="0"/>
        <v>20.518500540296998</v>
      </c>
      <c r="T36"/>
      <c r="U36"/>
      <c r="V36"/>
    </row>
    <row r="37" spans="1:22" ht="13.5">
      <c r="A37" s="114" t="s">
        <v>139</v>
      </c>
      <c r="B37" s="170" t="s">
        <v>191</v>
      </c>
      <c r="C37" s="188">
        <v>13020</v>
      </c>
      <c r="D37" s="95"/>
      <c r="E37" s="95"/>
      <c r="F37" s="95"/>
      <c r="G37" s="95">
        <v>29.810702497764144</v>
      </c>
      <c r="H37" s="95"/>
      <c r="I37" s="95"/>
      <c r="J37" s="95"/>
      <c r="K37" s="95"/>
      <c r="L37" s="95"/>
      <c r="M37" s="95"/>
      <c r="N37" s="95"/>
      <c r="O37" s="95">
        <v>2.9810702511907965</v>
      </c>
      <c r="P37" s="95">
        <v>7.8027594222359458</v>
      </c>
      <c r="Q37" s="113">
        <f t="shared" si="0"/>
        <v>40.594532171190885</v>
      </c>
      <c r="T37"/>
      <c r="U37"/>
      <c r="V37"/>
    </row>
    <row r="38" spans="1:22" ht="13.5">
      <c r="A38" s="112" t="s">
        <v>49</v>
      </c>
      <c r="B38" s="167" t="s">
        <v>191</v>
      </c>
      <c r="C38" s="188">
        <v>13023</v>
      </c>
      <c r="D38" s="95">
        <v>144584.42000000001</v>
      </c>
      <c r="E38" s="95">
        <v>375821.04</v>
      </c>
      <c r="F38" s="95"/>
      <c r="G38" s="95">
        <v>493518.52254317363</v>
      </c>
      <c r="H38" s="95">
        <v>-30585.026067500061</v>
      </c>
      <c r="I38" s="95"/>
      <c r="J38" s="95">
        <v>6324.41</v>
      </c>
      <c r="K38" s="95"/>
      <c r="L38" s="95"/>
      <c r="M38" s="95">
        <v>8190</v>
      </c>
      <c r="N38" s="95">
        <v>75616.600000000006</v>
      </c>
      <c r="O38" s="95">
        <v>5583.366969986424</v>
      </c>
      <c r="P38" s="95">
        <v>9438.1122130081876</v>
      </c>
      <c r="Q38" s="113">
        <f t="shared" si="0"/>
        <v>1088491.4456586679</v>
      </c>
      <c r="T38"/>
      <c r="U38"/>
      <c r="V38"/>
    </row>
    <row r="39" spans="1:22" ht="13.5">
      <c r="A39" s="112" t="s">
        <v>140</v>
      </c>
      <c r="B39" s="167" t="s">
        <v>191</v>
      </c>
      <c r="C39" s="188">
        <v>13024</v>
      </c>
      <c r="D39" s="95"/>
      <c r="E39" s="95"/>
      <c r="F39" s="95"/>
      <c r="G39" s="95">
        <v>1329.2404185583071</v>
      </c>
      <c r="H39" s="95"/>
      <c r="I39" s="95"/>
      <c r="J39" s="95"/>
      <c r="K39" s="95"/>
      <c r="L39" s="95"/>
      <c r="M39" s="95"/>
      <c r="N39" s="95"/>
      <c r="O39" s="95">
        <v>132.9240419188971</v>
      </c>
      <c r="P39" s="95">
        <v>260.41304013548239</v>
      </c>
      <c r="Q39" s="113">
        <f t="shared" si="0"/>
        <v>1722.5775006126864</v>
      </c>
      <c r="T39"/>
      <c r="U39"/>
      <c r="V39"/>
    </row>
    <row r="40" spans="1:22" ht="13.5">
      <c r="A40" s="112" t="s">
        <v>70</v>
      </c>
      <c r="B40" s="167" t="s">
        <v>191</v>
      </c>
      <c r="C40" s="188">
        <v>13024</v>
      </c>
      <c r="D40" s="95"/>
      <c r="E40" s="95"/>
      <c r="F40" s="95"/>
      <c r="G40" s="95">
        <v>10586.821986085335</v>
      </c>
      <c r="H40" s="95">
        <v>-10084.603999999999</v>
      </c>
      <c r="I40" s="95"/>
      <c r="J40" s="95"/>
      <c r="K40" s="95"/>
      <c r="L40" s="95"/>
      <c r="M40" s="95"/>
      <c r="N40" s="95"/>
      <c r="O40" s="95">
        <v>778.33619897781853</v>
      </c>
      <c r="P40" s="95">
        <v>669.62170403647588</v>
      </c>
      <c r="Q40" s="113">
        <f t="shared" si="0"/>
        <v>1950.1758890996302</v>
      </c>
      <c r="T40"/>
      <c r="U40"/>
      <c r="V40"/>
    </row>
    <row r="41" spans="1:22" ht="13.5">
      <c r="A41" s="154" t="s">
        <v>65</v>
      </c>
      <c r="B41" s="169" t="s">
        <v>190</v>
      </c>
      <c r="C41" s="190">
        <v>13025</v>
      </c>
      <c r="D41" s="155"/>
      <c r="E41" s="155"/>
      <c r="F41" s="155">
        <v>29863.69</v>
      </c>
      <c r="G41" s="155">
        <f>42188.5296284304-F41</f>
        <v>12324.8396284304</v>
      </c>
      <c r="H41" s="155">
        <v>-1260.0927150000002</v>
      </c>
      <c r="I41" s="155"/>
      <c r="J41" s="155"/>
      <c r="K41" s="155">
        <v>-91</v>
      </c>
      <c r="L41" s="155"/>
      <c r="M41" s="155"/>
      <c r="N41" s="155">
        <v>8607.02</v>
      </c>
      <c r="O41" s="155">
        <v>2986.3689642599402</v>
      </c>
      <c r="P41" s="155">
        <v>3853.7459577223663</v>
      </c>
      <c r="Q41" s="156">
        <f t="shared" si="0"/>
        <v>56284.571835412709</v>
      </c>
      <c r="T41"/>
      <c r="U41"/>
      <c r="V41"/>
    </row>
    <row r="42" spans="1:22" ht="13.5">
      <c r="A42" s="112" t="s">
        <v>141</v>
      </c>
      <c r="B42" s="167" t="s">
        <v>191</v>
      </c>
      <c r="C42" s="188">
        <v>13026</v>
      </c>
      <c r="D42" s="95"/>
      <c r="E42" s="95"/>
      <c r="F42" s="95"/>
      <c r="G42" s="95">
        <v>138.17051654191499</v>
      </c>
      <c r="H42" s="95"/>
      <c r="I42" s="95"/>
      <c r="J42" s="95"/>
      <c r="K42" s="95"/>
      <c r="L42" s="95"/>
      <c r="M42" s="95"/>
      <c r="N42" s="95"/>
      <c r="O42" s="95">
        <v>13.817051660747062</v>
      </c>
      <c r="P42" s="95">
        <v>24.787114316112266</v>
      </c>
      <c r="Q42" s="113">
        <f t="shared" si="0"/>
        <v>176.77468251877434</v>
      </c>
      <c r="T42"/>
      <c r="U42"/>
      <c r="V42"/>
    </row>
    <row r="43" spans="1:22" ht="13.5">
      <c r="A43" s="116" t="s">
        <v>62</v>
      </c>
      <c r="B43" s="168" t="s">
        <v>189</v>
      </c>
      <c r="C43" s="189">
        <v>13026</v>
      </c>
      <c r="D43" s="96">
        <v>178846.37</v>
      </c>
      <c r="E43" s="96"/>
      <c r="F43" s="96">
        <v>7850.36</v>
      </c>
      <c r="G43" s="96">
        <f>495996.039084231-F43</f>
        <v>488145.67908423103</v>
      </c>
      <c r="H43" s="96">
        <v>152857.66534170002</v>
      </c>
      <c r="I43" s="96">
        <v>16537.71</v>
      </c>
      <c r="J43" s="96">
        <v>11674.11</v>
      </c>
      <c r="K43" s="96">
        <v>725</v>
      </c>
      <c r="L43" s="96">
        <v>4583.91</v>
      </c>
      <c r="M43" s="96">
        <v>12318</v>
      </c>
      <c r="N43" s="96">
        <v>73850.850000000006</v>
      </c>
      <c r="O43" s="96">
        <v>785.03664192558836</v>
      </c>
      <c r="P43" s="96">
        <v>514.96687630253223</v>
      </c>
      <c r="Q43" s="117">
        <f t="shared" si="0"/>
        <v>948689.65794415912</v>
      </c>
      <c r="R43" t="s">
        <v>188</v>
      </c>
      <c r="T43"/>
      <c r="U43"/>
      <c r="V43"/>
    </row>
    <row r="44" spans="1:22" ht="13.5">
      <c r="A44" s="114" t="s">
        <v>72</v>
      </c>
      <c r="B44" s="170" t="s">
        <v>191</v>
      </c>
      <c r="C44" s="188">
        <v>13150</v>
      </c>
      <c r="D44" s="95">
        <v>32014.48</v>
      </c>
      <c r="E44" s="95"/>
      <c r="F44" s="95"/>
      <c r="G44" s="95">
        <v>187940.63634112693</v>
      </c>
      <c r="H44" s="95">
        <v>68431.866846499979</v>
      </c>
      <c r="I44" s="95">
        <v>16986.009999999998</v>
      </c>
      <c r="J44" s="95">
        <v>6719.78</v>
      </c>
      <c r="K44" s="95"/>
      <c r="L44" s="95">
        <v>109</v>
      </c>
      <c r="M44" s="95">
        <v>12318</v>
      </c>
      <c r="N44" s="95">
        <v>64127.15</v>
      </c>
      <c r="O44" s="95">
        <v>-174.78091499023142</v>
      </c>
      <c r="P44" s="95">
        <v>-233.30720190992156</v>
      </c>
      <c r="Q44" s="113">
        <f t="shared" si="0"/>
        <v>388238.83507072681</v>
      </c>
      <c r="T44"/>
      <c r="U44"/>
      <c r="V44"/>
    </row>
    <row r="45" spans="1:22" ht="13.5">
      <c r="A45" s="112" t="s">
        <v>48</v>
      </c>
      <c r="B45" s="167" t="s">
        <v>191</v>
      </c>
      <c r="C45" s="188">
        <v>13185</v>
      </c>
      <c r="D45" s="95"/>
      <c r="E45" s="95"/>
      <c r="F45" s="95"/>
      <c r="G45" s="95">
        <v>109523.54952771735</v>
      </c>
      <c r="H45" s="95"/>
      <c r="I45" s="95"/>
      <c r="J45" s="95"/>
      <c r="K45" s="95"/>
      <c r="L45" s="95"/>
      <c r="M45" s="95"/>
      <c r="N45" s="95"/>
      <c r="O45" s="95">
        <v>6733.0379559662542</v>
      </c>
      <c r="P45" s="95">
        <v>8243.0435445696312</v>
      </c>
      <c r="Q45" s="113">
        <f t="shared" si="0"/>
        <v>124499.63102825324</v>
      </c>
      <c r="T45"/>
      <c r="U45"/>
      <c r="V45"/>
    </row>
    <row r="46" spans="1:22" ht="13.5">
      <c r="A46" s="112" t="s">
        <v>51</v>
      </c>
      <c r="B46" s="167" t="s">
        <v>191</v>
      </c>
      <c r="C46" s="188">
        <v>13185</v>
      </c>
      <c r="D46" s="95"/>
      <c r="E46" s="95"/>
      <c r="F46" s="95"/>
      <c r="G46" s="95">
        <v>38492.843233922256</v>
      </c>
      <c r="H46" s="95">
        <v>-6893.7894376000022</v>
      </c>
      <c r="I46" s="95"/>
      <c r="J46" s="95"/>
      <c r="K46" s="95"/>
      <c r="L46" s="95"/>
      <c r="M46" s="95"/>
      <c r="N46" s="95">
        <v>58.68</v>
      </c>
      <c r="O46" s="95">
        <v>3849.2843252185353</v>
      </c>
      <c r="P46" s="95">
        <v>4287.4245869997658</v>
      </c>
      <c r="Q46" s="113">
        <f t="shared" si="0"/>
        <v>39794.442708540555</v>
      </c>
      <c r="T46"/>
      <c r="U46"/>
      <c r="V46"/>
    </row>
    <row r="47" spans="1:22" ht="13.5">
      <c r="A47" s="112" t="s">
        <v>66</v>
      </c>
      <c r="B47" s="167" t="s">
        <v>191</v>
      </c>
      <c r="C47" s="188">
        <v>13185</v>
      </c>
      <c r="D47" s="95"/>
      <c r="E47" s="95"/>
      <c r="F47" s="95"/>
      <c r="G47" s="95">
        <v>13893.090933088839</v>
      </c>
      <c r="H47" s="95">
        <v>-5433.9345321999972</v>
      </c>
      <c r="I47" s="95"/>
      <c r="J47" s="95">
        <v>1088.96</v>
      </c>
      <c r="K47" s="95">
        <v>57</v>
      </c>
      <c r="L47" s="95">
        <v>-53.46</v>
      </c>
      <c r="M47" s="95">
        <v>983</v>
      </c>
      <c r="N47" s="95">
        <v>13465.34</v>
      </c>
      <c r="O47" s="95">
        <v>725.92194919330086</v>
      </c>
      <c r="P47" s="95">
        <v>831.88206811798045</v>
      </c>
      <c r="Q47" s="113">
        <f t="shared" si="0"/>
        <v>25557.800418200124</v>
      </c>
      <c r="T47"/>
      <c r="U47"/>
      <c r="V47"/>
    </row>
    <row r="48" spans="1:22" ht="13.5">
      <c r="A48" s="112" t="s">
        <v>149</v>
      </c>
      <c r="B48" s="167" t="s">
        <v>191</v>
      </c>
      <c r="C48" s="188">
        <v>13185</v>
      </c>
      <c r="D48" s="95"/>
      <c r="E48" s="95"/>
      <c r="F48" s="95"/>
      <c r="G48" s="95">
        <v>13007.008499871416</v>
      </c>
      <c r="H48" s="95"/>
      <c r="I48" s="95"/>
      <c r="J48" s="95"/>
      <c r="K48" s="95"/>
      <c r="L48" s="95"/>
      <c r="M48" s="95"/>
      <c r="N48" s="95"/>
      <c r="O48" s="95">
        <v>1300.7008506042646</v>
      </c>
      <c r="P48" s="95">
        <v>1746.4986017069461</v>
      </c>
      <c r="Q48" s="113">
        <f t="shared" si="0"/>
        <v>16054.207952182625</v>
      </c>
      <c r="T48"/>
      <c r="U48"/>
      <c r="V48"/>
    </row>
    <row r="49" spans="1:22" ht="13.5">
      <c r="A49" s="112" t="s">
        <v>33</v>
      </c>
      <c r="B49" s="167" t="s">
        <v>191</v>
      </c>
      <c r="C49" s="188">
        <v>13187</v>
      </c>
      <c r="D49" s="95"/>
      <c r="E49" s="95"/>
      <c r="F49" s="95"/>
      <c r="G49" s="95">
        <v>49361.67</v>
      </c>
      <c r="H49" s="95"/>
      <c r="I49" s="95"/>
      <c r="J49" s="95"/>
      <c r="K49" s="95"/>
      <c r="L49" s="95"/>
      <c r="M49" s="95"/>
      <c r="N49" s="95"/>
      <c r="O49" s="95"/>
      <c r="P49" s="95"/>
      <c r="Q49" s="113">
        <f t="shared" si="0"/>
        <v>49361.67</v>
      </c>
      <c r="T49"/>
      <c r="U49"/>
      <c r="V49"/>
    </row>
    <row r="50" spans="1:22" ht="13.5">
      <c r="A50" s="154" t="s">
        <v>52</v>
      </c>
      <c r="B50" s="169" t="s">
        <v>190</v>
      </c>
      <c r="C50" s="190">
        <v>13193</v>
      </c>
      <c r="D50" s="155">
        <v>-48105</v>
      </c>
      <c r="E50" s="155"/>
      <c r="F50" s="155">
        <v>75676.990000000005</v>
      </c>
      <c r="G50" s="155">
        <f>217348.217102234-F50</f>
        <v>141671.22710223397</v>
      </c>
      <c r="H50" s="155">
        <v>28701.972970600003</v>
      </c>
      <c r="I50" s="155">
        <v>6322.17</v>
      </c>
      <c r="J50" s="155">
        <v>3583.84</v>
      </c>
      <c r="K50" s="155">
        <v>75</v>
      </c>
      <c r="L50" s="155"/>
      <c r="M50" s="155">
        <v>2949</v>
      </c>
      <c r="N50" s="155">
        <v>36498.39</v>
      </c>
      <c r="O50" s="155">
        <v>7567.6993181539237</v>
      </c>
      <c r="P50" s="155">
        <v>13922.764649221437</v>
      </c>
      <c r="Q50" s="156">
        <f t="shared" si="0"/>
        <v>268864.05404020933</v>
      </c>
      <c r="T50"/>
      <c r="U50"/>
      <c r="V50"/>
    </row>
    <row r="51" spans="1:22" ht="13.5">
      <c r="A51" s="112" t="s">
        <v>53</v>
      </c>
      <c r="B51" s="167" t="s">
        <v>191</v>
      </c>
      <c r="C51" s="188">
        <v>13193</v>
      </c>
      <c r="D51" s="95"/>
      <c r="E51" s="95"/>
      <c r="F51" s="95"/>
      <c r="G51" s="95">
        <v>28245.936634121281</v>
      </c>
      <c r="H51" s="95">
        <v>-5936.3476520999993</v>
      </c>
      <c r="I51" s="95"/>
      <c r="J51" s="95"/>
      <c r="K51" s="95"/>
      <c r="L51" s="95"/>
      <c r="M51" s="95"/>
      <c r="N51" s="95"/>
      <c r="O51" s="95">
        <v>2824.5936647522694</v>
      </c>
      <c r="P51" s="95">
        <v>4189.271677188859</v>
      </c>
      <c r="Q51" s="113">
        <f t="shared" si="0"/>
        <v>29323.454323962411</v>
      </c>
      <c r="T51"/>
      <c r="U51"/>
      <c r="V51"/>
    </row>
    <row r="52" spans="1:22" ht="13.5">
      <c r="A52" s="154" t="s">
        <v>69</v>
      </c>
      <c r="B52" s="169" t="s">
        <v>190</v>
      </c>
      <c r="C52" s="190">
        <v>13193</v>
      </c>
      <c r="D52" s="155">
        <v>-11760</v>
      </c>
      <c r="E52" s="155"/>
      <c r="F52" s="155">
        <v>35754.21</v>
      </c>
      <c r="G52" s="155">
        <f>133174.696117256-F52</f>
        <v>97420.486117256019</v>
      </c>
      <c r="H52" s="155">
        <v>18179.753939999991</v>
      </c>
      <c r="I52" s="155">
        <v>11535.47</v>
      </c>
      <c r="J52" s="155">
        <v>2084.08</v>
      </c>
      <c r="K52" s="155">
        <v>725</v>
      </c>
      <c r="L52" s="155"/>
      <c r="M52" s="155">
        <v>2949</v>
      </c>
      <c r="N52" s="155">
        <v>22014.959999999999</v>
      </c>
      <c r="O52" s="155">
        <v>3575.4211325219612</v>
      </c>
      <c r="P52" s="155">
        <v>6217.7303511543196</v>
      </c>
      <c r="Q52" s="156">
        <f t="shared" si="0"/>
        <v>188696.11154093227</v>
      </c>
      <c r="T52"/>
      <c r="U52"/>
      <c r="V52"/>
    </row>
    <row r="53" spans="1:22" ht="13.5">
      <c r="A53" s="112" t="s">
        <v>142</v>
      </c>
      <c r="B53" s="167" t="s">
        <v>191</v>
      </c>
      <c r="C53" s="188">
        <v>13198</v>
      </c>
      <c r="D53" s="95"/>
      <c r="E53" s="95"/>
      <c r="F53" s="95"/>
      <c r="G53" s="95">
        <v>14.504856998035942</v>
      </c>
      <c r="H53" s="95"/>
      <c r="I53" s="95"/>
      <c r="J53" s="95"/>
      <c r="K53" s="95"/>
      <c r="L53" s="95"/>
      <c r="M53" s="95"/>
      <c r="N53" s="95"/>
      <c r="O53" s="95">
        <v>1.4504857004917837</v>
      </c>
      <c r="P53" s="95">
        <v>1.8031859640188233</v>
      </c>
      <c r="Q53" s="113">
        <f t="shared" si="0"/>
        <v>17.758528662546549</v>
      </c>
      <c r="T53"/>
      <c r="U53"/>
      <c r="V53"/>
    </row>
    <row r="54" spans="1:22" ht="13.5">
      <c r="A54" s="112" t="s">
        <v>41</v>
      </c>
      <c r="B54" s="167" t="s">
        <v>191</v>
      </c>
      <c r="C54" s="188">
        <v>13383</v>
      </c>
      <c r="D54" s="95">
        <v>45367.15</v>
      </c>
      <c r="E54" s="95"/>
      <c r="F54" s="95"/>
      <c r="G54" s="95">
        <v>190323.03539243591</v>
      </c>
      <c r="H54" s="95">
        <v>48106.168222399981</v>
      </c>
      <c r="I54" s="95">
        <v>4898.13</v>
      </c>
      <c r="J54" s="95">
        <v>6137.4</v>
      </c>
      <c r="K54" s="95">
        <v>749</v>
      </c>
      <c r="L54" s="95"/>
      <c r="M54" s="95">
        <v>9195</v>
      </c>
      <c r="N54" s="95">
        <v>47967.360000000001</v>
      </c>
      <c r="O54" s="95">
        <v>1473.7387449628129</v>
      </c>
      <c r="P54" s="95">
        <v>1010.4596348322351</v>
      </c>
      <c r="Q54" s="113">
        <f t="shared" si="0"/>
        <v>355227.44199463091</v>
      </c>
      <c r="T54"/>
      <c r="U54"/>
      <c r="V54"/>
    </row>
    <row r="55" spans="1:22" ht="14.25" thickBot="1">
      <c r="A55" s="116" t="s">
        <v>180</v>
      </c>
      <c r="B55" s="168" t="s">
        <v>189</v>
      </c>
      <c r="C55" s="189">
        <v>13389</v>
      </c>
      <c r="D55" s="96">
        <v>50268.36</v>
      </c>
      <c r="E55" s="96"/>
      <c r="F55" s="96">
        <v>0</v>
      </c>
      <c r="G55" s="96">
        <v>120970.45</v>
      </c>
      <c r="H55" s="96">
        <v>70561.58</v>
      </c>
      <c r="I55" s="96">
        <v>8778.81</v>
      </c>
      <c r="J55" s="96">
        <v>2110.6799999999998</v>
      </c>
      <c r="K55" s="96"/>
      <c r="L55" s="96"/>
      <c r="M55" s="96">
        <v>4152</v>
      </c>
      <c r="N55" s="96">
        <v>13264.36</v>
      </c>
      <c r="O55" s="96"/>
      <c r="P55" s="96"/>
      <c r="Q55" s="117">
        <f t="shared" si="0"/>
        <v>270106.23999999999</v>
      </c>
      <c r="R55" t="s">
        <v>188</v>
      </c>
      <c r="T55"/>
      <c r="U55"/>
      <c r="V55"/>
    </row>
    <row r="56" spans="1:22" ht="13.5">
      <c r="A56" s="109" t="s">
        <v>143</v>
      </c>
      <c r="B56" s="166" t="s">
        <v>191</v>
      </c>
      <c r="C56" s="187">
        <v>213488</v>
      </c>
      <c r="D56" s="110"/>
      <c r="E56" s="110"/>
      <c r="F56" s="110"/>
      <c r="G56" s="110">
        <v>228.24689739526426</v>
      </c>
      <c r="H56" s="110"/>
      <c r="I56" s="110"/>
      <c r="J56" s="110"/>
      <c r="K56" s="110"/>
      <c r="L56" s="110"/>
      <c r="M56" s="110"/>
      <c r="N56" s="110"/>
      <c r="O56" s="110">
        <v>22.824689750355706</v>
      </c>
      <c r="P56" s="110">
        <v>28.374743837165351</v>
      </c>
      <c r="Q56" s="111">
        <f t="shared" si="0"/>
        <v>279.4463309827853</v>
      </c>
      <c r="T56"/>
      <c r="U56"/>
      <c r="V56"/>
    </row>
    <row r="57" spans="1:22" ht="13.5">
      <c r="A57" s="112" t="s">
        <v>141</v>
      </c>
      <c r="B57" s="167" t="s">
        <v>191</v>
      </c>
      <c r="C57" s="188">
        <v>213488</v>
      </c>
      <c r="D57" s="95"/>
      <c r="E57" s="95"/>
      <c r="F57" s="95"/>
      <c r="G57" s="95">
        <v>14.470031411005847</v>
      </c>
      <c r="H57" s="95"/>
      <c r="I57" s="95"/>
      <c r="J57" s="95"/>
      <c r="K57" s="95"/>
      <c r="L57" s="95"/>
      <c r="M57" s="95"/>
      <c r="N57" s="95"/>
      <c r="O57" s="95">
        <v>1.4470031417871214</v>
      </c>
      <c r="P57" s="95">
        <v>1.7988565859539525</v>
      </c>
      <c r="Q57" s="113">
        <f t="shared" si="0"/>
        <v>17.715891138746919</v>
      </c>
      <c r="T57"/>
      <c r="U57"/>
      <c r="V57"/>
    </row>
    <row r="58" spans="1:22" ht="13.5">
      <c r="A58" s="112" t="s">
        <v>144</v>
      </c>
      <c r="B58" s="167" t="s">
        <v>191</v>
      </c>
      <c r="C58" s="188">
        <v>213488</v>
      </c>
      <c r="D58" s="95"/>
      <c r="E58" s="95"/>
      <c r="F58" s="95"/>
      <c r="G58" s="95">
        <v>21.71375351326629</v>
      </c>
      <c r="H58" s="95"/>
      <c r="I58" s="95"/>
      <c r="J58" s="95"/>
      <c r="K58" s="95"/>
      <c r="L58" s="95"/>
      <c r="M58" s="95"/>
      <c r="N58" s="95"/>
      <c r="O58" s="95">
        <v>2.171375352356848</v>
      </c>
      <c r="P58" s="95">
        <v>2.6993672234471462</v>
      </c>
      <c r="Q58" s="113">
        <f t="shared" si="0"/>
        <v>26.584496089070285</v>
      </c>
      <c r="T58"/>
      <c r="U58"/>
      <c r="V58"/>
    </row>
    <row r="59" spans="1:22" ht="13.5">
      <c r="A59" s="112" t="s">
        <v>145</v>
      </c>
      <c r="B59" s="167" t="s">
        <v>191</v>
      </c>
      <c r="C59" s="188">
        <v>213488</v>
      </c>
      <c r="D59" s="95"/>
      <c r="E59" s="95"/>
      <c r="F59" s="95"/>
      <c r="G59" s="95">
        <v>6396.5722849597905</v>
      </c>
      <c r="H59" s="95"/>
      <c r="I59" s="95"/>
      <c r="J59" s="95"/>
      <c r="K59" s="95"/>
      <c r="L59" s="95"/>
      <c r="M59" s="95"/>
      <c r="N59" s="95"/>
      <c r="O59" s="95">
        <v>639.65722879946713</v>
      </c>
      <c r="P59" s="95">
        <v>1247.7847614036286</v>
      </c>
      <c r="Q59" s="113">
        <f t="shared" si="0"/>
        <v>8284.0142751628864</v>
      </c>
      <c r="T59"/>
      <c r="U59"/>
      <c r="V59"/>
    </row>
    <row r="60" spans="1:22" ht="13.5">
      <c r="A60" s="112" t="s">
        <v>149</v>
      </c>
      <c r="B60" s="167" t="s">
        <v>191</v>
      </c>
      <c r="C60" s="188">
        <v>213488</v>
      </c>
      <c r="D60" s="95"/>
      <c r="E60" s="95"/>
      <c r="F60" s="95"/>
      <c r="G60" s="95">
        <v>21.71375351326629</v>
      </c>
      <c r="H60" s="95"/>
      <c r="I60" s="95"/>
      <c r="J60" s="95"/>
      <c r="K60" s="95"/>
      <c r="L60" s="95"/>
      <c r="M60" s="95"/>
      <c r="N60" s="95"/>
      <c r="O60" s="95">
        <v>2.171375352356848</v>
      </c>
      <c r="P60" s="95">
        <v>2.6993672234471462</v>
      </c>
      <c r="Q60" s="113">
        <f t="shared" si="0"/>
        <v>26.584496089070285</v>
      </c>
      <c r="T60"/>
      <c r="U60"/>
      <c r="V60"/>
    </row>
    <row r="61" spans="1:22" ht="13.5">
      <c r="A61" s="112" t="s">
        <v>32</v>
      </c>
      <c r="B61" s="167" t="s">
        <v>191</v>
      </c>
      <c r="C61" s="188">
        <v>213488</v>
      </c>
      <c r="D61" s="95"/>
      <c r="E61" s="95"/>
      <c r="F61" s="95"/>
      <c r="G61" s="95">
        <v>18238.299230010602</v>
      </c>
      <c r="H61" s="95"/>
      <c r="I61" s="95"/>
      <c r="J61" s="95"/>
      <c r="K61" s="95"/>
      <c r="L61" s="95"/>
      <c r="M61" s="95"/>
      <c r="N61" s="95"/>
      <c r="O61" s="95">
        <v>1823.8299238663844</v>
      </c>
      <c r="P61" s="95">
        <v>2503.1876289996571</v>
      </c>
      <c r="Q61" s="113">
        <f t="shared" si="0"/>
        <v>22565.316782876645</v>
      </c>
      <c r="T61"/>
      <c r="U61"/>
      <c r="V61"/>
    </row>
    <row r="62" spans="1:22" ht="13.5">
      <c r="A62" s="112" t="s">
        <v>34</v>
      </c>
      <c r="B62" s="167" t="s">
        <v>191</v>
      </c>
      <c r="C62" s="188">
        <v>213488</v>
      </c>
      <c r="D62" s="95">
        <v>68918.78</v>
      </c>
      <c r="E62" s="95"/>
      <c r="F62" s="95"/>
      <c r="G62" s="95">
        <v>198563.57494117881</v>
      </c>
      <c r="H62" s="95">
        <v>49864.280495300001</v>
      </c>
      <c r="I62" s="95">
        <v>11054.13</v>
      </c>
      <c r="J62" s="95">
        <v>7830.3</v>
      </c>
      <c r="K62" s="95">
        <v>725</v>
      </c>
      <c r="L62" s="95"/>
      <c r="M62" s="95">
        <v>10236</v>
      </c>
      <c r="N62" s="95">
        <v>40026.32</v>
      </c>
      <c r="O62" s="95">
        <v>2096.7528257127001</v>
      </c>
      <c r="P62" s="95">
        <v>2624.0533661976415</v>
      </c>
      <c r="Q62" s="113">
        <f t="shared" si="0"/>
        <v>391939.19162838918</v>
      </c>
      <c r="T62"/>
      <c r="U62"/>
      <c r="V62"/>
    </row>
    <row r="63" spans="1:22" ht="13.5">
      <c r="A63" s="112" t="s">
        <v>35</v>
      </c>
      <c r="B63" s="167" t="s">
        <v>191</v>
      </c>
      <c r="C63" s="188">
        <v>213488</v>
      </c>
      <c r="D63" s="95">
        <v>40522.559999999998</v>
      </c>
      <c r="E63" s="95">
        <v>236168.52</v>
      </c>
      <c r="F63" s="95"/>
      <c r="G63" s="95">
        <v>224882.29210591418</v>
      </c>
      <c r="H63" s="95">
        <v>20523.267120799992</v>
      </c>
      <c r="I63" s="95">
        <v>5575.77</v>
      </c>
      <c r="J63" s="95">
        <v>4508</v>
      </c>
      <c r="K63" s="95">
        <v>1305</v>
      </c>
      <c r="L63" s="95">
        <v>2741.54</v>
      </c>
      <c r="M63" s="95">
        <v>6072</v>
      </c>
      <c r="N63" s="95">
        <v>41233.39</v>
      </c>
      <c r="O63" s="95">
        <v>4573.1916142011896</v>
      </c>
      <c r="P63" s="95">
        <v>6499.4899824350541</v>
      </c>
      <c r="Q63" s="113">
        <f t="shared" si="0"/>
        <v>594605.02082335041</v>
      </c>
      <c r="T63"/>
      <c r="U63"/>
      <c r="V63"/>
    </row>
    <row r="64" spans="1:22" ht="13.5">
      <c r="A64" s="112" t="s">
        <v>38</v>
      </c>
      <c r="B64" s="167" t="s">
        <v>191</v>
      </c>
      <c r="C64" s="188">
        <v>213488</v>
      </c>
      <c r="D64" s="95"/>
      <c r="E64" s="95"/>
      <c r="F64" s="95"/>
      <c r="G64" s="95">
        <v>49553.131965048597</v>
      </c>
      <c r="H64" s="95">
        <v>-26949.1751903</v>
      </c>
      <c r="I64" s="95"/>
      <c r="J64" s="95"/>
      <c r="K64" s="95"/>
      <c r="L64" s="95"/>
      <c r="M64" s="95"/>
      <c r="N64" s="95"/>
      <c r="O64" s="95">
        <v>4915.6141988370946</v>
      </c>
      <c r="P64" s="95">
        <v>5306.9176693915497</v>
      </c>
      <c r="Q64" s="113">
        <f t="shared" si="0"/>
        <v>32826.488642977238</v>
      </c>
      <c r="T64"/>
      <c r="U64"/>
      <c r="V64"/>
    </row>
    <row r="65" spans="1:22" ht="13.5">
      <c r="A65" s="112" t="s">
        <v>149</v>
      </c>
      <c r="B65" s="167" t="s">
        <v>191</v>
      </c>
      <c r="C65" s="188">
        <v>213488</v>
      </c>
      <c r="D65" s="95"/>
      <c r="E65" s="95"/>
      <c r="F65" s="95"/>
      <c r="G65" s="95">
        <v>6.9477046125046114</v>
      </c>
      <c r="H65" s="95"/>
      <c r="I65" s="95"/>
      <c r="J65" s="95"/>
      <c r="K65" s="95"/>
      <c r="L65" s="95"/>
      <c r="M65" s="95"/>
      <c r="N65" s="95"/>
      <c r="O65" s="95">
        <v>0.69477046158009803</v>
      </c>
      <c r="P65" s="95">
        <v>0.8637109239417895</v>
      </c>
      <c r="Q65" s="113">
        <f t="shared" si="0"/>
        <v>8.5061859980264991</v>
      </c>
      <c r="T65"/>
      <c r="U65"/>
      <c r="V65"/>
    </row>
    <row r="66" spans="1:22" ht="13.5">
      <c r="A66" s="112" t="s">
        <v>39</v>
      </c>
      <c r="B66" s="167" t="s">
        <v>191</v>
      </c>
      <c r="C66" s="188">
        <v>213488</v>
      </c>
      <c r="D66" s="95"/>
      <c r="E66" s="95"/>
      <c r="F66" s="95"/>
      <c r="G66" s="95">
        <v>3082.3430568599401</v>
      </c>
      <c r="H66" s="95">
        <v>-17755.425751299998</v>
      </c>
      <c r="I66" s="95"/>
      <c r="J66" s="95"/>
      <c r="K66" s="95"/>
      <c r="L66" s="95"/>
      <c r="M66" s="95"/>
      <c r="N66" s="95"/>
      <c r="O66" s="95">
        <v>308.23430583223717</v>
      </c>
      <c r="P66" s="95">
        <v>153.61775477698393</v>
      </c>
      <c r="Q66" s="113">
        <f t="shared" si="0"/>
        <v>-14211.230633830837</v>
      </c>
      <c r="T66"/>
      <c r="U66"/>
      <c r="V66"/>
    </row>
    <row r="67" spans="1:22" ht="13.5">
      <c r="A67" s="112" t="s">
        <v>146</v>
      </c>
      <c r="B67" s="167" t="s">
        <v>191</v>
      </c>
      <c r="C67" s="188">
        <v>213488</v>
      </c>
      <c r="D67" s="95"/>
      <c r="E67" s="95"/>
      <c r="F67" s="95"/>
      <c r="G67" s="95">
        <v>47.362798360933688</v>
      </c>
      <c r="H67" s="95"/>
      <c r="I67" s="95"/>
      <c r="J67" s="95"/>
      <c r="K67" s="95"/>
      <c r="L67" s="95"/>
      <c r="M67" s="95"/>
      <c r="N67" s="95"/>
      <c r="O67" s="95">
        <v>4.7362798383405176</v>
      </c>
      <c r="P67" s="95">
        <v>9.239101102814681</v>
      </c>
      <c r="Q67" s="113">
        <f t="shared" ref="Q67:Q76" si="1">SUM(D67:P67)</f>
        <v>61.338179302088882</v>
      </c>
      <c r="T67"/>
      <c r="U67"/>
      <c r="V67"/>
    </row>
    <row r="68" spans="1:22" ht="13.5">
      <c r="A68" s="154" t="s">
        <v>46</v>
      </c>
      <c r="B68" s="169" t="s">
        <v>190</v>
      </c>
      <c r="C68" s="190">
        <v>213488</v>
      </c>
      <c r="D68" s="155">
        <v>-2620</v>
      </c>
      <c r="E68" s="155"/>
      <c r="F68" s="155">
        <v>10100.18</v>
      </c>
      <c r="G68" s="155">
        <f>89236.8845300432-F68</f>
        <v>79136.704530043207</v>
      </c>
      <c r="H68" s="155">
        <v>20610.319155699995</v>
      </c>
      <c r="I68" s="155">
        <v>2460.9</v>
      </c>
      <c r="J68" s="155">
        <v>2314.44</v>
      </c>
      <c r="K68" s="155">
        <v>489</v>
      </c>
      <c r="L68" s="155"/>
      <c r="M68" s="155">
        <v>1962</v>
      </c>
      <c r="N68" s="155">
        <v>18027.11</v>
      </c>
      <c r="O68" s="155">
        <v>1010.0186406435248</v>
      </c>
      <c r="P68" s="155">
        <v>926.71749936376614</v>
      </c>
      <c r="Q68" s="156">
        <f t="shared" si="1"/>
        <v>134417.38982575049</v>
      </c>
      <c r="T68"/>
      <c r="U68"/>
      <c r="V68"/>
    </row>
    <row r="69" spans="1:22" ht="13.5">
      <c r="A69" s="112" t="s">
        <v>47</v>
      </c>
      <c r="B69" s="167" t="s">
        <v>191</v>
      </c>
      <c r="C69" s="188">
        <v>213488</v>
      </c>
      <c r="D69" s="95"/>
      <c r="E69" s="95"/>
      <c r="F69" s="95"/>
      <c r="G69" s="95">
        <v>10984.477707511425</v>
      </c>
      <c r="H69" s="95">
        <v>-3357.9437824000001</v>
      </c>
      <c r="I69" s="95"/>
      <c r="J69" s="95"/>
      <c r="K69" s="95"/>
      <c r="L69" s="95"/>
      <c r="M69" s="95"/>
      <c r="N69" s="95"/>
      <c r="O69" s="95">
        <v>1098.447771272306</v>
      </c>
      <c r="P69" s="95">
        <v>1273.9858402276689</v>
      </c>
      <c r="Q69" s="113">
        <f t="shared" si="1"/>
        <v>9998.9675366114006</v>
      </c>
      <c r="T69"/>
      <c r="U69"/>
      <c r="V69"/>
    </row>
    <row r="70" spans="1:22" ht="13.5">
      <c r="A70" s="112" t="s">
        <v>147</v>
      </c>
      <c r="B70" s="167" t="s">
        <v>191</v>
      </c>
      <c r="C70" s="188">
        <v>213488</v>
      </c>
      <c r="D70" s="95"/>
      <c r="E70" s="95"/>
      <c r="F70" s="95"/>
      <c r="G70" s="95">
        <v>18.457561125952097</v>
      </c>
      <c r="H70" s="95"/>
      <c r="I70" s="95"/>
      <c r="J70" s="95"/>
      <c r="K70" s="95"/>
      <c r="L70" s="95"/>
      <c r="M70" s="95"/>
      <c r="N70" s="95"/>
      <c r="O70" s="95">
        <v>1.845756113470937</v>
      </c>
      <c r="P70" s="95">
        <v>2.2945703743816961</v>
      </c>
      <c r="Q70" s="113">
        <f t="shared" si="1"/>
        <v>22.59788761380473</v>
      </c>
      <c r="T70"/>
      <c r="U70"/>
      <c r="V70"/>
    </row>
    <row r="71" spans="1:22" ht="13.5">
      <c r="A71" s="112" t="s">
        <v>55</v>
      </c>
      <c r="B71" s="167" t="s">
        <v>191</v>
      </c>
      <c r="C71" s="188">
        <v>213488</v>
      </c>
      <c r="D71" s="95"/>
      <c r="E71" s="95"/>
      <c r="F71" s="95"/>
      <c r="G71" s="95">
        <v>48502.517934874202</v>
      </c>
      <c r="H71" s="95">
        <v>-1357.1932852</v>
      </c>
      <c r="I71" s="95"/>
      <c r="J71" s="95"/>
      <c r="K71" s="95"/>
      <c r="L71" s="95"/>
      <c r="M71" s="95"/>
      <c r="N71" s="95"/>
      <c r="O71" s="95">
        <v>4850.2517957886439</v>
      </c>
      <c r="P71" s="95">
        <v>5658.2030415041263</v>
      </c>
      <c r="Q71" s="113">
        <f t="shared" si="1"/>
        <v>57653.779486966974</v>
      </c>
      <c r="T71"/>
      <c r="U71"/>
      <c r="V71"/>
    </row>
    <row r="72" spans="1:22" ht="13.5">
      <c r="A72" s="112" t="s">
        <v>56</v>
      </c>
      <c r="B72" s="167" t="s">
        <v>191</v>
      </c>
      <c r="C72" s="188">
        <v>213488</v>
      </c>
      <c r="D72" s="95">
        <v>45012.35</v>
      </c>
      <c r="E72" s="95">
        <v>317384.55</v>
      </c>
      <c r="F72" s="95"/>
      <c r="G72" s="95">
        <v>297440.48988692684</v>
      </c>
      <c r="H72" s="95">
        <v>-156573.4012395</v>
      </c>
      <c r="I72" s="95">
        <v>11290.19</v>
      </c>
      <c r="J72" s="95">
        <v>6136.24</v>
      </c>
      <c r="K72" s="95"/>
      <c r="L72" s="95"/>
      <c r="M72" s="95">
        <v>4038</v>
      </c>
      <c r="N72" s="95">
        <v>45613.29</v>
      </c>
      <c r="O72" s="95">
        <v>6129.6916255009455</v>
      </c>
      <c r="P72" s="95">
        <v>6373.4456746223641</v>
      </c>
      <c r="Q72" s="113">
        <f t="shared" si="1"/>
        <v>582844.84594755014</v>
      </c>
      <c r="T72"/>
      <c r="U72"/>
      <c r="V72"/>
    </row>
    <row r="73" spans="1:22" ht="13.5">
      <c r="A73" s="114" t="s">
        <v>58</v>
      </c>
      <c r="B73" s="170" t="s">
        <v>191</v>
      </c>
      <c r="C73" s="188">
        <v>213488</v>
      </c>
      <c r="D73" s="95"/>
      <c r="E73" s="95"/>
      <c r="F73" s="95"/>
      <c r="G73" s="95">
        <v>35205.29040548746</v>
      </c>
      <c r="H73" s="95"/>
      <c r="I73" s="95"/>
      <c r="J73" s="95"/>
      <c r="K73" s="95"/>
      <c r="L73" s="95"/>
      <c r="M73" s="95"/>
      <c r="N73" s="95"/>
      <c r="O73" s="95">
        <v>3520.5290422190765</v>
      </c>
      <c r="P73" s="95">
        <v>5780.9458720436096</v>
      </c>
      <c r="Q73" s="113">
        <f t="shared" si="1"/>
        <v>44506.765319750142</v>
      </c>
      <c r="T73"/>
      <c r="U73"/>
      <c r="V73"/>
    </row>
    <row r="74" spans="1:22" ht="13.5">
      <c r="A74" s="112" t="s">
        <v>59</v>
      </c>
      <c r="B74" s="167" t="s">
        <v>191</v>
      </c>
      <c r="C74" s="188">
        <v>213488</v>
      </c>
      <c r="D74" s="95"/>
      <c r="E74" s="95"/>
      <c r="F74" s="95"/>
      <c r="G74" s="95">
        <v>37887.11339864257</v>
      </c>
      <c r="H74" s="95">
        <v>-96223.745070300007</v>
      </c>
      <c r="I74" s="95"/>
      <c r="J74" s="95"/>
      <c r="K74" s="95"/>
      <c r="L74" s="95"/>
      <c r="M74" s="95"/>
      <c r="N74" s="95"/>
      <c r="O74" s="95">
        <v>2944.9613412615067</v>
      </c>
      <c r="P74" s="95">
        <v>3812.5938549599182</v>
      </c>
      <c r="Q74" s="113">
        <f t="shared" si="1"/>
        <v>-51579.076475436013</v>
      </c>
      <c r="T74"/>
      <c r="U74"/>
      <c r="V74"/>
    </row>
    <row r="75" spans="1:22" ht="13.5">
      <c r="A75" s="154" t="s">
        <v>60</v>
      </c>
      <c r="B75" s="169" t="s">
        <v>190</v>
      </c>
      <c r="C75" s="190">
        <v>213488</v>
      </c>
      <c r="D75" s="155">
        <v>-19042</v>
      </c>
      <c r="E75" s="155"/>
      <c r="F75" s="155">
        <v>46736.82</v>
      </c>
      <c r="G75" s="155">
        <f>127637.305513861-F75</f>
        <v>80900.485513861</v>
      </c>
      <c r="H75" s="155">
        <v>-84874.706124899996</v>
      </c>
      <c r="I75" s="155">
        <v>6222.14</v>
      </c>
      <c r="J75" s="155">
        <v>2803.04</v>
      </c>
      <c r="K75" s="155"/>
      <c r="L75" s="155"/>
      <c r="M75" s="155"/>
      <c r="N75" s="155">
        <v>3050.79</v>
      </c>
      <c r="O75" s="155">
        <v>4673.6825869035683</v>
      </c>
      <c r="P75" s="155">
        <v>5620.0281064560259</v>
      </c>
      <c r="Q75" s="156">
        <f t="shared" si="1"/>
        <v>46090.280082320605</v>
      </c>
      <c r="T75"/>
      <c r="U75"/>
      <c r="V75"/>
    </row>
    <row r="76" spans="1:22" ht="13.5">
      <c r="A76" s="112" t="s">
        <v>71</v>
      </c>
      <c r="B76" s="167" t="s">
        <v>191</v>
      </c>
      <c r="C76" s="188">
        <v>213488</v>
      </c>
      <c r="D76" s="95"/>
      <c r="E76" s="95"/>
      <c r="F76" s="95"/>
      <c r="G76" s="95">
        <v>35390.458051726491</v>
      </c>
      <c r="H76" s="95"/>
      <c r="I76" s="95"/>
      <c r="J76" s="95"/>
      <c r="K76" s="95"/>
      <c r="L76" s="95"/>
      <c r="M76" s="95"/>
      <c r="N76" s="95"/>
      <c r="O76" s="95">
        <v>3539.0458068517651</v>
      </c>
      <c r="P76" s="95">
        <v>5098.962321652898</v>
      </c>
      <c r="Q76" s="113">
        <f t="shared" si="1"/>
        <v>44028.466180231153</v>
      </c>
      <c r="T76"/>
      <c r="U76"/>
      <c r="V76"/>
    </row>
    <row r="77" spans="1:22" ht="14.25" thickBot="1">
      <c r="A77" s="157" t="s">
        <v>74</v>
      </c>
      <c r="B77" s="171" t="s">
        <v>190</v>
      </c>
      <c r="C77" s="191">
        <v>213488</v>
      </c>
      <c r="D77" s="158">
        <v>-42580</v>
      </c>
      <c r="E77" s="158"/>
      <c r="F77" s="158">
        <v>34472.089999999997</v>
      </c>
      <c r="G77" s="158">
        <f>185193.336364149-F77</f>
        <v>150721.246364149</v>
      </c>
      <c r="H77" s="158">
        <v>-41807.851528200001</v>
      </c>
      <c r="I77" s="158"/>
      <c r="J77" s="158">
        <v>3412.2</v>
      </c>
      <c r="K77" s="158"/>
      <c r="L77" s="158"/>
      <c r="M77" s="158">
        <v>2949</v>
      </c>
      <c r="N77" s="158">
        <v>22297</v>
      </c>
      <c r="O77" s="158">
        <v>3447.2089925304717</v>
      </c>
      <c r="P77" s="158">
        <v>4542.0868262182958</v>
      </c>
      <c r="Q77" s="159">
        <f>SUM(D77:P77)</f>
        <v>137452.98065469775</v>
      </c>
      <c r="T77"/>
      <c r="U77"/>
      <c r="V77"/>
    </row>
    <row r="78" spans="1:22" ht="15">
      <c r="A78" s="97" t="s">
        <v>150</v>
      </c>
      <c r="B78" s="107" t="s">
        <v>148</v>
      </c>
      <c r="C78" s="192"/>
      <c r="D78" s="108">
        <f>SUM(D3:D77)</f>
        <v>678988.78000000014</v>
      </c>
      <c r="E78" s="108">
        <f>SUM(E3:E77)</f>
        <v>929374.10999999987</v>
      </c>
      <c r="F78" s="108">
        <f>SUM(F3:F77)</f>
        <v>320943.18999999994</v>
      </c>
      <c r="G78" s="108">
        <f t="shared" ref="G78:P78" si="2">SUM(G3:G77)</f>
        <v>4724987.7535290988</v>
      </c>
      <c r="H78" s="108">
        <f t="shared" si="2"/>
        <v>-205394.18400350006</v>
      </c>
      <c r="I78" s="108">
        <f t="shared" si="2"/>
        <v>181617.53</v>
      </c>
      <c r="J78" s="108">
        <f t="shared" si="2"/>
        <v>102091.49999999999</v>
      </c>
      <c r="K78" s="108">
        <f t="shared" si="2"/>
        <v>8351.66</v>
      </c>
      <c r="L78" s="108">
        <f t="shared" si="2"/>
        <v>8652.59</v>
      </c>
      <c r="M78" s="108">
        <f t="shared" si="2"/>
        <v>118441</v>
      </c>
      <c r="N78" s="108">
        <f t="shared" si="2"/>
        <v>842978.79</v>
      </c>
      <c r="O78" s="108">
        <f t="shared" si="2"/>
        <v>123763.15557476913</v>
      </c>
      <c r="P78" s="108">
        <f t="shared" si="2"/>
        <v>177151.7626697348</v>
      </c>
      <c r="Q78" s="108">
        <f>SUM(Q3:Q77)</f>
        <v>8011947.6377701052</v>
      </c>
      <c r="R78" s="153"/>
      <c r="T78"/>
      <c r="U78"/>
      <c r="V78"/>
    </row>
    <row r="79" spans="1:22" ht="13.5" thickBot="1">
      <c r="B79" s="177"/>
      <c r="D79" s="98"/>
      <c r="E79" s="98"/>
      <c r="F79" s="98"/>
      <c r="G79" s="98"/>
      <c r="H79" s="98"/>
      <c r="I79" s="98"/>
      <c r="J79" s="98"/>
      <c r="K79" s="98"/>
      <c r="L79" s="98"/>
      <c r="M79" s="98"/>
      <c r="N79" s="98"/>
      <c r="O79" s="98"/>
      <c r="P79" s="98"/>
      <c r="Q79" s="98"/>
      <c r="T79"/>
      <c r="U79"/>
      <c r="V79"/>
    </row>
    <row r="80" spans="1:22" ht="16.5">
      <c r="A80" s="121" t="s">
        <v>173</v>
      </c>
      <c r="B80" s="178"/>
      <c r="C80" s="193"/>
      <c r="D80" s="139"/>
      <c r="E80" s="139"/>
      <c r="F80" s="139"/>
      <c r="G80" s="139"/>
      <c r="H80" s="139"/>
      <c r="I80" s="139"/>
      <c r="J80" s="139"/>
      <c r="K80" s="139"/>
      <c r="L80" s="139"/>
      <c r="M80" s="139"/>
      <c r="N80" s="139"/>
      <c r="O80" s="139"/>
      <c r="P80" s="139"/>
      <c r="Q80" s="140"/>
      <c r="T80"/>
      <c r="U80"/>
      <c r="V80"/>
    </row>
    <row r="81" spans="1:22">
      <c r="A81" s="132"/>
      <c r="B81" s="179"/>
      <c r="C81" s="20"/>
      <c r="D81" s="133"/>
      <c r="E81" s="133"/>
      <c r="F81" s="133"/>
      <c r="G81" s="133"/>
      <c r="H81" s="133"/>
      <c r="I81" s="133"/>
      <c r="J81" s="133"/>
      <c r="K81" s="133"/>
      <c r="L81" s="133"/>
      <c r="M81" s="133"/>
      <c r="N81" s="133"/>
      <c r="O81" s="133"/>
      <c r="P81" s="133"/>
      <c r="Q81" s="134"/>
      <c r="T81"/>
      <c r="U81"/>
      <c r="V81"/>
    </row>
    <row r="82" spans="1:22" ht="16.5">
      <c r="A82" s="124" t="s">
        <v>160</v>
      </c>
      <c r="B82" s="176"/>
      <c r="C82" s="20"/>
      <c r="D82" s="133"/>
      <c r="E82" s="133"/>
      <c r="F82" s="133"/>
      <c r="G82" s="133"/>
      <c r="H82" s="133"/>
      <c r="I82" s="133"/>
      <c r="J82" s="133"/>
      <c r="K82" s="133"/>
      <c r="L82" s="133"/>
      <c r="M82" s="133"/>
      <c r="N82" s="133"/>
      <c r="O82" s="133"/>
      <c r="P82" s="133"/>
      <c r="Q82" s="134"/>
      <c r="T82"/>
      <c r="U82"/>
      <c r="V82"/>
    </row>
    <row r="83" spans="1:22">
      <c r="A83" s="126" t="s">
        <v>179</v>
      </c>
      <c r="B83" s="200" t="s">
        <v>189</v>
      </c>
      <c r="C83" s="194"/>
      <c r="D83" s="99">
        <f>+D55+D43+D23+D14+D9</f>
        <v>381235.20999999996</v>
      </c>
      <c r="E83" s="99">
        <f t="shared" ref="E83:Q83" si="3">+E55+E43+E23+E14+E9</f>
        <v>0</v>
      </c>
      <c r="F83" s="99">
        <f t="shared" si="3"/>
        <v>36752.26</v>
      </c>
      <c r="G83" s="99">
        <f t="shared" si="3"/>
        <v>1180698.8740431201</v>
      </c>
      <c r="H83" s="99">
        <f t="shared" si="3"/>
        <v>432082.83040350006</v>
      </c>
      <c r="I83" s="99">
        <f t="shared" si="3"/>
        <v>72888.799999999988</v>
      </c>
      <c r="J83" s="99">
        <f t="shared" si="3"/>
        <v>32245.600000000002</v>
      </c>
      <c r="K83" s="99">
        <f t="shared" si="3"/>
        <v>1966.6599999999999</v>
      </c>
      <c r="L83" s="99">
        <f t="shared" si="3"/>
        <v>5487.91</v>
      </c>
      <c r="M83" s="99">
        <f t="shared" si="3"/>
        <v>38362</v>
      </c>
      <c r="N83" s="99">
        <f t="shared" si="3"/>
        <v>230869.93</v>
      </c>
      <c r="O83" s="99">
        <f t="shared" si="3"/>
        <v>1039.8833228153549</v>
      </c>
      <c r="P83" s="99">
        <f t="shared" si="3"/>
        <v>634.9940862591626</v>
      </c>
      <c r="Q83" s="127">
        <f t="shared" si="3"/>
        <v>2414264.9518556944</v>
      </c>
      <c r="T83"/>
      <c r="U83"/>
      <c r="V83"/>
    </row>
    <row r="84" spans="1:22">
      <c r="A84" s="160" t="s">
        <v>151</v>
      </c>
      <c r="B84" s="201" t="s">
        <v>190</v>
      </c>
      <c r="C84" s="174"/>
      <c r="D84" s="162">
        <f>+D77+D75+D68+D52+D50+D41+D16+D11</f>
        <v>-145049</v>
      </c>
      <c r="E84" s="162">
        <f t="shared" ref="E84:Q84" si="4">+E77+E75+E68+E52+E50+E41+E16+E11</f>
        <v>0</v>
      </c>
      <c r="F84" s="162">
        <f t="shared" si="4"/>
        <v>284190.93</v>
      </c>
      <c r="G84" s="162">
        <f t="shared" si="4"/>
        <v>680919.33765572973</v>
      </c>
      <c r="H84" s="162">
        <f t="shared" si="4"/>
        <v>-33859.227092899979</v>
      </c>
      <c r="I84" s="162">
        <f t="shared" si="4"/>
        <v>30164.46</v>
      </c>
      <c r="J84" s="162">
        <f t="shared" si="4"/>
        <v>16841.919999999998</v>
      </c>
      <c r="K84" s="162">
        <f t="shared" si="4"/>
        <v>1823</v>
      </c>
      <c r="L84" s="162">
        <f t="shared" si="4"/>
        <v>0</v>
      </c>
      <c r="M84" s="162">
        <f t="shared" si="4"/>
        <v>13100</v>
      </c>
      <c r="N84" s="162">
        <f t="shared" si="4"/>
        <v>145909.53</v>
      </c>
      <c r="O84" s="162">
        <f t="shared" si="4"/>
        <v>28419.094690156551</v>
      </c>
      <c r="P84" s="162">
        <f t="shared" si="4"/>
        <v>42710.11326939203</v>
      </c>
      <c r="Q84" s="163">
        <f t="shared" si="4"/>
        <v>1065170.1585223782</v>
      </c>
      <c r="T84"/>
      <c r="U84"/>
      <c r="V84"/>
    </row>
    <row r="85" spans="1:22">
      <c r="A85" s="128" t="s">
        <v>152</v>
      </c>
      <c r="B85" s="202" t="s">
        <v>191</v>
      </c>
      <c r="C85" s="195"/>
      <c r="D85" s="102">
        <f>+D76+SUM(D69:D74)+SUM(D56:D67)+D54+D53+D51+SUM(D44:D49)+D42+SUM(D24:D40)+SUM(D17:D22)+D15+D13+D12+D10+SUM(D3:D8)</f>
        <v>442802.57</v>
      </c>
      <c r="E85" s="102">
        <f>+E76+SUM(E69:E74)+SUM(E56:E67)+E54+E53+E51+SUM(E44:E49)+E42+SUM(E24:E40)+SUM(E17:E22)+E15+E13+E12+E10+SUM(E3:E8)</f>
        <v>929374.10999999987</v>
      </c>
      <c r="F85" s="102">
        <f>+F76+SUM(F69:F74)+SUM(F56:F67)+F54+F53+F51+SUM(F44:F49)+F42+SUM(F24:F40)+SUM(F17:F22)+F15+F13+F12+F10+SUM(F3:F8)</f>
        <v>0</v>
      </c>
      <c r="G85" s="102">
        <f t="shared" ref="G85:Q85" si="5">+G76+SUM(G69:G74)+SUM(G56:G67)+G54+G53+G51+SUM(G44:G49)+G42+SUM(G24:G40)+SUM(G17:G22)+G15+G13+G12+G10+SUM(G3:G8)</f>
        <v>2863369.541830251</v>
      </c>
      <c r="H85" s="102">
        <f t="shared" si="5"/>
        <v>-603617.78731410007</v>
      </c>
      <c r="I85" s="102">
        <f t="shared" si="5"/>
        <v>78564.27</v>
      </c>
      <c r="J85" s="102">
        <f t="shared" si="5"/>
        <v>53003.98</v>
      </c>
      <c r="K85" s="102">
        <f t="shared" si="5"/>
        <v>4562</v>
      </c>
      <c r="L85" s="102">
        <f t="shared" si="5"/>
        <v>3164.68</v>
      </c>
      <c r="M85" s="102">
        <f t="shared" si="5"/>
        <v>66979</v>
      </c>
      <c r="N85" s="102">
        <f t="shared" si="5"/>
        <v>466199.33</v>
      </c>
      <c r="O85" s="102">
        <f t="shared" si="5"/>
        <v>94304.17756179726</v>
      </c>
      <c r="P85" s="102">
        <f t="shared" si="5"/>
        <v>133806.65531408359</v>
      </c>
      <c r="Q85" s="129">
        <f t="shared" si="5"/>
        <v>4532512.5273920307</v>
      </c>
    </row>
    <row r="86" spans="1:22">
      <c r="A86" s="130" t="s">
        <v>311</v>
      </c>
      <c r="B86" s="180"/>
      <c r="C86" s="196"/>
      <c r="D86" s="102">
        <f>SUM(D83:D85)</f>
        <v>678988.78</v>
      </c>
      <c r="E86" s="102">
        <f>SUM(E83:E85)</f>
        <v>929374.10999999987</v>
      </c>
      <c r="F86" s="102">
        <f>SUM(F83:F85)</f>
        <v>320943.19</v>
      </c>
      <c r="G86" s="102">
        <f t="shared" ref="G86:Q86" si="6">SUM(G83:G85)</f>
        <v>4724987.7535291007</v>
      </c>
      <c r="H86" s="102">
        <f t="shared" si="6"/>
        <v>-205394.18400349998</v>
      </c>
      <c r="I86" s="102">
        <f t="shared" si="6"/>
        <v>181617.52999999997</v>
      </c>
      <c r="J86" s="102">
        <f t="shared" si="6"/>
        <v>102091.5</v>
      </c>
      <c r="K86" s="102">
        <f t="shared" si="6"/>
        <v>8351.66</v>
      </c>
      <c r="L86" s="102">
        <f t="shared" si="6"/>
        <v>8652.59</v>
      </c>
      <c r="M86" s="102">
        <f t="shared" si="6"/>
        <v>118441</v>
      </c>
      <c r="N86" s="102">
        <f t="shared" si="6"/>
        <v>842978.79</v>
      </c>
      <c r="O86" s="102">
        <f t="shared" si="6"/>
        <v>123763.15557476916</v>
      </c>
      <c r="P86" s="102">
        <f t="shared" si="6"/>
        <v>177151.76266973477</v>
      </c>
      <c r="Q86" s="131">
        <f t="shared" si="6"/>
        <v>8011947.6377701033</v>
      </c>
    </row>
    <row r="87" spans="1:22">
      <c r="A87" s="132"/>
      <c r="B87" s="179"/>
      <c r="C87" s="20"/>
      <c r="D87" s="28"/>
      <c r="E87" s="28"/>
      <c r="F87" s="28"/>
      <c r="G87" s="28"/>
      <c r="H87" s="28"/>
      <c r="I87" s="28"/>
      <c r="J87" s="28"/>
      <c r="K87" s="28"/>
      <c r="L87" s="28"/>
      <c r="M87" s="28"/>
      <c r="N87" s="28"/>
      <c r="O87" s="28"/>
      <c r="P87" s="28"/>
      <c r="Q87" s="125"/>
    </row>
    <row r="88" spans="1:22" ht="16.5">
      <c r="A88" s="124" t="s">
        <v>310</v>
      </c>
      <c r="B88" s="176"/>
      <c r="C88" s="20"/>
      <c r="D88" s="28"/>
      <c r="E88" s="28"/>
      <c r="F88" s="28"/>
      <c r="G88" s="28"/>
      <c r="H88" s="28"/>
      <c r="I88" s="28"/>
      <c r="J88" s="28"/>
      <c r="K88" s="28"/>
      <c r="L88" s="28"/>
      <c r="M88" s="28"/>
      <c r="N88" s="28"/>
      <c r="O88" s="28"/>
      <c r="P88" s="28"/>
      <c r="Q88" s="125"/>
    </row>
    <row r="89" spans="1:22">
      <c r="A89" s="126" t="s">
        <v>179</v>
      </c>
      <c r="B89" s="200" t="s">
        <v>189</v>
      </c>
      <c r="C89" s="172"/>
      <c r="D89" s="99">
        <v>0</v>
      </c>
      <c r="E89" s="99">
        <f>+E83</f>
        <v>0</v>
      </c>
      <c r="F89" s="99">
        <f>F83</f>
        <v>36752.26</v>
      </c>
      <c r="G89" s="99">
        <v>0</v>
      </c>
      <c r="H89" s="99">
        <v>0</v>
      </c>
      <c r="I89" s="99">
        <v>0</v>
      </c>
      <c r="J89" s="99">
        <v>0</v>
      </c>
      <c r="K89" s="99">
        <v>0</v>
      </c>
      <c r="L89" s="99">
        <v>0</v>
      </c>
      <c r="M89" s="99">
        <v>0</v>
      </c>
      <c r="N89" s="99">
        <v>0</v>
      </c>
      <c r="O89" s="99">
        <f>O83</f>
        <v>1039.8833228153549</v>
      </c>
      <c r="P89" s="99">
        <f>P83</f>
        <v>634.9940862591626</v>
      </c>
      <c r="Q89" s="127">
        <f>SUM(D89:P89)</f>
        <v>38427.137409074516</v>
      </c>
    </row>
    <row r="90" spans="1:22">
      <c r="A90" s="160" t="s">
        <v>151</v>
      </c>
      <c r="B90" s="201" t="s">
        <v>190</v>
      </c>
      <c r="C90" s="174"/>
      <c r="D90" s="162">
        <f>+D84</f>
        <v>-145049</v>
      </c>
      <c r="E90" s="162">
        <f>+E84</f>
        <v>0</v>
      </c>
      <c r="F90" s="162">
        <f>+F84</f>
        <v>284190.93</v>
      </c>
      <c r="G90" s="162"/>
      <c r="H90" s="162">
        <f t="shared" ref="H90:P90" si="7">+H84</f>
        <v>-33859.227092899979</v>
      </c>
      <c r="I90" s="162">
        <f t="shared" si="7"/>
        <v>30164.46</v>
      </c>
      <c r="J90" s="162">
        <f t="shared" si="7"/>
        <v>16841.919999999998</v>
      </c>
      <c r="K90" s="162">
        <f t="shared" si="7"/>
        <v>1823</v>
      </c>
      <c r="L90" s="162">
        <f t="shared" si="7"/>
        <v>0</v>
      </c>
      <c r="M90" s="162">
        <f t="shared" si="7"/>
        <v>13100</v>
      </c>
      <c r="N90" s="162">
        <f t="shared" si="7"/>
        <v>145909.53</v>
      </c>
      <c r="O90" s="162">
        <f t="shared" si="7"/>
        <v>28419.094690156551</v>
      </c>
      <c r="P90" s="162">
        <f t="shared" si="7"/>
        <v>42710.11326939203</v>
      </c>
      <c r="Q90" s="163">
        <f>SUM(D90:P90)</f>
        <v>384250.82086664863</v>
      </c>
    </row>
    <row r="91" spans="1:22">
      <c r="A91" s="128" t="s">
        <v>154</v>
      </c>
      <c r="B91" s="202" t="s">
        <v>191</v>
      </c>
      <c r="C91" s="196"/>
      <c r="D91" s="102">
        <f>+D85</f>
        <v>442802.57</v>
      </c>
      <c r="E91" s="102">
        <f>+E85</f>
        <v>929374.10999999987</v>
      </c>
      <c r="F91" s="102">
        <f>+F85</f>
        <v>0</v>
      </c>
      <c r="G91" s="102">
        <f>+G85</f>
        <v>2863369.541830251</v>
      </c>
      <c r="H91" s="102">
        <f t="shared" ref="H91:P91" si="8">+H85</f>
        <v>-603617.78731410007</v>
      </c>
      <c r="I91" s="102">
        <f t="shared" si="8"/>
        <v>78564.27</v>
      </c>
      <c r="J91" s="102">
        <f t="shared" si="8"/>
        <v>53003.98</v>
      </c>
      <c r="K91" s="102">
        <f t="shared" si="8"/>
        <v>4562</v>
      </c>
      <c r="L91" s="102">
        <f t="shared" si="8"/>
        <v>3164.68</v>
      </c>
      <c r="M91" s="102">
        <f t="shared" si="8"/>
        <v>66979</v>
      </c>
      <c r="N91" s="102">
        <f t="shared" si="8"/>
        <v>466199.33</v>
      </c>
      <c r="O91" s="102">
        <f t="shared" si="8"/>
        <v>94304.17756179726</v>
      </c>
      <c r="P91" s="102">
        <f t="shared" si="8"/>
        <v>133806.65531408359</v>
      </c>
      <c r="Q91" s="129">
        <f>SUM(D91:P91)</f>
        <v>4532512.5273920307</v>
      </c>
      <c r="S91" t="s">
        <v>168</v>
      </c>
    </row>
    <row r="92" spans="1:22">
      <c r="A92" s="130" t="s">
        <v>155</v>
      </c>
      <c r="B92" s="180"/>
      <c r="C92" s="196"/>
      <c r="D92" s="102">
        <f>SUM(D89:D91)</f>
        <v>297753.57</v>
      </c>
      <c r="E92" s="102">
        <f>SUM(E89:E91)</f>
        <v>929374.10999999987</v>
      </c>
      <c r="F92" s="102">
        <f>SUM(F89:F91)</f>
        <v>320943.19</v>
      </c>
      <c r="G92" s="102">
        <f t="shared" ref="G92:Q92" si="9">SUM(G89:G91)</f>
        <v>2863369.541830251</v>
      </c>
      <c r="H92" s="102">
        <f t="shared" si="9"/>
        <v>-637477.01440700004</v>
      </c>
      <c r="I92" s="102">
        <f t="shared" si="9"/>
        <v>108728.73000000001</v>
      </c>
      <c r="J92" s="102">
        <f t="shared" si="9"/>
        <v>69845.899999999994</v>
      </c>
      <c r="K92" s="102">
        <f t="shared" si="9"/>
        <v>6385</v>
      </c>
      <c r="L92" s="102">
        <f t="shared" si="9"/>
        <v>3164.68</v>
      </c>
      <c r="M92" s="102">
        <f t="shared" si="9"/>
        <v>80079</v>
      </c>
      <c r="N92" s="102">
        <f t="shared" si="9"/>
        <v>612108.86</v>
      </c>
      <c r="O92" s="102">
        <f t="shared" si="9"/>
        <v>123763.15557476916</v>
      </c>
      <c r="P92" s="102">
        <f>SUM(P89:P91)</f>
        <v>177151.76266973477</v>
      </c>
      <c r="Q92" s="131">
        <f t="shared" si="9"/>
        <v>4955190.485667754</v>
      </c>
      <c r="S92" t="s">
        <v>169</v>
      </c>
    </row>
    <row r="93" spans="1:22">
      <c r="A93" s="147"/>
      <c r="B93" s="181"/>
      <c r="C93" s="173"/>
      <c r="D93" s="148"/>
      <c r="E93" s="148"/>
      <c r="F93" s="148"/>
      <c r="G93" s="148"/>
      <c r="H93" s="148"/>
      <c r="I93" s="148"/>
      <c r="J93" s="148"/>
      <c r="K93" s="148"/>
      <c r="L93" s="148"/>
      <c r="M93" s="148"/>
      <c r="N93" s="148"/>
      <c r="O93" s="148"/>
      <c r="P93" s="148"/>
      <c r="Q93" s="149"/>
      <c r="S93" t="s">
        <v>170</v>
      </c>
    </row>
    <row r="94" spans="1:22" ht="13.5" thickBot="1">
      <c r="A94" s="143" t="s">
        <v>165</v>
      </c>
      <c r="B94" s="182"/>
      <c r="C94" s="197"/>
      <c r="D94" s="144"/>
      <c r="E94" s="144"/>
      <c r="F94" s="144"/>
      <c r="G94" s="144"/>
      <c r="H94" s="144"/>
      <c r="I94" s="144"/>
      <c r="J94" s="144"/>
      <c r="K94" s="144"/>
      <c r="L94" s="144"/>
      <c r="M94" s="144"/>
      <c r="N94" s="144"/>
      <c r="O94" s="145"/>
      <c r="P94" s="146"/>
      <c r="Q94" s="208">
        <f>+Q91+Q93</f>
        <v>4532512.5273920307</v>
      </c>
      <c r="R94" s="98">
        <f>+Q94+Q92</f>
        <v>9487703.0130597837</v>
      </c>
      <c r="S94" t="s">
        <v>167</v>
      </c>
    </row>
    <row r="95" spans="1:22">
      <c r="B95" s="177"/>
    </row>
    <row r="96" spans="1:22" ht="13.5" thickBot="1">
      <c r="B96" s="177"/>
    </row>
    <row r="97" spans="1:20" ht="16.5">
      <c r="A97" s="121" t="s">
        <v>156</v>
      </c>
      <c r="B97" s="178"/>
      <c r="C97" s="193"/>
      <c r="D97" s="122"/>
      <c r="E97" s="122"/>
      <c r="F97" s="122"/>
      <c r="G97" s="122"/>
      <c r="H97" s="122"/>
      <c r="I97" s="122"/>
      <c r="J97" s="122"/>
      <c r="K97" s="122"/>
      <c r="L97" s="122"/>
      <c r="M97" s="122"/>
      <c r="N97" s="122"/>
      <c r="O97" s="122"/>
      <c r="P97" s="122"/>
      <c r="Q97" s="123"/>
    </row>
    <row r="98" spans="1:20" ht="12.75" customHeight="1">
      <c r="A98" s="124"/>
      <c r="B98" s="176"/>
      <c r="C98" s="20"/>
      <c r="D98" s="28"/>
      <c r="E98" s="28"/>
      <c r="F98" s="28"/>
      <c r="G98" s="28"/>
      <c r="H98" s="28"/>
      <c r="I98" s="28"/>
      <c r="J98" s="28"/>
      <c r="K98" s="28"/>
      <c r="L98" s="28"/>
      <c r="M98" s="28"/>
      <c r="N98" s="28"/>
      <c r="O98" s="28"/>
      <c r="P98" s="28"/>
      <c r="Q98" s="125"/>
    </row>
    <row r="99" spans="1:20" ht="16.5">
      <c r="A99" s="124" t="s">
        <v>161</v>
      </c>
      <c r="B99" s="176"/>
      <c r="C99" s="20"/>
      <c r="D99" s="28"/>
      <c r="E99" s="28"/>
      <c r="F99" s="28"/>
      <c r="G99" s="28"/>
      <c r="H99" s="28"/>
      <c r="I99" s="28"/>
      <c r="J99" s="28"/>
      <c r="K99" s="28"/>
      <c r="L99" s="28"/>
      <c r="M99" s="28"/>
      <c r="N99" s="28"/>
      <c r="O99" s="28"/>
      <c r="P99" s="28"/>
      <c r="Q99" s="125"/>
    </row>
    <row r="100" spans="1:20">
      <c r="A100" s="126" t="s">
        <v>179</v>
      </c>
      <c r="B100" s="200" t="s">
        <v>189</v>
      </c>
      <c r="C100" s="194"/>
      <c r="D100" s="99">
        <f>+D83-D55</f>
        <v>330966.84999999998</v>
      </c>
      <c r="E100" s="99">
        <f>+E83-E55</f>
        <v>0</v>
      </c>
      <c r="F100" s="99">
        <f>+F83-F55</f>
        <v>36752.26</v>
      </c>
      <c r="G100" s="99">
        <f t="shared" ref="G100:P100" si="10">+G83-G55</f>
        <v>1059728.4240431201</v>
      </c>
      <c r="H100" s="99">
        <f t="shared" si="10"/>
        <v>361521.25040350005</v>
      </c>
      <c r="I100" s="99">
        <f t="shared" si="10"/>
        <v>64109.989999999991</v>
      </c>
      <c r="J100" s="99">
        <f t="shared" si="10"/>
        <v>30134.920000000002</v>
      </c>
      <c r="K100" s="99">
        <f t="shared" si="10"/>
        <v>1966.6599999999999</v>
      </c>
      <c r="L100" s="99">
        <f t="shared" si="10"/>
        <v>5487.91</v>
      </c>
      <c r="M100" s="99">
        <f t="shared" si="10"/>
        <v>34210</v>
      </c>
      <c r="N100" s="99">
        <f t="shared" si="10"/>
        <v>217605.57</v>
      </c>
      <c r="O100" s="99">
        <f>+O83-O55</f>
        <v>1039.8833228153549</v>
      </c>
      <c r="P100" s="99">
        <f t="shared" si="10"/>
        <v>634.9940862591626</v>
      </c>
      <c r="Q100" s="127">
        <f>SUM(D100:P100)</f>
        <v>2144158.7118556947</v>
      </c>
      <c r="T100"/>
    </row>
    <row r="101" spans="1:20">
      <c r="A101" s="160" t="s">
        <v>151</v>
      </c>
      <c r="B101" s="201" t="s">
        <v>190</v>
      </c>
      <c r="C101" s="174"/>
      <c r="D101" s="162">
        <f>+D52+D50+D41+D16+D11</f>
        <v>-80807</v>
      </c>
      <c r="E101" s="162">
        <f t="shared" ref="E101:P101" si="11">+E52+E50+E41+E16+E11</f>
        <v>0</v>
      </c>
      <c r="F101" s="162">
        <f t="shared" si="11"/>
        <v>192881.84</v>
      </c>
      <c r="G101" s="162">
        <f t="shared" si="11"/>
        <v>370160.9012476764</v>
      </c>
      <c r="H101" s="162">
        <f t="shared" si="11"/>
        <v>72213.011404500023</v>
      </c>
      <c r="I101" s="162">
        <f t="shared" si="11"/>
        <v>21481.42</v>
      </c>
      <c r="J101" s="162">
        <f t="shared" si="11"/>
        <v>8312.24</v>
      </c>
      <c r="K101" s="162">
        <f t="shared" si="11"/>
        <v>1334</v>
      </c>
      <c r="L101" s="162">
        <f t="shared" si="11"/>
        <v>0</v>
      </c>
      <c r="M101" s="162">
        <f t="shared" si="11"/>
        <v>8189</v>
      </c>
      <c r="N101" s="162">
        <f t="shared" si="11"/>
        <v>102534.62999999999</v>
      </c>
      <c r="O101" s="162">
        <f t="shared" si="11"/>
        <v>19288.184470078984</v>
      </c>
      <c r="P101" s="162">
        <f t="shared" si="11"/>
        <v>31621.280837353945</v>
      </c>
      <c r="Q101" s="163">
        <f>SUM(D101:P101)</f>
        <v>747209.50795960939</v>
      </c>
      <c r="T101"/>
    </row>
    <row r="102" spans="1:20">
      <c r="A102" s="128" t="s">
        <v>152</v>
      </c>
      <c r="B102" s="202" t="s">
        <v>191</v>
      </c>
      <c r="C102" s="195"/>
      <c r="D102" s="102">
        <f>+D54+D53+D51+SUM(D44:D49)+D42+SUM(D24:D40)+SUM(D17:D22)+D15+D13+D12+D10+SUM(D3:D8)</f>
        <v>288348.88</v>
      </c>
      <c r="E102" s="102">
        <f>+E54+E53+E51+SUM(E44:E49)+E42+SUM(E24:E40)+SUM(E17:E22)+E15+E13+E12+E10+SUM(E3:E8)</f>
        <v>375821.04</v>
      </c>
      <c r="F102" s="102">
        <f t="shared" ref="F102:P102" si="12">+F54+F53+F51+SUM(F44:F49)+F42+SUM(F24:F40)+SUM(F17:F22)+F15+F13+F12+F10+SUM(F3:F8)</f>
        <v>0</v>
      </c>
      <c r="G102" s="102">
        <f t="shared" si="12"/>
        <v>1896884.0683611771</v>
      </c>
      <c r="H102" s="102">
        <f t="shared" si="12"/>
        <v>-371788.45061120007</v>
      </c>
      <c r="I102" s="102">
        <f t="shared" si="12"/>
        <v>50644.179999999993</v>
      </c>
      <c r="J102" s="102">
        <f t="shared" si="12"/>
        <v>34529.440000000002</v>
      </c>
      <c r="K102" s="102">
        <f t="shared" si="12"/>
        <v>2532</v>
      </c>
      <c r="L102" s="102">
        <f t="shared" si="12"/>
        <v>423.14000000000004</v>
      </c>
      <c r="M102" s="102">
        <f t="shared" si="12"/>
        <v>46633</v>
      </c>
      <c r="N102" s="102">
        <f t="shared" si="12"/>
        <v>339326.33</v>
      </c>
      <c r="O102" s="102">
        <f t="shared" si="12"/>
        <v>57828.078831643681</v>
      </c>
      <c r="P102" s="102">
        <f t="shared" si="12"/>
        <v>87425.497828597348</v>
      </c>
      <c r="Q102" s="129">
        <f>SUM(D102:P102)</f>
        <v>2808607.2044102182</v>
      </c>
    </row>
    <row r="103" spans="1:20">
      <c r="A103" s="130" t="s">
        <v>175</v>
      </c>
      <c r="B103" s="180"/>
      <c r="C103" s="196"/>
      <c r="D103" s="102">
        <f>SUM(D100:D102)</f>
        <v>538508.73</v>
      </c>
      <c r="E103" s="102">
        <f>SUM(E100:E102)</f>
        <v>375821.04</v>
      </c>
      <c r="F103" s="102">
        <f>SUM(F100:F102)</f>
        <v>229634.1</v>
      </c>
      <c r="G103" s="102">
        <f t="shared" ref="G103:Q103" si="13">SUM(G100:G102)</f>
        <v>3326773.3936519735</v>
      </c>
      <c r="H103" s="102">
        <f t="shared" si="13"/>
        <v>61945.811196799972</v>
      </c>
      <c r="I103" s="102">
        <f t="shared" si="13"/>
        <v>136235.58999999997</v>
      </c>
      <c r="J103" s="102">
        <f t="shared" si="13"/>
        <v>72976.600000000006</v>
      </c>
      <c r="K103" s="102">
        <f t="shared" si="13"/>
        <v>5832.66</v>
      </c>
      <c r="L103" s="102">
        <f t="shared" si="13"/>
        <v>5911.05</v>
      </c>
      <c r="M103" s="102">
        <f t="shared" si="13"/>
        <v>89032</v>
      </c>
      <c r="N103" s="102">
        <f t="shared" si="13"/>
        <v>659466.53</v>
      </c>
      <c r="O103" s="102">
        <f t="shared" si="13"/>
        <v>78156.146624538029</v>
      </c>
      <c r="P103" s="102">
        <f t="shared" si="13"/>
        <v>119681.77275221045</v>
      </c>
      <c r="Q103" s="131">
        <f t="shared" si="13"/>
        <v>5699975.4242255222</v>
      </c>
    </row>
    <row r="104" spans="1:20">
      <c r="A104" s="132"/>
      <c r="B104" s="179"/>
      <c r="C104" s="20"/>
      <c r="D104" s="28"/>
      <c r="E104" s="28"/>
      <c r="F104" s="28"/>
      <c r="G104" s="28"/>
      <c r="H104" s="28"/>
      <c r="I104" s="28"/>
      <c r="J104" s="28"/>
      <c r="K104" s="28"/>
      <c r="L104" s="28"/>
      <c r="M104" s="28"/>
      <c r="N104" s="28"/>
      <c r="O104" s="28"/>
      <c r="P104" s="28"/>
      <c r="Q104" s="125"/>
    </row>
    <row r="105" spans="1:20" ht="16.5">
      <c r="A105" s="124" t="s">
        <v>162</v>
      </c>
      <c r="B105" s="176"/>
      <c r="C105" s="20"/>
      <c r="D105" s="28"/>
      <c r="E105" s="28"/>
      <c r="F105" s="28"/>
      <c r="G105" s="28"/>
      <c r="H105" s="28"/>
      <c r="I105" s="28"/>
      <c r="J105" s="28"/>
      <c r="K105" s="28"/>
      <c r="L105" s="28"/>
      <c r="M105" s="28"/>
      <c r="N105" s="28"/>
      <c r="O105" s="28"/>
      <c r="P105" s="28"/>
      <c r="Q105" s="125"/>
    </row>
    <row r="106" spans="1:20">
      <c r="A106" s="126" t="s">
        <v>179</v>
      </c>
      <c r="B106" s="200" t="s">
        <v>189</v>
      </c>
      <c r="C106" s="194"/>
      <c r="D106" s="99">
        <v>0</v>
      </c>
      <c r="E106" s="99">
        <v>0</v>
      </c>
      <c r="F106" s="99">
        <f>F100</f>
        <v>36752.26</v>
      </c>
      <c r="G106" s="99">
        <v>0</v>
      </c>
      <c r="H106" s="99">
        <v>0</v>
      </c>
      <c r="I106" s="99">
        <v>0</v>
      </c>
      <c r="J106" s="99">
        <v>0</v>
      </c>
      <c r="K106" s="99">
        <v>0</v>
      </c>
      <c r="L106" s="99">
        <v>0</v>
      </c>
      <c r="M106" s="99">
        <v>0</v>
      </c>
      <c r="N106" s="99">
        <v>0</v>
      </c>
      <c r="O106" s="99">
        <f>O100</f>
        <v>1039.8833228153549</v>
      </c>
      <c r="P106" s="99">
        <f>P100</f>
        <v>634.9940862591626</v>
      </c>
      <c r="Q106" s="127">
        <f>SUM(D106:P106)</f>
        <v>38427.137409074516</v>
      </c>
    </row>
    <row r="107" spans="1:20">
      <c r="A107" s="160" t="s">
        <v>151</v>
      </c>
      <c r="B107" s="201" t="s">
        <v>190</v>
      </c>
      <c r="C107" s="174"/>
      <c r="D107" s="162">
        <f>+D52+D50+D41+D16+D11</f>
        <v>-80807</v>
      </c>
      <c r="E107" s="162">
        <f>+E52+E50+E41+E16+E11</f>
        <v>0</v>
      </c>
      <c r="F107" s="162">
        <f>+F52+F50+F41+F16+F11</f>
        <v>192881.84</v>
      </c>
      <c r="G107" s="162">
        <v>0</v>
      </c>
      <c r="H107" s="162">
        <f t="shared" ref="H107:P107" si="14">+H52+H50+H41+H16+H11</f>
        <v>72213.011404500023</v>
      </c>
      <c r="I107" s="162">
        <f t="shared" si="14"/>
        <v>21481.42</v>
      </c>
      <c r="J107" s="162">
        <f t="shared" si="14"/>
        <v>8312.24</v>
      </c>
      <c r="K107" s="162">
        <f t="shared" si="14"/>
        <v>1334</v>
      </c>
      <c r="L107" s="162">
        <f t="shared" si="14"/>
        <v>0</v>
      </c>
      <c r="M107" s="162">
        <f t="shared" si="14"/>
        <v>8189</v>
      </c>
      <c r="N107" s="162">
        <f t="shared" si="14"/>
        <v>102534.62999999999</v>
      </c>
      <c r="O107" s="162">
        <f>+O52+O50+O41+O16+O11</f>
        <v>19288.184470078984</v>
      </c>
      <c r="P107" s="162">
        <f t="shared" si="14"/>
        <v>31621.280837353945</v>
      </c>
      <c r="Q107" s="163">
        <f>SUM(D107:P107)</f>
        <v>377048.60671193292</v>
      </c>
    </row>
    <row r="108" spans="1:20">
      <c r="A108" s="128" t="s">
        <v>152</v>
      </c>
      <c r="B108" s="202" t="s">
        <v>191</v>
      </c>
      <c r="C108" s="195"/>
      <c r="D108" s="102">
        <f>+D102</f>
        <v>288348.88</v>
      </c>
      <c r="E108" s="102">
        <f>+E102</f>
        <v>375821.04</v>
      </c>
      <c r="F108" s="102">
        <f>+F102</f>
        <v>0</v>
      </c>
      <c r="G108" s="102">
        <f t="shared" ref="G108:P108" si="15">+G102</f>
        <v>1896884.0683611771</v>
      </c>
      <c r="H108" s="102">
        <f t="shared" si="15"/>
        <v>-371788.45061120007</v>
      </c>
      <c r="I108" s="102">
        <f t="shared" si="15"/>
        <v>50644.179999999993</v>
      </c>
      <c r="J108" s="102">
        <f t="shared" si="15"/>
        <v>34529.440000000002</v>
      </c>
      <c r="K108" s="102">
        <f t="shared" si="15"/>
        <v>2532</v>
      </c>
      <c r="L108" s="102">
        <f t="shared" si="15"/>
        <v>423.14000000000004</v>
      </c>
      <c r="M108" s="102">
        <f t="shared" si="15"/>
        <v>46633</v>
      </c>
      <c r="N108" s="102">
        <f t="shared" si="15"/>
        <v>339326.33</v>
      </c>
      <c r="O108" s="102">
        <f t="shared" si="15"/>
        <v>57828.078831643681</v>
      </c>
      <c r="P108" s="102">
        <f t="shared" si="15"/>
        <v>87425.497828597348</v>
      </c>
      <c r="Q108" s="129">
        <f>SUM(D108:P108)</f>
        <v>2808607.2044102182</v>
      </c>
    </row>
    <row r="109" spans="1:20">
      <c r="A109" s="130" t="s">
        <v>176</v>
      </c>
      <c r="B109" s="180"/>
      <c r="C109" s="196"/>
      <c r="D109" s="102">
        <f>SUM(D106:D108)</f>
        <v>207541.88</v>
      </c>
      <c r="E109" s="102">
        <f>SUM(E106:E108)</f>
        <v>375821.04</v>
      </c>
      <c r="F109" s="102">
        <f>SUM(F106:F108)</f>
        <v>229634.1</v>
      </c>
      <c r="G109" s="102">
        <f t="shared" ref="G109:Q109" si="16">SUM(G106:G108)</f>
        <v>1896884.0683611771</v>
      </c>
      <c r="H109" s="102">
        <f t="shared" si="16"/>
        <v>-299575.43920670007</v>
      </c>
      <c r="I109" s="102">
        <f t="shared" si="16"/>
        <v>72125.599999999991</v>
      </c>
      <c r="J109" s="102">
        <f t="shared" si="16"/>
        <v>42841.68</v>
      </c>
      <c r="K109" s="102">
        <f t="shared" si="16"/>
        <v>3866</v>
      </c>
      <c r="L109" s="102">
        <f t="shared" si="16"/>
        <v>423.14000000000004</v>
      </c>
      <c r="M109" s="102">
        <f t="shared" si="16"/>
        <v>54822</v>
      </c>
      <c r="N109" s="102">
        <f t="shared" si="16"/>
        <v>441860.96</v>
      </c>
      <c r="O109" s="102">
        <f t="shared" si="16"/>
        <v>78156.146624538029</v>
      </c>
      <c r="P109" s="102">
        <f t="shared" si="16"/>
        <v>119681.77275221045</v>
      </c>
      <c r="Q109" s="131">
        <f t="shared" si="16"/>
        <v>3224082.9485312258</v>
      </c>
    </row>
    <row r="110" spans="1:20">
      <c r="A110" s="132"/>
      <c r="B110" s="179"/>
      <c r="C110" s="20"/>
      <c r="D110" s="28"/>
      <c r="E110" s="28"/>
      <c r="F110" s="28"/>
      <c r="G110" s="28"/>
      <c r="H110" s="28"/>
      <c r="I110" s="28"/>
      <c r="J110" s="28"/>
      <c r="K110" s="28"/>
      <c r="L110" s="28"/>
      <c r="M110" s="28"/>
      <c r="N110" s="28"/>
      <c r="O110" s="28"/>
      <c r="P110" s="28"/>
      <c r="Q110" s="125"/>
    </row>
    <row r="111" spans="1:20" ht="16.5">
      <c r="A111" s="124" t="s">
        <v>163</v>
      </c>
      <c r="B111" s="176"/>
      <c r="C111" s="20"/>
      <c r="D111" s="133"/>
      <c r="E111" s="133"/>
      <c r="F111" s="133"/>
      <c r="G111" s="133"/>
      <c r="H111" s="133"/>
      <c r="I111" s="133"/>
      <c r="J111" s="133"/>
      <c r="K111" s="133"/>
      <c r="L111" s="133"/>
      <c r="M111" s="133"/>
      <c r="N111" s="133"/>
      <c r="O111" s="133"/>
      <c r="P111" s="133"/>
      <c r="Q111" s="134"/>
    </row>
    <row r="112" spans="1:20">
      <c r="A112" s="126" t="s">
        <v>179</v>
      </c>
      <c r="B112" s="200" t="s">
        <v>189</v>
      </c>
      <c r="C112" s="194"/>
      <c r="D112" s="99">
        <v>0</v>
      </c>
      <c r="E112" s="99">
        <v>0</v>
      </c>
      <c r="F112" s="99"/>
      <c r="G112" s="99">
        <v>0</v>
      </c>
      <c r="H112" s="99">
        <v>0</v>
      </c>
      <c r="I112" s="99">
        <v>0</v>
      </c>
      <c r="J112" s="99">
        <v>0</v>
      </c>
      <c r="K112" s="99">
        <v>0</v>
      </c>
      <c r="L112" s="99">
        <v>0</v>
      </c>
      <c r="M112" s="99">
        <v>0</v>
      </c>
      <c r="N112" s="99">
        <v>0</v>
      </c>
      <c r="O112" s="99">
        <v>0</v>
      </c>
      <c r="P112" s="99">
        <v>0</v>
      </c>
      <c r="Q112" s="127">
        <f>SUM(D112:P112)</f>
        <v>0</v>
      </c>
      <c r="R112" s="98"/>
      <c r="S112" s="98"/>
    </row>
    <row r="113" spans="1:19">
      <c r="A113" s="160" t="s">
        <v>151</v>
      </c>
      <c r="B113" s="201" t="s">
        <v>190</v>
      </c>
      <c r="C113" s="174"/>
      <c r="D113" s="162">
        <f>+D77+D75+D68</f>
        <v>-64242</v>
      </c>
      <c r="E113" s="162">
        <f>+E77+E75+E68</f>
        <v>0</v>
      </c>
      <c r="F113" s="162">
        <f>+F77+F75+F68</f>
        <v>91309.09</v>
      </c>
      <c r="G113" s="162">
        <f t="shared" ref="G113:P113" si="17">+G77+G75+G68</f>
        <v>310758.43640805321</v>
      </c>
      <c r="H113" s="162">
        <f t="shared" si="17"/>
        <v>-106072.2384974</v>
      </c>
      <c r="I113" s="162">
        <f t="shared" si="17"/>
        <v>8683.0400000000009</v>
      </c>
      <c r="J113" s="162">
        <f t="shared" si="17"/>
        <v>8529.68</v>
      </c>
      <c r="K113" s="162">
        <f t="shared" si="17"/>
        <v>489</v>
      </c>
      <c r="L113" s="162">
        <f t="shared" si="17"/>
        <v>0</v>
      </c>
      <c r="M113" s="162">
        <f t="shared" si="17"/>
        <v>4911</v>
      </c>
      <c r="N113" s="162">
        <f t="shared" si="17"/>
        <v>43374.9</v>
      </c>
      <c r="O113" s="162">
        <f>+O77+O75+O68</f>
        <v>9130.9102200775651</v>
      </c>
      <c r="P113" s="162">
        <f t="shared" si="17"/>
        <v>11088.832432038087</v>
      </c>
      <c r="Q113" s="163">
        <f>SUM(D113:P113)</f>
        <v>317960.65056276886</v>
      </c>
      <c r="R113" s="98"/>
      <c r="S113" s="98"/>
    </row>
    <row r="114" spans="1:19">
      <c r="A114" s="128" t="s">
        <v>152</v>
      </c>
      <c r="B114" s="202" t="s">
        <v>191</v>
      </c>
      <c r="C114" s="195"/>
      <c r="D114" s="102">
        <f>+D76+SUM(D69:D74)+SUM(D56:D67)</f>
        <v>154453.69</v>
      </c>
      <c r="E114" s="102">
        <f>+E76+SUM(E69:E74)+SUM(E56:E67)</f>
        <v>553553.06999999995</v>
      </c>
      <c r="F114" s="102">
        <f>+F76+SUM(F69:F74)+SUM(F56:F67)</f>
        <v>0</v>
      </c>
      <c r="G114" s="102">
        <f t="shared" ref="G114:P114" si="18">+G76+SUM(G69:G74)+SUM(G56:G67)</f>
        <v>966485.47346907319</v>
      </c>
      <c r="H114" s="102">
        <f t="shared" si="18"/>
        <v>-231829.33670290001</v>
      </c>
      <c r="I114" s="102">
        <f t="shared" si="18"/>
        <v>27920.090000000004</v>
      </c>
      <c r="J114" s="102">
        <f t="shared" si="18"/>
        <v>18474.54</v>
      </c>
      <c r="K114" s="102">
        <f t="shared" si="18"/>
        <v>2030</v>
      </c>
      <c r="L114" s="102">
        <f t="shared" si="18"/>
        <v>2741.54</v>
      </c>
      <c r="M114" s="102">
        <f t="shared" si="18"/>
        <v>20346</v>
      </c>
      <c r="N114" s="102">
        <f t="shared" si="18"/>
        <v>126873</v>
      </c>
      <c r="O114" s="102">
        <f t="shared" si="18"/>
        <v>36476.098730153564</v>
      </c>
      <c r="P114" s="102">
        <f t="shared" si="18"/>
        <v>46381.157485486256</v>
      </c>
      <c r="Q114" s="129">
        <f>SUM(D114:P114)</f>
        <v>1723905.3229818132</v>
      </c>
      <c r="R114" s="98"/>
      <c r="S114" s="98"/>
    </row>
    <row r="115" spans="1:19">
      <c r="A115" s="130" t="s">
        <v>177</v>
      </c>
      <c r="B115" s="180"/>
      <c r="C115" s="196"/>
      <c r="D115" s="102">
        <f>SUM(D112:D114)</f>
        <v>90211.69</v>
      </c>
      <c r="E115" s="102">
        <f>SUM(E112:E114)</f>
        <v>553553.06999999995</v>
      </c>
      <c r="F115" s="102">
        <f>SUM(F112:F114)</f>
        <v>91309.09</v>
      </c>
      <c r="G115" s="102">
        <f t="shared" ref="G115:Q115" si="19">SUM(G112:G114)</f>
        <v>1277243.9098771263</v>
      </c>
      <c r="H115" s="102">
        <f t="shared" si="19"/>
        <v>-337901.57520030002</v>
      </c>
      <c r="I115" s="102">
        <f t="shared" si="19"/>
        <v>36603.130000000005</v>
      </c>
      <c r="J115" s="102">
        <f t="shared" si="19"/>
        <v>27004.22</v>
      </c>
      <c r="K115" s="102">
        <f t="shared" si="19"/>
        <v>2519</v>
      </c>
      <c r="L115" s="102">
        <f t="shared" si="19"/>
        <v>2741.54</v>
      </c>
      <c r="M115" s="102">
        <f t="shared" si="19"/>
        <v>25257</v>
      </c>
      <c r="N115" s="102">
        <f t="shared" si="19"/>
        <v>170247.9</v>
      </c>
      <c r="O115" s="102">
        <f t="shared" si="19"/>
        <v>45607.008950231131</v>
      </c>
      <c r="P115" s="102">
        <f t="shared" si="19"/>
        <v>57469.989917524341</v>
      </c>
      <c r="Q115" s="131">
        <f t="shared" si="19"/>
        <v>2041865.973544582</v>
      </c>
      <c r="R115" s="98"/>
      <c r="S115" s="98"/>
    </row>
    <row r="116" spans="1:19">
      <c r="A116" s="132"/>
      <c r="B116" s="179"/>
      <c r="C116" s="20"/>
      <c r="D116" s="28"/>
      <c r="E116" s="28"/>
      <c r="F116" s="28"/>
      <c r="G116" s="28"/>
      <c r="H116" s="28"/>
      <c r="I116" s="28"/>
      <c r="J116" s="28"/>
      <c r="K116" s="28"/>
      <c r="L116" s="28"/>
      <c r="M116" s="28"/>
      <c r="N116" s="28"/>
      <c r="O116" s="28"/>
      <c r="P116" s="28"/>
      <c r="Q116" s="125"/>
    </row>
    <row r="117" spans="1:19" ht="16.5">
      <c r="A117" s="124" t="s">
        <v>164</v>
      </c>
      <c r="B117" s="176"/>
      <c r="C117" s="20"/>
      <c r="D117" s="133"/>
      <c r="E117" s="133"/>
      <c r="F117" s="133"/>
      <c r="G117" s="133"/>
      <c r="H117" s="133"/>
      <c r="I117" s="133"/>
      <c r="J117" s="133"/>
      <c r="K117" s="133"/>
      <c r="L117" s="133"/>
      <c r="M117" s="133"/>
      <c r="N117" s="133"/>
      <c r="O117" s="133"/>
      <c r="P117" s="133"/>
      <c r="Q117" s="134"/>
    </row>
    <row r="118" spans="1:19">
      <c r="A118" s="126" t="s">
        <v>179</v>
      </c>
      <c r="B118" s="200" t="s">
        <v>189</v>
      </c>
      <c r="C118" s="194"/>
      <c r="D118" s="99">
        <v>0</v>
      </c>
      <c r="E118" s="99">
        <v>0</v>
      </c>
      <c r="F118" s="99"/>
      <c r="G118" s="99">
        <v>0</v>
      </c>
      <c r="H118" s="99">
        <v>0</v>
      </c>
      <c r="I118" s="99">
        <v>0</v>
      </c>
      <c r="J118" s="99">
        <v>0</v>
      </c>
      <c r="K118" s="99">
        <v>0</v>
      </c>
      <c r="L118" s="99">
        <v>0</v>
      </c>
      <c r="M118" s="99">
        <v>0</v>
      </c>
      <c r="N118" s="99">
        <v>0</v>
      </c>
      <c r="O118" s="99">
        <v>0</v>
      </c>
      <c r="P118" s="99">
        <v>0</v>
      </c>
      <c r="Q118" s="127">
        <f>SUM(D118:P118)</f>
        <v>0</v>
      </c>
    </row>
    <row r="119" spans="1:19">
      <c r="A119" s="160" t="s">
        <v>151</v>
      </c>
      <c r="B119" s="201" t="s">
        <v>190</v>
      </c>
      <c r="C119" s="174"/>
      <c r="D119" s="162">
        <f>+D77+D75+D68</f>
        <v>-64242</v>
      </c>
      <c r="E119" s="162">
        <f>+E77+E75+E68</f>
        <v>0</v>
      </c>
      <c r="F119" s="162">
        <f>+F77+F75+F68</f>
        <v>91309.09</v>
      </c>
      <c r="G119" s="162"/>
      <c r="H119" s="162">
        <f t="shared" ref="H119:P119" si="20">+H77+H75+H68</f>
        <v>-106072.2384974</v>
      </c>
      <c r="I119" s="162">
        <f t="shared" si="20"/>
        <v>8683.0400000000009</v>
      </c>
      <c r="J119" s="162">
        <f t="shared" si="20"/>
        <v>8529.68</v>
      </c>
      <c r="K119" s="162">
        <f t="shared" si="20"/>
        <v>489</v>
      </c>
      <c r="L119" s="162">
        <f t="shared" si="20"/>
        <v>0</v>
      </c>
      <c r="M119" s="162">
        <f t="shared" si="20"/>
        <v>4911</v>
      </c>
      <c r="N119" s="162">
        <f t="shared" si="20"/>
        <v>43374.9</v>
      </c>
      <c r="O119" s="162">
        <f t="shared" si="20"/>
        <v>9130.9102200775651</v>
      </c>
      <c r="P119" s="162">
        <f t="shared" si="20"/>
        <v>11088.832432038087</v>
      </c>
      <c r="Q119" s="163">
        <f>SUM(D119:P119)</f>
        <v>7202.2141547156425</v>
      </c>
    </row>
    <row r="120" spans="1:19">
      <c r="A120" s="128" t="s">
        <v>152</v>
      </c>
      <c r="B120" s="202" t="s">
        <v>191</v>
      </c>
      <c r="C120" s="195"/>
      <c r="D120" s="102">
        <f>+D114</f>
        <v>154453.69</v>
      </c>
      <c r="E120" s="102">
        <f>+E114</f>
        <v>553553.06999999995</v>
      </c>
      <c r="F120" s="102">
        <f>+F114</f>
        <v>0</v>
      </c>
      <c r="G120" s="102">
        <f t="shared" ref="G120:P120" si="21">+G114</f>
        <v>966485.47346907319</v>
      </c>
      <c r="H120" s="102">
        <f t="shared" si="21"/>
        <v>-231829.33670290001</v>
      </c>
      <c r="I120" s="102">
        <f t="shared" si="21"/>
        <v>27920.090000000004</v>
      </c>
      <c r="J120" s="102">
        <f t="shared" si="21"/>
        <v>18474.54</v>
      </c>
      <c r="K120" s="102">
        <f t="shared" si="21"/>
        <v>2030</v>
      </c>
      <c r="L120" s="102">
        <f t="shared" si="21"/>
        <v>2741.54</v>
      </c>
      <c r="M120" s="102">
        <f t="shared" si="21"/>
        <v>20346</v>
      </c>
      <c r="N120" s="102">
        <f t="shared" si="21"/>
        <v>126873</v>
      </c>
      <c r="O120" s="102">
        <f t="shared" si="21"/>
        <v>36476.098730153564</v>
      </c>
      <c r="P120" s="102">
        <f t="shared" si="21"/>
        <v>46381.157485486256</v>
      </c>
      <c r="Q120" s="129">
        <f>SUM(D120:P120)</f>
        <v>1723905.3229818132</v>
      </c>
    </row>
    <row r="121" spans="1:19">
      <c r="A121" s="130" t="s">
        <v>178</v>
      </c>
      <c r="B121" s="180"/>
      <c r="C121" s="196"/>
      <c r="D121" s="102">
        <f>SUM(D118:D120)</f>
        <v>90211.69</v>
      </c>
      <c r="E121" s="102">
        <f>SUM(E118:E120)</f>
        <v>553553.06999999995</v>
      </c>
      <c r="F121" s="102">
        <f>SUM(F118:F120)</f>
        <v>91309.09</v>
      </c>
      <c r="G121" s="102">
        <f t="shared" ref="G121:Q121" si="22">SUM(G118:G120)</f>
        <v>966485.47346907319</v>
      </c>
      <c r="H121" s="102">
        <f t="shared" si="22"/>
        <v>-337901.57520030002</v>
      </c>
      <c r="I121" s="102">
        <f t="shared" si="22"/>
        <v>36603.130000000005</v>
      </c>
      <c r="J121" s="102">
        <f t="shared" si="22"/>
        <v>27004.22</v>
      </c>
      <c r="K121" s="102">
        <f t="shared" si="22"/>
        <v>2519</v>
      </c>
      <c r="L121" s="102">
        <f t="shared" si="22"/>
        <v>2741.54</v>
      </c>
      <c r="M121" s="102">
        <f t="shared" si="22"/>
        <v>25257</v>
      </c>
      <c r="N121" s="102">
        <f t="shared" si="22"/>
        <v>170247.9</v>
      </c>
      <c r="O121" s="102">
        <f t="shared" si="22"/>
        <v>45607.008950231131</v>
      </c>
      <c r="P121" s="102">
        <f t="shared" si="22"/>
        <v>57469.989917524341</v>
      </c>
      <c r="Q121" s="131">
        <f t="shared" si="22"/>
        <v>1731107.5371365289</v>
      </c>
      <c r="R121" s="98"/>
    </row>
    <row r="122" spans="1:19">
      <c r="A122" s="199"/>
      <c r="B122" s="184"/>
      <c r="C122" s="20"/>
      <c r="D122" s="133"/>
      <c r="E122" s="133"/>
      <c r="F122" s="133"/>
      <c r="G122" s="133"/>
      <c r="H122" s="133"/>
      <c r="I122" s="133"/>
      <c r="J122" s="133"/>
      <c r="K122" s="133"/>
      <c r="L122" s="133"/>
      <c r="M122" s="133"/>
      <c r="N122" s="133"/>
      <c r="O122" s="133"/>
      <c r="P122" s="133"/>
      <c r="Q122" s="152"/>
    </row>
    <row r="123" spans="1:19" ht="16.5">
      <c r="A123" s="124" t="s">
        <v>181</v>
      </c>
      <c r="B123" s="176"/>
      <c r="C123" s="20"/>
      <c r="D123" s="133"/>
      <c r="E123" s="133"/>
      <c r="F123" s="133"/>
      <c r="G123" s="133"/>
      <c r="H123" s="133"/>
      <c r="I123" s="133"/>
      <c r="J123" s="133"/>
      <c r="K123" s="133"/>
      <c r="L123" s="133"/>
      <c r="M123" s="133"/>
      <c r="N123" s="133"/>
      <c r="O123" s="133"/>
      <c r="P123" s="133"/>
      <c r="Q123" s="134"/>
    </row>
    <row r="124" spans="1:19">
      <c r="A124" s="126" t="s">
        <v>179</v>
      </c>
      <c r="B124" s="200" t="s">
        <v>189</v>
      </c>
      <c r="C124" s="194"/>
      <c r="D124" s="99">
        <f>+D55</f>
        <v>50268.36</v>
      </c>
      <c r="E124" s="99">
        <f>+E55</f>
        <v>0</v>
      </c>
      <c r="F124" s="99">
        <f>+F55</f>
        <v>0</v>
      </c>
      <c r="G124" s="99">
        <f t="shared" ref="G124:P124" si="23">+G55</f>
        <v>120970.45</v>
      </c>
      <c r="H124" s="99">
        <f t="shared" si="23"/>
        <v>70561.58</v>
      </c>
      <c r="I124" s="99">
        <f t="shared" si="23"/>
        <v>8778.81</v>
      </c>
      <c r="J124" s="99">
        <f t="shared" si="23"/>
        <v>2110.6799999999998</v>
      </c>
      <c r="K124" s="99">
        <f t="shared" si="23"/>
        <v>0</v>
      </c>
      <c r="L124" s="99">
        <f t="shared" si="23"/>
        <v>0</v>
      </c>
      <c r="M124" s="99">
        <f t="shared" si="23"/>
        <v>4152</v>
      </c>
      <c r="N124" s="99">
        <f t="shared" si="23"/>
        <v>13264.36</v>
      </c>
      <c r="O124" s="99">
        <f t="shared" si="23"/>
        <v>0</v>
      </c>
      <c r="P124" s="99">
        <f t="shared" si="23"/>
        <v>0</v>
      </c>
      <c r="Q124" s="151">
        <f>SUM(D124:P124)</f>
        <v>270106.23999999999</v>
      </c>
    </row>
    <row r="125" spans="1:19">
      <c r="A125" s="160" t="s">
        <v>151</v>
      </c>
      <c r="B125" s="201" t="s">
        <v>190</v>
      </c>
      <c r="C125" s="174"/>
      <c r="D125" s="162"/>
      <c r="E125" s="162"/>
      <c r="F125" s="162"/>
      <c r="G125" s="162"/>
      <c r="H125" s="162"/>
      <c r="I125" s="162"/>
      <c r="J125" s="162"/>
      <c r="K125" s="162"/>
      <c r="L125" s="162"/>
      <c r="M125" s="162"/>
      <c r="N125" s="162"/>
      <c r="O125" s="162"/>
      <c r="P125" s="162"/>
      <c r="Q125" s="163">
        <f>SUM(D125:P125)</f>
        <v>0</v>
      </c>
    </row>
    <row r="126" spans="1:19">
      <c r="A126" s="128" t="s">
        <v>152</v>
      </c>
      <c r="B126" s="202" t="s">
        <v>191</v>
      </c>
      <c r="C126" s="195"/>
      <c r="D126" s="102"/>
      <c r="E126" s="102"/>
      <c r="F126" s="102"/>
      <c r="G126" s="102"/>
      <c r="H126" s="102"/>
      <c r="I126" s="102"/>
      <c r="J126" s="102"/>
      <c r="K126" s="102"/>
      <c r="L126" s="102"/>
      <c r="M126" s="102"/>
      <c r="N126" s="102"/>
      <c r="O126" s="102"/>
      <c r="P126" s="102"/>
      <c r="Q126" s="129">
        <f>SUM(D126:P126)</f>
        <v>0</v>
      </c>
    </row>
    <row r="127" spans="1:19">
      <c r="A127" s="130" t="s">
        <v>177</v>
      </c>
      <c r="B127" s="180"/>
      <c r="C127" s="196"/>
      <c r="D127" s="102">
        <f>SUM(D124:D126)</f>
        <v>50268.36</v>
      </c>
      <c r="E127" s="102">
        <f>SUM(E124:E126)</f>
        <v>0</v>
      </c>
      <c r="F127" s="102">
        <f>SUM(F124:F126)</f>
        <v>0</v>
      </c>
      <c r="G127" s="102">
        <f t="shared" ref="G127:Q127" si="24">SUM(G124:G126)</f>
        <v>120970.45</v>
      </c>
      <c r="H127" s="102">
        <f t="shared" si="24"/>
        <v>70561.58</v>
      </c>
      <c r="I127" s="102">
        <f t="shared" si="24"/>
        <v>8778.81</v>
      </c>
      <c r="J127" s="102">
        <f t="shared" si="24"/>
        <v>2110.6799999999998</v>
      </c>
      <c r="K127" s="102">
        <f t="shared" si="24"/>
        <v>0</v>
      </c>
      <c r="L127" s="102">
        <f t="shared" si="24"/>
        <v>0</v>
      </c>
      <c r="M127" s="102">
        <f t="shared" si="24"/>
        <v>4152</v>
      </c>
      <c r="N127" s="102">
        <f t="shared" si="24"/>
        <v>13264.36</v>
      </c>
      <c r="O127" s="102">
        <f t="shared" si="24"/>
        <v>0</v>
      </c>
      <c r="P127" s="102">
        <f t="shared" si="24"/>
        <v>0</v>
      </c>
      <c r="Q127" s="131">
        <f t="shared" si="24"/>
        <v>270106.23999999999</v>
      </c>
    </row>
    <row r="128" spans="1:19">
      <c r="A128" s="132"/>
      <c r="B128" s="179"/>
      <c r="C128" s="20"/>
      <c r="D128" s="28"/>
      <c r="E128" s="28"/>
      <c r="F128" s="28"/>
      <c r="G128" s="28"/>
      <c r="H128" s="28"/>
      <c r="I128" s="28"/>
      <c r="J128" s="28"/>
      <c r="K128" s="28"/>
      <c r="L128" s="28"/>
      <c r="M128" s="28"/>
      <c r="N128" s="28"/>
      <c r="O128" s="28"/>
      <c r="P128" s="28"/>
      <c r="Q128" s="125"/>
    </row>
    <row r="129" spans="1:21" ht="16.5">
      <c r="A129" s="124" t="s">
        <v>182</v>
      </c>
      <c r="B129" s="176"/>
      <c r="C129" s="20"/>
      <c r="D129" s="133"/>
      <c r="E129" s="133"/>
      <c r="F129" s="133"/>
      <c r="G129" s="133"/>
      <c r="H129" s="133"/>
      <c r="I129" s="133"/>
      <c r="J129" s="133"/>
      <c r="K129" s="133"/>
      <c r="L129" s="133"/>
      <c r="M129" s="133"/>
      <c r="N129" s="133"/>
      <c r="O129" s="133"/>
      <c r="P129" s="133"/>
      <c r="Q129" s="134"/>
    </row>
    <row r="130" spans="1:21">
      <c r="A130" s="126" t="s">
        <v>179</v>
      </c>
      <c r="B130" s="200" t="s">
        <v>189</v>
      </c>
      <c r="C130" s="194"/>
      <c r="D130" s="99"/>
      <c r="E130" s="99"/>
      <c r="F130" s="99"/>
      <c r="G130" s="99"/>
      <c r="H130" s="99"/>
      <c r="I130" s="99"/>
      <c r="J130" s="99"/>
      <c r="K130" s="99"/>
      <c r="L130" s="99"/>
      <c r="M130" s="99"/>
      <c r="N130" s="99"/>
      <c r="O130" s="99"/>
      <c r="P130" s="99"/>
      <c r="Q130" s="127">
        <f>SUM(D130:P130)</f>
        <v>0</v>
      </c>
    </row>
    <row r="131" spans="1:21">
      <c r="A131" s="160" t="s">
        <v>151</v>
      </c>
      <c r="B131" s="201" t="s">
        <v>190</v>
      </c>
      <c r="C131" s="174"/>
      <c r="D131" s="162"/>
      <c r="E131" s="162"/>
      <c r="F131" s="162"/>
      <c r="G131" s="162"/>
      <c r="H131" s="162"/>
      <c r="I131" s="162"/>
      <c r="J131" s="162"/>
      <c r="K131" s="162"/>
      <c r="L131" s="162"/>
      <c r="M131" s="162"/>
      <c r="N131" s="162"/>
      <c r="O131" s="162"/>
      <c r="P131" s="162"/>
      <c r="Q131" s="163">
        <f>SUM(D131:P131)</f>
        <v>0</v>
      </c>
    </row>
    <row r="132" spans="1:21">
      <c r="A132" s="128" t="s">
        <v>152</v>
      </c>
      <c r="B132" s="202" t="s">
        <v>191</v>
      </c>
      <c r="C132" s="195"/>
      <c r="D132" s="102"/>
      <c r="E132" s="102"/>
      <c r="F132" s="102"/>
      <c r="G132" s="102"/>
      <c r="H132" s="102"/>
      <c r="I132" s="102"/>
      <c r="J132" s="102"/>
      <c r="K132" s="102"/>
      <c r="L132" s="102"/>
      <c r="M132" s="102"/>
      <c r="N132" s="102"/>
      <c r="O132" s="102"/>
      <c r="P132" s="102"/>
      <c r="Q132" s="129">
        <f>SUM(D132:P132)</f>
        <v>0</v>
      </c>
    </row>
    <row r="133" spans="1:21" ht="13.5" thickBot="1">
      <c r="A133" s="135" t="s">
        <v>183</v>
      </c>
      <c r="B133" s="183"/>
      <c r="C133" s="198"/>
      <c r="D133" s="136">
        <f>SUM(D130:D132)</f>
        <v>0</v>
      </c>
      <c r="E133" s="136">
        <f>SUM(E130:E132)</f>
        <v>0</v>
      </c>
      <c r="F133" s="136">
        <f>SUM(F130:F132)</f>
        <v>0</v>
      </c>
      <c r="G133" s="136">
        <f t="shared" ref="G133:Q133" si="25">SUM(G130:G132)</f>
        <v>0</v>
      </c>
      <c r="H133" s="136">
        <f t="shared" si="25"/>
        <v>0</v>
      </c>
      <c r="I133" s="136">
        <f t="shared" si="25"/>
        <v>0</v>
      </c>
      <c r="J133" s="136">
        <f t="shared" si="25"/>
        <v>0</v>
      </c>
      <c r="K133" s="136">
        <f t="shared" si="25"/>
        <v>0</v>
      </c>
      <c r="L133" s="136">
        <f t="shared" si="25"/>
        <v>0</v>
      </c>
      <c r="M133" s="136">
        <f t="shared" si="25"/>
        <v>0</v>
      </c>
      <c r="N133" s="136">
        <f t="shared" si="25"/>
        <v>0</v>
      </c>
      <c r="O133" s="136">
        <f t="shared" si="25"/>
        <v>0</v>
      </c>
      <c r="P133" s="136">
        <f t="shared" si="25"/>
        <v>0</v>
      </c>
      <c r="Q133" s="137">
        <f t="shared" si="25"/>
        <v>0</v>
      </c>
    </row>
    <row r="134" spans="1:21">
      <c r="A134" s="51"/>
      <c r="B134" s="184"/>
      <c r="C134" s="20"/>
      <c r="D134" s="133"/>
      <c r="E134" s="133"/>
      <c r="F134" s="133"/>
      <c r="G134" s="133"/>
      <c r="H134" s="133"/>
      <c r="I134" s="133"/>
      <c r="J134" s="133"/>
      <c r="K134" s="133"/>
      <c r="L134" s="133"/>
      <c r="M134" s="133"/>
      <c r="N134" s="133"/>
      <c r="O134" s="133"/>
      <c r="P134" s="133"/>
      <c r="Q134" s="150"/>
    </row>
    <row r="135" spans="1:21">
      <c r="A135" s="51"/>
      <c r="B135" s="184"/>
      <c r="C135" s="20"/>
      <c r="D135" s="133"/>
      <c r="E135" s="133"/>
      <c r="F135" s="133"/>
      <c r="G135" s="133"/>
      <c r="H135" s="133"/>
      <c r="I135" s="133"/>
      <c r="J135" s="133"/>
      <c r="K135" s="133"/>
      <c r="L135" s="133"/>
      <c r="M135" s="133"/>
      <c r="N135" s="133"/>
      <c r="O135" s="133"/>
      <c r="P135" s="133"/>
      <c r="Q135" s="150"/>
      <c r="R135" s="98">
        <f>+Q127+Q115+Q103</f>
        <v>8011947.6377701042</v>
      </c>
    </row>
    <row r="136" spans="1:21">
      <c r="A136" s="51" t="s">
        <v>187</v>
      </c>
      <c r="B136" s="184"/>
      <c r="C136" s="20"/>
      <c r="D136" s="133"/>
      <c r="E136" s="133"/>
      <c r="F136" s="133"/>
      <c r="G136" s="133"/>
      <c r="H136" s="133"/>
      <c r="I136" s="133"/>
      <c r="J136" s="133"/>
      <c r="K136" s="133"/>
      <c r="L136" s="133"/>
      <c r="M136" s="133"/>
      <c r="N136" s="133"/>
      <c r="O136" s="133"/>
      <c r="P136" s="133"/>
      <c r="Q136" s="150"/>
    </row>
    <row r="137" spans="1:21">
      <c r="A137" s="51"/>
      <c r="B137" s="184"/>
      <c r="C137" s="20"/>
      <c r="D137" s="133"/>
      <c r="E137" s="133"/>
      <c r="F137" s="133"/>
      <c r="G137" s="133"/>
      <c r="H137" s="133"/>
      <c r="I137" s="133"/>
      <c r="J137" s="133"/>
      <c r="K137" s="133"/>
      <c r="L137" s="133"/>
      <c r="M137" s="133"/>
      <c r="N137" s="133"/>
      <c r="O137" s="133"/>
      <c r="P137" s="133"/>
      <c r="Q137" s="150"/>
    </row>
    <row r="138" spans="1:21">
      <c r="A138" s="51"/>
      <c r="B138" s="184"/>
      <c r="C138" s="20"/>
      <c r="D138" s="133"/>
      <c r="E138" s="133"/>
      <c r="F138" s="133"/>
      <c r="G138" s="133"/>
      <c r="H138" s="133"/>
      <c r="I138" s="133"/>
      <c r="J138" s="133"/>
      <c r="K138" s="133"/>
      <c r="L138" s="133"/>
      <c r="M138" s="133"/>
      <c r="N138" s="133"/>
      <c r="O138" s="133"/>
      <c r="P138" s="133"/>
      <c r="Q138" s="150"/>
    </row>
    <row r="139" spans="1:21">
      <c r="A139" s="51"/>
      <c r="B139" s="184"/>
      <c r="C139" s="20"/>
      <c r="D139" s="133"/>
      <c r="E139" s="133"/>
      <c r="F139" s="133"/>
      <c r="G139" s="133"/>
      <c r="H139" s="133"/>
      <c r="I139" s="133"/>
      <c r="J139" s="133"/>
      <c r="K139" s="133"/>
      <c r="L139" s="133"/>
      <c r="M139" s="133"/>
      <c r="N139" s="133"/>
      <c r="O139" s="133"/>
      <c r="P139" s="133"/>
      <c r="Q139" s="150"/>
    </row>
    <row r="140" spans="1:21">
      <c r="A140" s="51"/>
      <c r="B140" s="184"/>
      <c r="C140" s="20"/>
      <c r="D140" s="133"/>
      <c r="E140" s="133"/>
      <c r="F140" s="133"/>
      <c r="G140" s="133"/>
      <c r="H140" s="133"/>
      <c r="I140" s="133"/>
      <c r="J140" s="133"/>
      <c r="K140" s="133"/>
      <c r="L140" s="133"/>
      <c r="M140" s="133"/>
      <c r="N140" s="133"/>
      <c r="O140" s="133"/>
      <c r="P140" s="133"/>
      <c r="Q140" s="150"/>
    </row>
    <row r="141" spans="1:21">
      <c r="B141" s="177"/>
      <c r="T141" s="51"/>
      <c r="U141" s="51"/>
    </row>
    <row r="142" spans="1:21">
      <c r="B142" s="177"/>
      <c r="T142" s="51"/>
      <c r="U142" s="51"/>
    </row>
    <row r="143" spans="1:21">
      <c r="B143" s="177"/>
      <c r="T143" s="51"/>
      <c r="U143" s="51"/>
    </row>
    <row r="144" spans="1:21">
      <c r="A144" s="119" t="s">
        <v>159</v>
      </c>
      <c r="B144" s="185"/>
    </row>
    <row r="145" spans="1:19" ht="16.5">
      <c r="A145" s="118" t="s">
        <v>157</v>
      </c>
      <c r="B145" s="186"/>
      <c r="D145" s="98"/>
      <c r="E145" s="98"/>
      <c r="F145" s="98"/>
      <c r="G145" s="98"/>
      <c r="H145" s="98"/>
      <c r="I145" s="98"/>
      <c r="J145" s="98"/>
      <c r="K145" s="98"/>
      <c r="L145" s="98"/>
      <c r="M145" s="98"/>
      <c r="N145" s="98"/>
      <c r="O145" s="98"/>
      <c r="P145" s="98"/>
      <c r="Q145" s="98"/>
    </row>
    <row r="146" spans="1:19">
      <c r="A146" s="126" t="s">
        <v>179</v>
      </c>
      <c r="B146" s="200" t="s">
        <v>189</v>
      </c>
      <c r="C146" s="194"/>
      <c r="D146" s="99">
        <f t="shared" ref="D146:Q146" si="26">+D100+D112+D124</f>
        <v>381235.20999999996</v>
      </c>
      <c r="E146" s="99">
        <f t="shared" si="26"/>
        <v>0</v>
      </c>
      <c r="F146" s="99">
        <f t="shared" si="26"/>
        <v>36752.26</v>
      </c>
      <c r="G146" s="99">
        <f t="shared" si="26"/>
        <v>1180698.8740431201</v>
      </c>
      <c r="H146" s="99">
        <f t="shared" si="26"/>
        <v>432082.83040350006</v>
      </c>
      <c r="I146" s="99">
        <f t="shared" si="26"/>
        <v>72888.799999999988</v>
      </c>
      <c r="J146" s="99">
        <f t="shared" si="26"/>
        <v>32245.600000000002</v>
      </c>
      <c r="K146" s="99">
        <f t="shared" si="26"/>
        <v>1966.6599999999999</v>
      </c>
      <c r="L146" s="99">
        <f t="shared" si="26"/>
        <v>5487.91</v>
      </c>
      <c r="M146" s="99">
        <f t="shared" si="26"/>
        <v>38362</v>
      </c>
      <c r="N146" s="99">
        <f t="shared" si="26"/>
        <v>230869.93</v>
      </c>
      <c r="O146" s="99">
        <f t="shared" si="26"/>
        <v>1039.8833228153549</v>
      </c>
      <c r="P146" s="99">
        <f t="shared" si="26"/>
        <v>634.9940862591626</v>
      </c>
      <c r="Q146" s="100">
        <f t="shared" si="26"/>
        <v>2414264.9518556949</v>
      </c>
      <c r="R146" s="98">
        <f>+Q83</f>
        <v>2414264.9518556944</v>
      </c>
      <c r="S146" t="s">
        <v>171</v>
      </c>
    </row>
    <row r="147" spans="1:19">
      <c r="A147" s="161" t="s">
        <v>151</v>
      </c>
      <c r="B147" s="201" t="s">
        <v>190</v>
      </c>
      <c r="C147" s="174"/>
      <c r="D147" s="162">
        <f t="shared" ref="D147:Q147" si="27">+D101+D113+D125</f>
        <v>-145049</v>
      </c>
      <c r="E147" s="162">
        <f t="shared" si="27"/>
        <v>0</v>
      </c>
      <c r="F147" s="162">
        <f t="shared" si="27"/>
        <v>284190.93</v>
      </c>
      <c r="G147" s="162">
        <f t="shared" si="27"/>
        <v>680919.33765572961</v>
      </c>
      <c r="H147" s="162">
        <f t="shared" si="27"/>
        <v>-33859.227092899979</v>
      </c>
      <c r="I147" s="162">
        <f t="shared" si="27"/>
        <v>30164.46</v>
      </c>
      <c r="J147" s="162">
        <f t="shared" si="27"/>
        <v>16841.919999999998</v>
      </c>
      <c r="K147" s="162">
        <f t="shared" si="27"/>
        <v>1823</v>
      </c>
      <c r="L147" s="162">
        <f t="shared" si="27"/>
        <v>0</v>
      </c>
      <c r="M147" s="162">
        <f t="shared" si="27"/>
        <v>13100</v>
      </c>
      <c r="N147" s="162">
        <f t="shared" si="27"/>
        <v>145909.53</v>
      </c>
      <c r="O147" s="162">
        <f t="shared" si="27"/>
        <v>28419.094690156548</v>
      </c>
      <c r="P147" s="162">
        <f t="shared" si="27"/>
        <v>42710.11326939203</v>
      </c>
      <c r="Q147" s="164">
        <f t="shared" si="27"/>
        <v>1065170.1585223782</v>
      </c>
      <c r="R147" s="98">
        <f>+Q84</f>
        <v>1065170.1585223782</v>
      </c>
      <c r="S147" t="s">
        <v>172</v>
      </c>
    </row>
    <row r="148" spans="1:19">
      <c r="A148" s="101" t="s">
        <v>152</v>
      </c>
      <c r="B148" s="202" t="s">
        <v>191</v>
      </c>
      <c r="C148" s="195"/>
      <c r="D148" s="102">
        <f t="shared" ref="D148:Q148" si="28">+D102+D114+D126</f>
        <v>442802.57</v>
      </c>
      <c r="E148" s="102">
        <f t="shared" si="28"/>
        <v>929374.10999999987</v>
      </c>
      <c r="F148" s="102">
        <f t="shared" si="28"/>
        <v>0</v>
      </c>
      <c r="G148" s="102">
        <f t="shared" si="28"/>
        <v>2863369.5418302501</v>
      </c>
      <c r="H148" s="102">
        <f t="shared" si="28"/>
        <v>-603617.78731410007</v>
      </c>
      <c r="I148" s="102">
        <f t="shared" si="28"/>
        <v>78564.26999999999</v>
      </c>
      <c r="J148" s="102">
        <f t="shared" si="28"/>
        <v>53003.98</v>
      </c>
      <c r="K148" s="102">
        <f t="shared" si="28"/>
        <v>4562</v>
      </c>
      <c r="L148" s="102">
        <f t="shared" si="28"/>
        <v>3164.68</v>
      </c>
      <c r="M148" s="102">
        <f t="shared" si="28"/>
        <v>66979</v>
      </c>
      <c r="N148" s="102">
        <f t="shared" si="28"/>
        <v>466199.33</v>
      </c>
      <c r="O148" s="102">
        <f t="shared" si="28"/>
        <v>94304.177561797245</v>
      </c>
      <c r="P148" s="102">
        <f t="shared" si="28"/>
        <v>133806.65531408362</v>
      </c>
      <c r="Q148" s="103">
        <f t="shared" si="28"/>
        <v>4532512.5273920316</v>
      </c>
      <c r="R148" s="98">
        <f>+Q85</f>
        <v>4532512.5273920307</v>
      </c>
    </row>
    <row r="149" spans="1:19">
      <c r="A149" s="104" t="s">
        <v>153</v>
      </c>
      <c r="B149" s="180"/>
      <c r="C149" s="196"/>
      <c r="D149" s="102">
        <f>SUM(D146:D148)</f>
        <v>678988.78</v>
      </c>
      <c r="E149" s="102">
        <f>SUM(E146:E148)</f>
        <v>929374.10999999987</v>
      </c>
      <c r="F149" s="102">
        <f>SUM(F146:F148)</f>
        <v>320943.19</v>
      </c>
      <c r="G149" s="102">
        <f t="shared" ref="G149:Q149" si="29">SUM(G146:G148)</f>
        <v>4724987.7535290997</v>
      </c>
      <c r="H149" s="102">
        <f t="shared" si="29"/>
        <v>-205394.18400349998</v>
      </c>
      <c r="I149" s="102">
        <f t="shared" si="29"/>
        <v>181617.52999999997</v>
      </c>
      <c r="J149" s="102">
        <f t="shared" si="29"/>
        <v>102091.5</v>
      </c>
      <c r="K149" s="102">
        <f t="shared" si="29"/>
        <v>8351.66</v>
      </c>
      <c r="L149" s="102">
        <f t="shared" si="29"/>
        <v>8652.59</v>
      </c>
      <c r="M149" s="102">
        <f t="shared" si="29"/>
        <v>118441</v>
      </c>
      <c r="N149" s="102">
        <f t="shared" si="29"/>
        <v>842978.79</v>
      </c>
      <c r="O149" s="102">
        <f t="shared" si="29"/>
        <v>123763.15557476915</v>
      </c>
      <c r="P149" s="102">
        <f t="shared" si="29"/>
        <v>177151.7626697348</v>
      </c>
      <c r="Q149" s="105">
        <f t="shared" si="29"/>
        <v>8011947.6377701052</v>
      </c>
      <c r="R149" s="98">
        <f>+Q86</f>
        <v>8011947.6377701033</v>
      </c>
    </row>
    <row r="150" spans="1:19">
      <c r="B150" s="177"/>
      <c r="D150" s="98"/>
      <c r="E150" s="98"/>
      <c r="F150" s="98"/>
      <c r="G150" s="98"/>
      <c r="H150" s="98"/>
      <c r="I150" s="98"/>
      <c r="J150" s="98"/>
      <c r="K150" s="98"/>
      <c r="L150" s="98"/>
      <c r="M150" s="98"/>
      <c r="N150" s="98"/>
      <c r="O150" s="98"/>
      <c r="P150" s="98"/>
      <c r="Q150" s="98"/>
    </row>
    <row r="151" spans="1:19">
      <c r="B151" s="177"/>
    </row>
    <row r="152" spans="1:19" ht="16.5">
      <c r="A152" s="118" t="s">
        <v>158</v>
      </c>
      <c r="B152" s="186"/>
      <c r="D152" s="98"/>
      <c r="E152" s="98"/>
      <c r="F152" s="98"/>
      <c r="G152" s="98"/>
      <c r="H152" s="98"/>
      <c r="I152" s="98"/>
      <c r="J152" s="98"/>
      <c r="K152" s="98"/>
      <c r="L152" s="98"/>
      <c r="M152" s="98"/>
      <c r="N152" s="98"/>
      <c r="O152" s="98"/>
      <c r="P152" s="98"/>
      <c r="Q152" s="98"/>
    </row>
    <row r="153" spans="1:19">
      <c r="A153" s="126" t="s">
        <v>179</v>
      </c>
      <c r="B153" s="200" t="s">
        <v>189</v>
      </c>
      <c r="C153" s="194"/>
      <c r="D153" s="99">
        <f t="shared" ref="D153:Q153" si="30">+D106+D118</f>
        <v>0</v>
      </c>
      <c r="E153" s="99">
        <f t="shared" si="30"/>
        <v>0</v>
      </c>
      <c r="F153" s="99">
        <f t="shared" si="30"/>
        <v>36752.26</v>
      </c>
      <c r="G153" s="99">
        <f t="shared" si="30"/>
        <v>0</v>
      </c>
      <c r="H153" s="99">
        <f t="shared" si="30"/>
        <v>0</v>
      </c>
      <c r="I153" s="99">
        <f t="shared" si="30"/>
        <v>0</v>
      </c>
      <c r="J153" s="99">
        <f t="shared" si="30"/>
        <v>0</v>
      </c>
      <c r="K153" s="99">
        <f t="shared" si="30"/>
        <v>0</v>
      </c>
      <c r="L153" s="99">
        <f t="shared" si="30"/>
        <v>0</v>
      </c>
      <c r="M153" s="99">
        <f t="shared" si="30"/>
        <v>0</v>
      </c>
      <c r="N153" s="99">
        <f t="shared" si="30"/>
        <v>0</v>
      </c>
      <c r="O153" s="99">
        <f t="shared" si="30"/>
        <v>1039.8833228153549</v>
      </c>
      <c r="P153" s="99">
        <f t="shared" si="30"/>
        <v>634.9940862591626</v>
      </c>
      <c r="Q153" s="100">
        <f t="shared" si="30"/>
        <v>38427.137409074516</v>
      </c>
      <c r="R153" s="98">
        <f>+Q89</f>
        <v>38427.137409074516</v>
      </c>
      <c r="S153" t="s">
        <v>171</v>
      </c>
    </row>
    <row r="154" spans="1:19">
      <c r="A154" s="161" t="s">
        <v>151</v>
      </c>
      <c r="B154" s="201" t="s">
        <v>190</v>
      </c>
      <c r="C154" s="174"/>
      <c r="D154" s="162">
        <f t="shared" ref="D154:Q154" si="31">+D107+D119</f>
        <v>-145049</v>
      </c>
      <c r="E154" s="162">
        <f t="shared" si="31"/>
        <v>0</v>
      </c>
      <c r="F154" s="162">
        <f t="shared" si="31"/>
        <v>284190.93</v>
      </c>
      <c r="G154" s="162">
        <f t="shared" si="31"/>
        <v>0</v>
      </c>
      <c r="H154" s="162">
        <f t="shared" si="31"/>
        <v>-33859.227092899979</v>
      </c>
      <c r="I154" s="162">
        <f t="shared" si="31"/>
        <v>30164.46</v>
      </c>
      <c r="J154" s="162">
        <f t="shared" si="31"/>
        <v>16841.919999999998</v>
      </c>
      <c r="K154" s="162">
        <f t="shared" si="31"/>
        <v>1823</v>
      </c>
      <c r="L154" s="162">
        <f t="shared" si="31"/>
        <v>0</v>
      </c>
      <c r="M154" s="162">
        <f t="shared" si="31"/>
        <v>13100</v>
      </c>
      <c r="N154" s="162">
        <f t="shared" si="31"/>
        <v>145909.53</v>
      </c>
      <c r="O154" s="162">
        <f t="shared" si="31"/>
        <v>28419.094690156548</v>
      </c>
      <c r="P154" s="162">
        <f t="shared" si="31"/>
        <v>42710.11326939203</v>
      </c>
      <c r="Q154" s="164">
        <f t="shared" si="31"/>
        <v>384250.82086664857</v>
      </c>
      <c r="R154" s="98">
        <f>+Q90</f>
        <v>384250.82086664863</v>
      </c>
      <c r="S154" t="s">
        <v>172</v>
      </c>
    </row>
    <row r="155" spans="1:19">
      <c r="A155" s="101" t="s">
        <v>152</v>
      </c>
      <c r="B155" s="202" t="s">
        <v>191</v>
      </c>
      <c r="C155" s="195"/>
      <c r="D155" s="102">
        <f t="shared" ref="D155:Q155" si="32">+D108+D120</f>
        <v>442802.57</v>
      </c>
      <c r="E155" s="102">
        <f t="shared" si="32"/>
        <v>929374.10999999987</v>
      </c>
      <c r="F155" s="102">
        <f t="shared" si="32"/>
        <v>0</v>
      </c>
      <c r="G155" s="102">
        <f t="shared" si="32"/>
        <v>2863369.5418302501</v>
      </c>
      <c r="H155" s="102">
        <f t="shared" si="32"/>
        <v>-603617.78731410007</v>
      </c>
      <c r="I155" s="102">
        <f t="shared" si="32"/>
        <v>78564.26999999999</v>
      </c>
      <c r="J155" s="102">
        <f t="shared" si="32"/>
        <v>53003.98</v>
      </c>
      <c r="K155" s="102">
        <f t="shared" si="32"/>
        <v>4562</v>
      </c>
      <c r="L155" s="102">
        <f t="shared" si="32"/>
        <v>3164.68</v>
      </c>
      <c r="M155" s="102">
        <f t="shared" si="32"/>
        <v>66979</v>
      </c>
      <c r="N155" s="102">
        <f t="shared" si="32"/>
        <v>466199.33</v>
      </c>
      <c r="O155" s="102">
        <f t="shared" si="32"/>
        <v>94304.177561797245</v>
      </c>
      <c r="P155" s="102">
        <f t="shared" si="32"/>
        <v>133806.65531408362</v>
      </c>
      <c r="Q155" s="103">
        <f t="shared" si="32"/>
        <v>4532512.5273920316</v>
      </c>
      <c r="R155" s="98">
        <f>+Q91</f>
        <v>4532512.5273920307</v>
      </c>
      <c r="S155" s="98"/>
    </row>
    <row r="156" spans="1:19">
      <c r="A156" s="104" t="s">
        <v>153</v>
      </c>
      <c r="B156" s="180"/>
      <c r="C156" s="196"/>
      <c r="D156" s="102">
        <f>SUM(D153:D155)</f>
        <v>297753.57</v>
      </c>
      <c r="E156" s="102">
        <f>SUM(E153:E155)</f>
        <v>929374.10999999987</v>
      </c>
      <c r="F156" s="102">
        <f>SUM(F153:F155)</f>
        <v>320943.19</v>
      </c>
      <c r="G156" s="102">
        <f t="shared" ref="G156:Q156" si="33">SUM(G153:G155)</f>
        <v>2863369.5418302501</v>
      </c>
      <c r="H156" s="102">
        <f t="shared" si="33"/>
        <v>-637477.01440700004</v>
      </c>
      <c r="I156" s="102">
        <f t="shared" si="33"/>
        <v>108728.72999999998</v>
      </c>
      <c r="J156" s="102">
        <f t="shared" si="33"/>
        <v>69845.899999999994</v>
      </c>
      <c r="K156" s="102">
        <f t="shared" si="33"/>
        <v>6385</v>
      </c>
      <c r="L156" s="102">
        <f t="shared" si="33"/>
        <v>3164.68</v>
      </c>
      <c r="M156" s="102">
        <f t="shared" si="33"/>
        <v>80079</v>
      </c>
      <c r="N156" s="102">
        <f t="shared" si="33"/>
        <v>612108.86</v>
      </c>
      <c r="O156" s="102">
        <f t="shared" si="33"/>
        <v>123763.15557476915</v>
      </c>
      <c r="P156" s="102">
        <f t="shared" si="33"/>
        <v>177151.7626697348</v>
      </c>
      <c r="Q156" s="105">
        <f t="shared" si="33"/>
        <v>4955190.4856677549</v>
      </c>
      <c r="R156" s="98">
        <f>+Q92</f>
        <v>4955190.485667754</v>
      </c>
      <c r="S156" s="98"/>
    </row>
    <row r="157" spans="1:19">
      <c r="D157" s="98"/>
      <c r="E157" s="98"/>
      <c r="F157" s="98"/>
      <c r="G157" s="98"/>
      <c r="H157" s="98"/>
      <c r="I157" s="98"/>
      <c r="J157" s="98"/>
      <c r="K157" s="98"/>
      <c r="L157" s="98"/>
      <c r="M157" s="98"/>
      <c r="N157" s="98"/>
      <c r="O157" s="98"/>
      <c r="P157" s="98"/>
      <c r="Q157" s="98"/>
    </row>
    <row r="158" spans="1:19">
      <c r="G158" s="106"/>
      <c r="H158" s="106"/>
      <c r="I158" s="106"/>
      <c r="J158" s="106"/>
      <c r="K158" s="106"/>
      <c r="L158" s="106"/>
      <c r="M158" s="106"/>
      <c r="N158" s="106"/>
      <c r="O158" s="106"/>
      <c r="P158" s="106"/>
      <c r="Q158" s="106"/>
    </row>
    <row r="159" spans="1:19">
      <c r="G159" s="106"/>
      <c r="H159" s="106"/>
      <c r="I159" s="106"/>
      <c r="J159" s="106"/>
      <c r="K159" s="106"/>
      <c r="L159" s="106"/>
      <c r="M159" s="106"/>
      <c r="N159" s="106"/>
      <c r="O159" s="106"/>
      <c r="P159" s="106"/>
      <c r="Q159" s="106"/>
    </row>
    <row r="160" spans="1:19">
      <c r="G160" s="106"/>
      <c r="H160" s="106"/>
      <c r="I160" s="106"/>
      <c r="J160" s="106"/>
      <c r="K160" s="106"/>
      <c r="L160" s="106"/>
      <c r="M160" s="106"/>
      <c r="N160" s="106"/>
      <c r="O160" s="106"/>
      <c r="P160" s="106"/>
      <c r="Q160" s="106"/>
    </row>
    <row r="161" spans="7:17">
      <c r="G161" s="106"/>
      <c r="H161" s="106"/>
      <c r="I161" s="106"/>
      <c r="J161" s="106"/>
      <c r="K161" s="106"/>
      <c r="L161" s="106"/>
      <c r="M161" s="106"/>
      <c r="N161" s="106"/>
      <c r="O161" s="106"/>
      <c r="P161" s="106"/>
      <c r="Q161" s="106"/>
    </row>
    <row r="162" spans="7:17">
      <c r="G162" s="106"/>
      <c r="H162" s="106"/>
      <c r="I162" s="106"/>
      <c r="J162" s="106"/>
      <c r="K162" s="106"/>
      <c r="L162" s="106"/>
      <c r="M162" s="106"/>
      <c r="N162" s="106"/>
      <c r="O162" s="106"/>
      <c r="P162" s="106"/>
      <c r="Q162" s="106"/>
    </row>
    <row r="163" spans="7:17">
      <c r="G163" s="106"/>
      <c r="H163" s="106"/>
      <c r="I163" s="106"/>
      <c r="J163" s="106"/>
      <c r="K163" s="106"/>
      <c r="L163" s="106"/>
      <c r="M163" s="106"/>
      <c r="N163" s="106"/>
      <c r="O163" s="106"/>
      <c r="P163" s="106"/>
      <c r="Q163" s="106"/>
    </row>
    <row r="164" spans="7:17">
      <c r="G164" s="106"/>
      <c r="H164" s="106"/>
      <c r="I164" s="106"/>
      <c r="J164" s="106"/>
      <c r="K164" s="106"/>
      <c r="L164" s="106"/>
      <c r="M164" s="106"/>
      <c r="N164" s="106"/>
      <c r="O164" s="106"/>
      <c r="P164" s="106"/>
      <c r="Q164" s="106"/>
    </row>
    <row r="165" spans="7:17">
      <c r="G165" s="106"/>
      <c r="H165" s="106"/>
      <c r="I165" s="106"/>
      <c r="J165" s="106"/>
      <c r="K165" s="106"/>
      <c r="L165" s="106"/>
      <c r="M165" s="106"/>
      <c r="N165" s="106"/>
      <c r="O165" s="106"/>
      <c r="P165" s="106"/>
      <c r="Q165" s="106"/>
    </row>
    <row r="166" spans="7:17">
      <c r="G166" s="106"/>
      <c r="H166" s="106"/>
      <c r="I166" s="106"/>
      <c r="J166" s="106"/>
      <c r="K166" s="106"/>
      <c r="L166" s="106"/>
      <c r="M166" s="106"/>
      <c r="N166" s="106"/>
      <c r="O166" s="106"/>
      <c r="P166" s="106"/>
      <c r="Q166" s="106"/>
    </row>
    <row r="167" spans="7:17">
      <c r="G167" s="106"/>
      <c r="H167" s="106"/>
      <c r="I167" s="106"/>
      <c r="J167" s="106"/>
      <c r="K167" s="106"/>
      <c r="L167" s="106"/>
      <c r="M167" s="106"/>
      <c r="N167" s="106"/>
      <c r="O167" s="106"/>
      <c r="P167" s="106"/>
      <c r="Q167" s="106"/>
    </row>
    <row r="168" spans="7:17">
      <c r="G168" s="106"/>
      <c r="H168" s="106"/>
      <c r="I168" s="106"/>
      <c r="J168" s="106"/>
      <c r="K168" s="106"/>
      <c r="L168" s="106"/>
      <c r="M168" s="106"/>
      <c r="N168" s="106"/>
      <c r="O168" s="106"/>
      <c r="P168" s="106"/>
      <c r="Q168" s="106"/>
    </row>
    <row r="169" spans="7:17">
      <c r="G169" s="106"/>
      <c r="H169" s="106"/>
      <c r="I169" s="106"/>
      <c r="J169" s="106"/>
      <c r="K169" s="106"/>
      <c r="L169" s="106"/>
      <c r="M169" s="106"/>
      <c r="N169" s="106"/>
      <c r="O169" s="106"/>
      <c r="P169" s="106"/>
      <c r="Q169" s="106"/>
    </row>
    <row r="170" spans="7:17">
      <c r="G170" s="106"/>
      <c r="H170" s="106"/>
      <c r="I170" s="106"/>
      <c r="J170" s="106"/>
      <c r="K170" s="106"/>
      <c r="L170" s="106"/>
      <c r="M170" s="106"/>
      <c r="N170" s="106"/>
      <c r="O170" s="106"/>
      <c r="P170" s="106"/>
      <c r="Q170" s="106"/>
    </row>
    <row r="171" spans="7:17">
      <c r="G171" s="106"/>
      <c r="H171" s="106"/>
      <c r="I171" s="106"/>
      <c r="J171" s="106"/>
      <c r="K171" s="106"/>
      <c r="L171" s="106"/>
      <c r="M171" s="106"/>
      <c r="N171" s="106"/>
      <c r="O171" s="106"/>
      <c r="P171" s="106"/>
      <c r="Q171" s="106"/>
    </row>
    <row r="172" spans="7:17">
      <c r="G172" s="106"/>
      <c r="H172" s="106"/>
      <c r="I172" s="106"/>
      <c r="J172" s="106"/>
      <c r="K172" s="106"/>
      <c r="L172" s="106"/>
      <c r="M172" s="106"/>
      <c r="N172" s="106"/>
      <c r="O172" s="106"/>
      <c r="P172" s="106"/>
      <c r="Q172" s="106"/>
    </row>
    <row r="173" spans="7:17">
      <c r="G173" s="106"/>
      <c r="H173" s="106"/>
      <c r="I173" s="106"/>
      <c r="J173" s="106"/>
      <c r="K173" s="106"/>
      <c r="L173" s="106"/>
      <c r="M173" s="106"/>
      <c r="N173" s="106"/>
      <c r="O173" s="106"/>
      <c r="P173" s="106"/>
      <c r="Q173" s="106"/>
    </row>
    <row r="174" spans="7:17">
      <c r="G174" s="106"/>
      <c r="H174" s="106"/>
      <c r="I174" s="106"/>
      <c r="J174" s="106"/>
      <c r="K174" s="106"/>
      <c r="L174" s="106"/>
      <c r="M174" s="106"/>
      <c r="N174" s="106"/>
      <c r="O174" s="106"/>
      <c r="P174" s="106"/>
      <c r="Q174" s="106"/>
    </row>
    <row r="175" spans="7:17">
      <c r="G175" s="106"/>
      <c r="H175" s="106"/>
      <c r="I175" s="106"/>
      <c r="J175" s="106"/>
      <c r="K175" s="106"/>
      <c r="L175" s="106"/>
      <c r="M175" s="106"/>
      <c r="N175" s="106"/>
      <c r="O175" s="106"/>
      <c r="P175" s="106"/>
      <c r="Q175" s="106"/>
    </row>
    <row r="176" spans="7:17">
      <c r="G176" s="106"/>
      <c r="H176" s="106"/>
      <c r="I176" s="106"/>
      <c r="J176" s="106"/>
      <c r="K176" s="106"/>
      <c r="L176" s="106"/>
      <c r="M176" s="106"/>
      <c r="N176" s="106"/>
      <c r="O176" s="106"/>
      <c r="P176" s="106"/>
      <c r="Q176" s="106"/>
    </row>
    <row r="177" spans="7:17">
      <c r="G177" s="106"/>
      <c r="H177" s="106"/>
      <c r="I177" s="106"/>
      <c r="J177" s="106"/>
      <c r="K177" s="106"/>
      <c r="L177" s="106"/>
      <c r="M177" s="106"/>
      <c r="N177" s="106"/>
      <c r="O177" s="106"/>
      <c r="P177" s="106"/>
      <c r="Q177" s="106"/>
    </row>
    <row r="178" spans="7:17">
      <c r="G178" s="106"/>
      <c r="H178" s="106"/>
      <c r="I178" s="106"/>
      <c r="J178" s="106"/>
      <c r="K178" s="106"/>
      <c r="L178" s="106"/>
      <c r="M178" s="106"/>
      <c r="N178" s="106"/>
      <c r="O178" s="106"/>
      <c r="P178" s="106"/>
      <c r="Q178" s="106"/>
    </row>
    <row r="179" spans="7:17">
      <c r="G179" s="106"/>
      <c r="H179" s="106"/>
      <c r="I179" s="106"/>
      <c r="J179" s="106"/>
      <c r="K179" s="106"/>
      <c r="L179" s="106"/>
      <c r="M179" s="106"/>
      <c r="N179" s="106"/>
      <c r="O179" s="106"/>
      <c r="P179" s="106"/>
      <c r="Q179" s="106"/>
    </row>
    <row r="180" spans="7:17">
      <c r="G180" s="106"/>
      <c r="H180" s="106"/>
      <c r="I180" s="106"/>
      <c r="J180" s="106"/>
      <c r="K180" s="106"/>
      <c r="L180" s="106"/>
      <c r="M180" s="106"/>
      <c r="N180" s="106"/>
      <c r="O180" s="106"/>
      <c r="P180" s="106"/>
      <c r="Q180" s="106"/>
    </row>
    <row r="181" spans="7:17">
      <c r="G181" s="106"/>
      <c r="H181" s="106"/>
      <c r="I181" s="106"/>
      <c r="J181" s="106"/>
      <c r="K181" s="106"/>
      <c r="L181" s="106"/>
      <c r="M181" s="106"/>
      <c r="N181" s="106"/>
      <c r="O181" s="106"/>
      <c r="P181" s="106"/>
      <c r="Q181" s="106"/>
    </row>
    <row r="182" spans="7:17">
      <c r="G182" s="106"/>
      <c r="H182" s="106"/>
      <c r="I182" s="106"/>
      <c r="J182" s="106"/>
      <c r="K182" s="106"/>
      <c r="L182" s="106"/>
      <c r="M182" s="106"/>
      <c r="N182" s="106"/>
      <c r="O182" s="106"/>
      <c r="P182" s="106"/>
      <c r="Q182" s="106"/>
    </row>
    <row r="183" spans="7:17">
      <c r="G183" s="106"/>
      <c r="H183" s="106"/>
      <c r="I183" s="106"/>
      <c r="J183" s="106"/>
      <c r="K183" s="106"/>
      <c r="L183" s="106"/>
      <c r="M183" s="106"/>
      <c r="N183" s="106"/>
      <c r="O183" s="106"/>
      <c r="P183" s="106"/>
      <c r="Q183" s="106"/>
    </row>
    <row r="184" spans="7:17">
      <c r="G184" s="106"/>
      <c r="H184" s="106"/>
      <c r="I184" s="106"/>
      <c r="J184" s="106"/>
      <c r="K184" s="106"/>
      <c r="L184" s="106"/>
      <c r="M184" s="106"/>
      <c r="N184" s="106"/>
      <c r="O184" s="106"/>
      <c r="P184" s="106"/>
      <c r="Q184" s="106"/>
    </row>
    <row r="185" spans="7:17">
      <c r="G185" s="106"/>
      <c r="H185" s="106"/>
      <c r="I185" s="106"/>
      <c r="J185" s="106"/>
      <c r="K185" s="106"/>
      <c r="L185" s="106"/>
      <c r="M185" s="106"/>
      <c r="N185" s="106"/>
      <c r="O185" s="106"/>
      <c r="P185" s="106"/>
      <c r="Q185" s="106"/>
    </row>
    <row r="186" spans="7:17">
      <c r="G186" s="106"/>
      <c r="H186" s="106"/>
      <c r="I186" s="106"/>
      <c r="J186" s="106"/>
      <c r="K186" s="106"/>
      <c r="L186" s="106"/>
      <c r="M186" s="106"/>
      <c r="N186" s="106"/>
      <c r="O186" s="106"/>
      <c r="P186" s="106"/>
      <c r="Q186" s="106"/>
    </row>
    <row r="187" spans="7:17">
      <c r="G187" s="106"/>
      <c r="H187" s="106"/>
      <c r="I187" s="106"/>
      <c r="J187" s="106"/>
      <c r="K187" s="106"/>
      <c r="L187" s="106"/>
      <c r="M187" s="106"/>
      <c r="N187" s="106"/>
      <c r="O187" s="106"/>
      <c r="P187" s="106"/>
      <c r="Q187" s="106"/>
    </row>
    <row r="188" spans="7:17">
      <c r="G188" s="106"/>
      <c r="H188" s="106"/>
      <c r="I188" s="106"/>
      <c r="J188" s="106"/>
      <c r="K188" s="106"/>
      <c r="L188" s="106"/>
      <c r="M188" s="106"/>
      <c r="N188" s="106"/>
      <c r="O188" s="106"/>
      <c r="P188" s="106"/>
      <c r="Q188" s="106"/>
    </row>
    <row r="189" spans="7:17">
      <c r="G189" s="106"/>
      <c r="H189" s="106"/>
      <c r="I189" s="106"/>
      <c r="J189" s="106"/>
      <c r="K189" s="106"/>
      <c r="L189" s="106"/>
      <c r="M189" s="106"/>
      <c r="N189" s="106"/>
      <c r="O189" s="106"/>
      <c r="P189" s="106"/>
      <c r="Q189" s="106"/>
    </row>
    <row r="190" spans="7:17">
      <c r="G190" s="106"/>
      <c r="H190" s="106"/>
      <c r="I190" s="106"/>
      <c r="J190" s="106"/>
      <c r="K190" s="106"/>
      <c r="L190" s="106"/>
      <c r="M190" s="106"/>
      <c r="N190" s="106"/>
      <c r="O190" s="106"/>
      <c r="P190" s="106"/>
      <c r="Q190" s="106"/>
    </row>
    <row r="191" spans="7:17">
      <c r="G191" s="106"/>
      <c r="H191" s="106"/>
      <c r="I191" s="106"/>
      <c r="J191" s="106"/>
      <c r="K191" s="106"/>
      <c r="L191" s="106"/>
      <c r="M191" s="106"/>
      <c r="N191" s="106"/>
      <c r="O191" s="106"/>
      <c r="P191" s="106"/>
      <c r="Q191" s="106"/>
    </row>
    <row r="192" spans="7:17">
      <c r="G192" s="106"/>
      <c r="H192" s="106"/>
      <c r="I192" s="106"/>
      <c r="J192" s="106"/>
      <c r="K192" s="106"/>
      <c r="L192" s="106"/>
      <c r="M192" s="106"/>
      <c r="N192" s="106"/>
      <c r="O192" s="106"/>
      <c r="P192" s="106"/>
      <c r="Q192" s="106"/>
    </row>
    <row r="193" spans="7:17">
      <c r="G193" s="106"/>
      <c r="H193" s="106"/>
      <c r="I193" s="106"/>
      <c r="J193" s="106"/>
      <c r="K193" s="106"/>
      <c r="L193" s="106"/>
      <c r="M193" s="106"/>
      <c r="N193" s="106"/>
      <c r="O193" s="106"/>
      <c r="P193" s="106"/>
      <c r="Q193" s="106"/>
    </row>
    <row r="194" spans="7:17">
      <c r="G194" s="106"/>
      <c r="H194" s="106"/>
      <c r="I194" s="106"/>
      <c r="J194" s="106"/>
      <c r="K194" s="106"/>
      <c r="L194" s="106"/>
      <c r="M194" s="106"/>
      <c r="N194" s="106"/>
      <c r="O194" s="106"/>
      <c r="P194" s="106"/>
      <c r="Q194" s="106"/>
    </row>
    <row r="195" spans="7:17">
      <c r="G195" s="106"/>
      <c r="H195" s="106"/>
      <c r="I195" s="106"/>
      <c r="J195" s="106"/>
      <c r="K195" s="106"/>
      <c r="L195" s="106"/>
      <c r="M195" s="106"/>
      <c r="N195" s="106"/>
      <c r="O195" s="106"/>
      <c r="P195" s="106"/>
      <c r="Q195" s="106"/>
    </row>
    <row r="196" spans="7:17">
      <c r="G196" s="106"/>
      <c r="H196" s="106"/>
      <c r="I196" s="106"/>
      <c r="J196" s="106"/>
      <c r="K196" s="106"/>
      <c r="L196" s="106"/>
      <c r="M196" s="106"/>
      <c r="N196" s="106"/>
      <c r="O196" s="106"/>
      <c r="P196" s="106"/>
      <c r="Q196" s="106"/>
    </row>
    <row r="197" spans="7:17">
      <c r="G197" s="106"/>
      <c r="H197" s="106"/>
      <c r="I197" s="106"/>
      <c r="J197" s="106"/>
      <c r="K197" s="106"/>
      <c r="L197" s="106"/>
      <c r="M197" s="106"/>
      <c r="N197" s="106"/>
      <c r="O197" s="106"/>
      <c r="P197" s="106"/>
      <c r="Q197" s="106"/>
    </row>
    <row r="198" spans="7:17">
      <c r="G198" s="106"/>
      <c r="H198" s="106"/>
      <c r="I198" s="106"/>
      <c r="J198" s="106"/>
      <c r="K198" s="106"/>
      <c r="L198" s="106"/>
      <c r="M198" s="106"/>
      <c r="N198" s="106"/>
      <c r="O198" s="106"/>
      <c r="P198" s="106"/>
      <c r="Q198" s="106"/>
    </row>
    <row r="199" spans="7:17">
      <c r="G199" s="106"/>
      <c r="H199" s="106"/>
      <c r="I199" s="106"/>
      <c r="J199" s="106"/>
      <c r="K199" s="106"/>
      <c r="L199" s="106"/>
      <c r="M199" s="106"/>
      <c r="N199" s="106"/>
      <c r="O199" s="106"/>
      <c r="P199" s="106"/>
      <c r="Q199" s="106"/>
    </row>
    <row r="200" spans="7:17">
      <c r="G200" s="106"/>
      <c r="H200" s="106"/>
      <c r="I200" s="106"/>
      <c r="J200" s="106"/>
      <c r="K200" s="106"/>
      <c r="L200" s="106"/>
      <c r="M200" s="106"/>
      <c r="N200" s="106"/>
      <c r="O200" s="106"/>
      <c r="P200" s="106"/>
      <c r="Q200" s="106"/>
    </row>
    <row r="201" spans="7:17">
      <c r="G201" s="106"/>
      <c r="H201" s="106"/>
      <c r="I201" s="106"/>
      <c r="J201" s="106"/>
      <c r="K201" s="106"/>
      <c r="L201" s="106"/>
      <c r="M201" s="106"/>
      <c r="N201" s="106"/>
      <c r="O201" s="106"/>
      <c r="P201" s="106"/>
      <c r="Q201" s="106"/>
    </row>
    <row r="202" spans="7:17">
      <c r="G202" s="106"/>
      <c r="H202" s="106"/>
      <c r="I202" s="106"/>
      <c r="J202" s="106"/>
      <c r="K202" s="106"/>
      <c r="L202" s="106"/>
      <c r="M202" s="106"/>
      <c r="N202" s="106"/>
      <c r="O202" s="106"/>
      <c r="P202" s="106"/>
      <c r="Q202" s="106"/>
    </row>
    <row r="203" spans="7:17">
      <c r="G203" s="106"/>
      <c r="H203" s="106"/>
      <c r="I203" s="106"/>
      <c r="J203" s="106"/>
      <c r="K203" s="106"/>
      <c r="L203" s="106"/>
      <c r="M203" s="106"/>
      <c r="N203" s="106"/>
      <c r="O203" s="106"/>
      <c r="P203" s="106"/>
      <c r="Q203" s="106"/>
    </row>
    <row r="204" spans="7:17">
      <c r="G204" s="106"/>
      <c r="H204" s="106"/>
      <c r="I204" s="106"/>
      <c r="J204" s="106"/>
      <c r="K204" s="106"/>
      <c r="L204" s="106"/>
      <c r="M204" s="106"/>
      <c r="N204" s="106"/>
      <c r="O204" s="106"/>
      <c r="P204" s="106"/>
      <c r="Q204" s="106"/>
    </row>
    <row r="205" spans="7:17">
      <c r="G205" s="106"/>
      <c r="H205" s="106"/>
      <c r="I205" s="106"/>
      <c r="J205" s="106"/>
      <c r="K205" s="106"/>
      <c r="L205" s="106"/>
      <c r="M205" s="106"/>
      <c r="N205" s="106"/>
      <c r="O205" s="106"/>
      <c r="P205" s="106"/>
      <c r="Q205" s="106"/>
    </row>
    <row r="206" spans="7:17">
      <c r="G206" s="106"/>
      <c r="H206" s="106"/>
      <c r="I206" s="106"/>
      <c r="J206" s="106"/>
      <c r="K206" s="106"/>
      <c r="L206" s="106"/>
      <c r="M206" s="106"/>
      <c r="N206" s="106"/>
      <c r="O206" s="106"/>
      <c r="P206" s="106"/>
      <c r="Q206" s="106"/>
    </row>
    <row r="207" spans="7:17">
      <c r="G207" s="106"/>
      <c r="H207" s="106"/>
      <c r="I207" s="106"/>
      <c r="J207" s="106"/>
      <c r="K207" s="106"/>
      <c r="L207" s="106"/>
      <c r="M207" s="106"/>
      <c r="N207" s="106"/>
      <c r="O207" s="106"/>
      <c r="P207" s="106"/>
      <c r="Q207" s="106"/>
    </row>
    <row r="208" spans="7:17">
      <c r="G208" s="106"/>
      <c r="H208" s="106"/>
      <c r="I208" s="106"/>
      <c r="J208" s="106"/>
      <c r="K208" s="106"/>
      <c r="L208" s="106"/>
      <c r="M208" s="106"/>
      <c r="N208" s="106"/>
      <c r="O208" s="106"/>
      <c r="P208" s="106"/>
      <c r="Q208" s="106"/>
    </row>
    <row r="209" spans="7:17">
      <c r="G209" s="106"/>
      <c r="H209" s="106"/>
      <c r="I209" s="106"/>
      <c r="J209" s="106"/>
      <c r="K209" s="106"/>
      <c r="L209" s="106"/>
      <c r="M209" s="106"/>
      <c r="N209" s="106"/>
      <c r="O209" s="106"/>
      <c r="P209" s="106"/>
      <c r="Q209" s="106"/>
    </row>
    <row r="210" spans="7:17">
      <c r="G210" s="106"/>
      <c r="H210" s="106"/>
      <c r="I210" s="106"/>
      <c r="J210" s="106"/>
      <c r="K210" s="106"/>
      <c r="L210" s="106"/>
      <c r="M210" s="106"/>
      <c r="N210" s="106"/>
      <c r="O210" s="106"/>
      <c r="P210" s="106"/>
      <c r="Q210" s="106"/>
    </row>
    <row r="211" spans="7:17">
      <c r="G211" s="106"/>
      <c r="H211" s="106"/>
      <c r="I211" s="106"/>
      <c r="J211" s="106"/>
      <c r="K211" s="106"/>
      <c r="L211" s="106"/>
      <c r="M211" s="106"/>
      <c r="N211" s="106"/>
      <c r="O211" s="106"/>
      <c r="P211" s="106"/>
      <c r="Q211" s="106"/>
    </row>
    <row r="212" spans="7:17">
      <c r="G212" s="106"/>
      <c r="H212" s="106"/>
      <c r="I212" s="106"/>
      <c r="J212" s="106"/>
      <c r="K212" s="106"/>
      <c r="L212" s="106"/>
      <c r="M212" s="106"/>
      <c r="N212" s="106"/>
      <c r="O212" s="106"/>
      <c r="P212" s="106"/>
      <c r="Q212" s="106"/>
    </row>
    <row r="213" spans="7:17">
      <c r="G213" s="106"/>
      <c r="H213" s="106"/>
      <c r="I213" s="106"/>
      <c r="J213" s="106"/>
      <c r="K213" s="106"/>
      <c r="L213" s="106"/>
      <c r="M213" s="106"/>
      <c r="N213" s="106"/>
      <c r="O213" s="106"/>
      <c r="P213" s="106"/>
      <c r="Q213" s="106"/>
    </row>
    <row r="214" spans="7:17">
      <c r="G214" s="106"/>
      <c r="H214" s="106"/>
      <c r="I214" s="106"/>
      <c r="J214" s="106"/>
      <c r="K214" s="106"/>
      <c r="L214" s="106"/>
      <c r="M214" s="106"/>
      <c r="N214" s="106"/>
      <c r="O214" s="106"/>
      <c r="P214" s="106"/>
      <c r="Q214" s="106"/>
    </row>
    <row r="215" spans="7:17">
      <c r="G215" s="106"/>
      <c r="H215" s="106"/>
      <c r="I215" s="106"/>
      <c r="J215" s="106"/>
      <c r="K215" s="106"/>
      <c r="L215" s="106"/>
      <c r="M215" s="106"/>
      <c r="N215" s="106"/>
      <c r="O215" s="106"/>
      <c r="P215" s="106"/>
      <c r="Q215" s="106"/>
    </row>
    <row r="216" spans="7:17">
      <c r="G216" s="106"/>
      <c r="H216" s="106"/>
      <c r="I216" s="106"/>
      <c r="J216" s="106"/>
      <c r="K216" s="106"/>
      <c r="L216" s="106"/>
      <c r="M216" s="106"/>
      <c r="N216" s="106"/>
      <c r="O216" s="106"/>
      <c r="P216" s="106"/>
      <c r="Q216" s="106"/>
    </row>
    <row r="217" spans="7:17">
      <c r="G217" s="106"/>
      <c r="H217" s="106"/>
      <c r="I217" s="106"/>
      <c r="J217" s="106"/>
      <c r="K217" s="106"/>
      <c r="L217" s="106"/>
      <c r="M217" s="106"/>
      <c r="N217" s="106"/>
      <c r="O217" s="106"/>
      <c r="P217" s="106"/>
      <c r="Q217" s="106"/>
    </row>
    <row r="218" spans="7:17">
      <c r="G218" s="106"/>
      <c r="H218" s="106"/>
      <c r="I218" s="106"/>
      <c r="J218" s="106"/>
      <c r="K218" s="106"/>
      <c r="L218" s="106"/>
      <c r="M218" s="106"/>
      <c r="N218" s="106"/>
      <c r="O218" s="106"/>
      <c r="P218" s="106"/>
      <c r="Q218" s="106"/>
    </row>
    <row r="219" spans="7:17">
      <c r="G219" s="106"/>
      <c r="H219" s="106"/>
      <c r="I219" s="106"/>
      <c r="J219" s="106"/>
      <c r="K219" s="106"/>
      <c r="L219" s="106"/>
      <c r="M219" s="106"/>
      <c r="N219" s="106"/>
      <c r="O219" s="106"/>
      <c r="P219" s="106"/>
      <c r="Q219" s="106"/>
    </row>
    <row r="220" spans="7:17">
      <c r="G220" s="106"/>
      <c r="H220" s="106"/>
      <c r="I220" s="106"/>
      <c r="J220" s="106"/>
      <c r="K220" s="106"/>
      <c r="L220" s="106"/>
      <c r="M220" s="106"/>
      <c r="N220" s="106"/>
      <c r="O220" s="106"/>
      <c r="P220" s="106"/>
      <c r="Q220" s="106"/>
    </row>
    <row r="221" spans="7:17">
      <c r="G221" s="106"/>
      <c r="H221" s="106"/>
      <c r="I221" s="106"/>
      <c r="J221" s="106"/>
      <c r="K221" s="106"/>
      <c r="L221" s="106"/>
      <c r="M221" s="106"/>
      <c r="N221" s="106"/>
      <c r="O221" s="106"/>
      <c r="P221" s="106"/>
      <c r="Q221" s="106"/>
    </row>
    <row r="222" spans="7:17">
      <c r="G222" s="106"/>
      <c r="H222" s="106"/>
      <c r="I222" s="106"/>
      <c r="J222" s="106"/>
      <c r="K222" s="106"/>
      <c r="L222" s="106"/>
      <c r="M222" s="106"/>
      <c r="N222" s="106"/>
      <c r="O222" s="106"/>
      <c r="P222" s="106"/>
      <c r="Q222" s="106"/>
    </row>
    <row r="223" spans="7:17">
      <c r="G223" s="106"/>
      <c r="H223" s="106"/>
      <c r="I223" s="106"/>
      <c r="J223" s="106"/>
      <c r="K223" s="106"/>
      <c r="L223" s="106"/>
      <c r="M223" s="106"/>
      <c r="N223" s="106"/>
      <c r="O223" s="106"/>
      <c r="P223" s="106"/>
      <c r="Q223" s="106"/>
    </row>
    <row r="224" spans="7:17">
      <c r="G224" s="106"/>
      <c r="H224" s="106"/>
      <c r="I224" s="106"/>
      <c r="J224" s="106"/>
      <c r="K224" s="106"/>
      <c r="L224" s="106"/>
      <c r="M224" s="106"/>
      <c r="N224" s="106"/>
      <c r="O224" s="106"/>
      <c r="P224" s="106"/>
      <c r="Q224" s="106"/>
    </row>
    <row r="225" spans="7:17">
      <c r="G225" s="106"/>
      <c r="H225" s="106"/>
      <c r="I225" s="106"/>
      <c r="J225" s="106"/>
      <c r="K225" s="106"/>
      <c r="L225" s="106"/>
      <c r="M225" s="106"/>
      <c r="N225" s="106"/>
      <c r="O225" s="106"/>
      <c r="P225" s="106"/>
      <c r="Q225" s="106"/>
    </row>
    <row r="226" spans="7:17">
      <c r="G226" s="106"/>
      <c r="H226" s="106"/>
      <c r="I226" s="106"/>
      <c r="J226" s="106"/>
      <c r="K226" s="106"/>
      <c r="L226" s="106"/>
      <c r="M226" s="106"/>
      <c r="N226" s="106"/>
      <c r="O226" s="106"/>
      <c r="P226" s="106"/>
      <c r="Q226" s="106"/>
    </row>
    <row r="227" spans="7:17">
      <c r="G227" s="106"/>
      <c r="H227" s="106"/>
      <c r="I227" s="106"/>
      <c r="J227" s="106"/>
      <c r="K227" s="106"/>
      <c r="L227" s="106"/>
      <c r="M227" s="106"/>
      <c r="N227" s="106"/>
      <c r="O227" s="106"/>
      <c r="P227" s="106"/>
      <c r="Q227" s="106"/>
    </row>
    <row r="228" spans="7:17">
      <c r="G228" s="106"/>
      <c r="H228" s="106"/>
      <c r="I228" s="106"/>
      <c r="J228" s="106"/>
      <c r="K228" s="106"/>
      <c r="L228" s="106"/>
      <c r="M228" s="106"/>
      <c r="N228" s="106"/>
      <c r="O228" s="106"/>
      <c r="P228" s="106"/>
      <c r="Q228" s="106"/>
    </row>
    <row r="229" spans="7:17">
      <c r="G229" s="106"/>
      <c r="H229" s="106"/>
      <c r="I229" s="106"/>
      <c r="J229" s="106"/>
      <c r="K229" s="106"/>
      <c r="L229" s="106"/>
      <c r="M229" s="106"/>
      <c r="N229" s="106"/>
      <c r="O229" s="106"/>
      <c r="P229" s="106"/>
      <c r="Q229" s="106"/>
    </row>
    <row r="230" spans="7:17">
      <c r="G230" s="106"/>
      <c r="H230" s="106"/>
      <c r="I230" s="106"/>
      <c r="J230" s="106"/>
      <c r="K230" s="106"/>
      <c r="L230" s="106"/>
      <c r="M230" s="106"/>
      <c r="N230" s="106"/>
      <c r="O230" s="106"/>
      <c r="P230" s="106"/>
      <c r="Q230" s="106"/>
    </row>
    <row r="231" spans="7:17">
      <c r="G231" s="106"/>
      <c r="H231" s="106"/>
      <c r="I231" s="106"/>
      <c r="J231" s="106"/>
      <c r="K231" s="106"/>
      <c r="L231" s="106"/>
      <c r="M231" s="106"/>
      <c r="N231" s="106"/>
      <c r="O231" s="106"/>
      <c r="P231" s="106"/>
      <c r="Q231" s="106"/>
    </row>
    <row r="232" spans="7:17">
      <c r="G232" s="106"/>
      <c r="H232" s="106"/>
      <c r="I232" s="106"/>
      <c r="J232" s="106"/>
      <c r="K232" s="106"/>
      <c r="L232" s="106"/>
      <c r="M232" s="106"/>
      <c r="N232" s="106"/>
      <c r="O232" s="106"/>
      <c r="P232" s="106"/>
      <c r="Q232" s="106"/>
    </row>
    <row r="233" spans="7:17">
      <c r="G233" s="106"/>
      <c r="H233" s="106"/>
      <c r="I233" s="106"/>
      <c r="J233" s="106"/>
      <c r="K233" s="106"/>
      <c r="L233" s="106"/>
      <c r="M233" s="106"/>
      <c r="N233" s="106"/>
      <c r="O233" s="106"/>
      <c r="P233" s="106"/>
      <c r="Q233" s="106"/>
    </row>
    <row r="234" spans="7:17">
      <c r="G234" s="106"/>
      <c r="H234" s="106"/>
      <c r="I234" s="106"/>
      <c r="J234" s="106"/>
      <c r="K234" s="106"/>
      <c r="L234" s="106"/>
      <c r="M234" s="106"/>
      <c r="N234" s="106"/>
      <c r="O234" s="106"/>
      <c r="P234" s="106"/>
      <c r="Q234" s="106"/>
    </row>
    <row r="235" spans="7:17">
      <c r="G235" s="106"/>
      <c r="H235" s="106"/>
      <c r="I235" s="106"/>
      <c r="J235" s="106"/>
      <c r="K235" s="106"/>
      <c r="L235" s="106"/>
      <c r="M235" s="106"/>
      <c r="N235" s="106"/>
      <c r="O235" s="106"/>
      <c r="P235" s="106"/>
      <c r="Q235" s="106"/>
    </row>
    <row r="236" spans="7:17">
      <c r="G236" s="106"/>
      <c r="H236" s="106"/>
      <c r="I236" s="106"/>
      <c r="J236" s="106"/>
      <c r="K236" s="106"/>
      <c r="L236" s="106"/>
      <c r="M236" s="106"/>
      <c r="N236" s="106"/>
      <c r="O236" s="106"/>
      <c r="P236" s="106"/>
      <c r="Q236" s="106"/>
    </row>
    <row r="237" spans="7:17">
      <c r="G237" s="106"/>
      <c r="H237" s="106"/>
      <c r="I237" s="106"/>
      <c r="J237" s="106"/>
      <c r="K237" s="106"/>
      <c r="L237" s="106"/>
      <c r="M237" s="106"/>
      <c r="N237" s="106"/>
      <c r="O237" s="106"/>
      <c r="P237" s="106"/>
      <c r="Q237" s="106"/>
    </row>
    <row r="238" spans="7:17">
      <c r="G238" s="106"/>
      <c r="H238" s="106"/>
      <c r="I238" s="106"/>
      <c r="J238" s="106"/>
      <c r="K238" s="106"/>
      <c r="L238" s="106"/>
      <c r="M238" s="106"/>
      <c r="N238" s="106"/>
      <c r="O238" s="106"/>
      <c r="P238" s="106"/>
      <c r="Q238" s="106"/>
    </row>
    <row r="239" spans="7:17">
      <c r="G239" s="106"/>
      <c r="H239" s="106"/>
      <c r="I239" s="106"/>
      <c r="J239" s="106"/>
      <c r="K239" s="106"/>
      <c r="L239" s="106"/>
      <c r="M239" s="106"/>
      <c r="N239" s="106"/>
      <c r="O239" s="106"/>
      <c r="P239" s="106"/>
      <c r="Q239" s="106"/>
    </row>
    <row r="240" spans="7:17">
      <c r="G240" s="106"/>
      <c r="H240" s="106"/>
      <c r="I240" s="106"/>
      <c r="J240" s="106"/>
      <c r="K240" s="106"/>
      <c r="L240" s="106"/>
      <c r="M240" s="106"/>
      <c r="N240" s="106"/>
      <c r="O240" s="106"/>
      <c r="P240" s="106"/>
      <c r="Q240" s="106"/>
    </row>
    <row r="241" spans="7:17">
      <c r="G241" s="106"/>
      <c r="H241" s="106"/>
      <c r="I241" s="106"/>
      <c r="J241" s="106"/>
      <c r="K241" s="106"/>
      <c r="L241" s="106"/>
      <c r="M241" s="106"/>
      <c r="N241" s="106"/>
      <c r="O241" s="106"/>
      <c r="P241" s="106"/>
      <c r="Q241" s="106"/>
    </row>
    <row r="242" spans="7:17">
      <c r="G242" s="106"/>
      <c r="H242" s="106"/>
      <c r="I242" s="106"/>
      <c r="J242" s="106"/>
      <c r="K242" s="106"/>
      <c r="L242" s="106"/>
      <c r="M242" s="106"/>
      <c r="N242" s="106"/>
      <c r="O242" s="106"/>
      <c r="P242" s="106"/>
      <c r="Q242" s="106"/>
    </row>
    <row r="243" spans="7:17">
      <c r="G243" s="106"/>
      <c r="H243" s="106"/>
      <c r="I243" s="106"/>
      <c r="J243" s="106"/>
      <c r="K243" s="106"/>
      <c r="L243" s="106"/>
      <c r="M243" s="106"/>
      <c r="N243" s="106"/>
      <c r="O243" s="106"/>
      <c r="P243" s="106"/>
      <c r="Q243" s="106"/>
    </row>
    <row r="244" spans="7:17">
      <c r="G244" s="106"/>
      <c r="H244" s="106"/>
      <c r="I244" s="106"/>
      <c r="J244" s="106"/>
      <c r="K244" s="106"/>
      <c r="L244" s="106"/>
      <c r="M244" s="106"/>
      <c r="N244" s="106"/>
      <c r="O244" s="106"/>
      <c r="P244" s="106"/>
      <c r="Q244" s="106"/>
    </row>
    <row r="245" spans="7:17">
      <c r="G245" s="106"/>
      <c r="H245" s="106"/>
      <c r="I245" s="106"/>
      <c r="J245" s="106"/>
      <c r="K245" s="106"/>
      <c r="L245" s="106"/>
      <c r="M245" s="106"/>
      <c r="N245" s="106"/>
      <c r="O245" s="106"/>
      <c r="P245" s="106"/>
      <c r="Q245" s="106"/>
    </row>
    <row r="246" spans="7:17">
      <c r="G246" s="106"/>
      <c r="H246" s="106"/>
      <c r="I246" s="106"/>
      <c r="J246" s="106"/>
      <c r="K246" s="106"/>
      <c r="L246" s="106"/>
      <c r="M246" s="106"/>
      <c r="N246" s="106"/>
      <c r="O246" s="106"/>
      <c r="P246" s="106"/>
      <c r="Q246" s="106"/>
    </row>
    <row r="247" spans="7:17">
      <c r="G247" s="106"/>
      <c r="H247" s="106"/>
      <c r="I247" s="106"/>
      <c r="J247" s="106"/>
      <c r="K247" s="106"/>
      <c r="L247" s="106"/>
      <c r="M247" s="106"/>
      <c r="N247" s="106"/>
      <c r="O247" s="106"/>
      <c r="P247" s="106"/>
      <c r="Q247" s="106"/>
    </row>
    <row r="248" spans="7:17">
      <c r="G248" s="106"/>
      <c r="H248" s="106"/>
      <c r="I248" s="106"/>
      <c r="J248" s="106"/>
      <c r="K248" s="106"/>
      <c r="L248" s="106"/>
      <c r="M248" s="106"/>
      <c r="N248" s="106"/>
      <c r="O248" s="106"/>
      <c r="P248" s="106"/>
      <c r="Q248" s="106"/>
    </row>
    <row r="249" spans="7:17">
      <c r="G249" s="106"/>
      <c r="H249" s="106"/>
      <c r="I249" s="106"/>
      <c r="J249" s="106"/>
      <c r="K249" s="106"/>
      <c r="L249" s="106"/>
      <c r="M249" s="106"/>
      <c r="N249" s="106"/>
      <c r="O249" s="106"/>
      <c r="P249" s="106"/>
      <c r="Q249" s="106"/>
    </row>
    <row r="250" spans="7:17">
      <c r="G250" s="106"/>
      <c r="H250" s="106"/>
      <c r="I250" s="106"/>
      <c r="J250" s="106"/>
      <c r="K250" s="106"/>
      <c r="L250" s="106"/>
      <c r="M250" s="106"/>
      <c r="N250" s="106"/>
      <c r="O250" s="106"/>
      <c r="P250" s="106"/>
      <c r="Q250" s="106"/>
    </row>
    <row r="251" spans="7:17">
      <c r="G251" s="106"/>
      <c r="H251" s="106"/>
      <c r="I251" s="106"/>
      <c r="J251" s="106"/>
      <c r="K251" s="106"/>
      <c r="L251" s="106"/>
      <c r="M251" s="106"/>
      <c r="N251" s="106"/>
      <c r="O251" s="106"/>
      <c r="P251" s="106"/>
      <c r="Q251" s="106"/>
    </row>
    <row r="252" spans="7:17">
      <c r="G252" s="106"/>
      <c r="H252" s="106"/>
      <c r="I252" s="106"/>
      <c r="J252" s="106"/>
      <c r="K252" s="106"/>
      <c r="L252" s="106"/>
      <c r="M252" s="106"/>
      <c r="N252" s="106"/>
      <c r="O252" s="106"/>
      <c r="P252" s="106"/>
      <c r="Q252" s="106"/>
    </row>
    <row r="253" spans="7:17">
      <c r="G253" s="106"/>
      <c r="H253" s="106"/>
      <c r="I253" s="106"/>
      <c r="J253" s="106"/>
      <c r="K253" s="106"/>
      <c r="L253" s="106"/>
      <c r="M253" s="106"/>
      <c r="N253" s="106"/>
      <c r="O253" s="106"/>
      <c r="P253" s="106"/>
      <c r="Q253" s="106"/>
    </row>
    <row r="254" spans="7:17">
      <c r="G254" s="106"/>
      <c r="H254" s="106"/>
      <c r="I254" s="106"/>
      <c r="J254" s="106"/>
      <c r="K254" s="106"/>
      <c r="L254" s="106"/>
      <c r="M254" s="106"/>
      <c r="N254" s="106"/>
      <c r="O254" s="106"/>
      <c r="P254" s="106"/>
      <c r="Q254" s="106"/>
    </row>
    <row r="255" spans="7:17">
      <c r="G255" s="106"/>
      <c r="H255" s="106"/>
      <c r="I255" s="106"/>
      <c r="J255" s="106"/>
      <c r="K255" s="106"/>
      <c r="L255" s="106"/>
      <c r="M255" s="106"/>
      <c r="N255" s="106"/>
      <c r="O255" s="106"/>
      <c r="P255" s="106"/>
      <c r="Q255" s="106"/>
    </row>
    <row r="256" spans="7:17">
      <c r="G256" s="106"/>
      <c r="H256" s="106"/>
      <c r="I256" s="106"/>
      <c r="J256" s="106"/>
      <c r="K256" s="106"/>
      <c r="L256" s="106"/>
      <c r="M256" s="106"/>
      <c r="N256" s="106"/>
      <c r="O256" s="106"/>
      <c r="P256" s="106"/>
      <c r="Q256" s="106"/>
    </row>
    <row r="257" spans="7:17">
      <c r="G257" s="106"/>
      <c r="H257" s="106"/>
      <c r="I257" s="106"/>
      <c r="J257" s="106"/>
      <c r="K257" s="106"/>
      <c r="L257" s="106"/>
      <c r="M257" s="106"/>
      <c r="N257" s="106"/>
      <c r="O257" s="106"/>
      <c r="P257" s="106"/>
      <c r="Q257" s="106"/>
    </row>
    <row r="258" spans="7:17">
      <c r="G258" s="106"/>
      <c r="H258" s="106"/>
      <c r="I258" s="106"/>
      <c r="J258" s="106"/>
      <c r="K258" s="106"/>
      <c r="L258" s="106"/>
      <c r="M258" s="106"/>
      <c r="N258" s="106"/>
      <c r="O258" s="106"/>
      <c r="P258" s="106"/>
      <c r="Q258" s="106"/>
    </row>
    <row r="259" spans="7:17">
      <c r="G259" s="106"/>
      <c r="H259" s="106"/>
      <c r="I259" s="106"/>
      <c r="J259" s="106"/>
      <c r="K259" s="106"/>
      <c r="L259" s="106"/>
      <c r="M259" s="106"/>
      <c r="N259" s="106"/>
      <c r="O259" s="106"/>
      <c r="P259" s="106"/>
      <c r="Q259" s="106"/>
    </row>
    <row r="260" spans="7:17">
      <c r="G260" s="106"/>
      <c r="H260" s="106"/>
      <c r="I260" s="106"/>
      <c r="J260" s="106"/>
      <c r="K260" s="106"/>
      <c r="L260" s="106"/>
      <c r="M260" s="106"/>
      <c r="N260" s="106"/>
      <c r="O260" s="106"/>
      <c r="P260" s="106"/>
      <c r="Q260" s="106"/>
    </row>
    <row r="261" spans="7:17">
      <c r="G261" s="106"/>
      <c r="H261" s="106"/>
      <c r="I261" s="106"/>
      <c r="J261" s="106"/>
      <c r="K261" s="106"/>
      <c r="L261" s="106"/>
      <c r="M261" s="106"/>
      <c r="N261" s="106"/>
      <c r="O261" s="106"/>
      <c r="P261" s="106"/>
      <c r="Q261" s="106"/>
    </row>
    <row r="262" spans="7:17">
      <c r="G262" s="106"/>
      <c r="H262" s="106"/>
      <c r="I262" s="106"/>
      <c r="J262" s="106"/>
      <c r="K262" s="106"/>
      <c r="L262" s="106"/>
      <c r="M262" s="106"/>
      <c r="N262" s="106"/>
      <c r="O262" s="106"/>
      <c r="P262" s="106"/>
      <c r="Q262" s="106"/>
    </row>
    <row r="263" spans="7:17">
      <c r="G263" s="106"/>
      <c r="H263" s="106"/>
      <c r="I263" s="106"/>
      <c r="J263" s="106"/>
      <c r="K263" s="106"/>
      <c r="L263" s="106"/>
      <c r="M263" s="106"/>
      <c r="N263" s="106"/>
      <c r="O263" s="106"/>
      <c r="P263" s="106"/>
      <c r="Q263" s="106"/>
    </row>
    <row r="264" spans="7:17">
      <c r="G264" s="106"/>
      <c r="H264" s="106"/>
      <c r="I264" s="106"/>
      <c r="J264" s="106"/>
      <c r="K264" s="106"/>
      <c r="L264" s="106"/>
      <c r="M264" s="106"/>
      <c r="N264" s="106"/>
      <c r="O264" s="106"/>
      <c r="P264" s="106"/>
      <c r="Q264" s="106"/>
    </row>
    <row r="265" spans="7:17">
      <c r="G265" s="106"/>
      <c r="H265" s="106"/>
      <c r="I265" s="106"/>
      <c r="J265" s="106"/>
      <c r="K265" s="106"/>
      <c r="L265" s="106"/>
      <c r="M265" s="106"/>
      <c r="N265" s="106"/>
      <c r="O265" s="106"/>
      <c r="P265" s="106"/>
      <c r="Q265" s="106"/>
    </row>
    <row r="266" spans="7:17">
      <c r="G266" s="106"/>
      <c r="H266" s="106"/>
      <c r="I266" s="106"/>
      <c r="J266" s="106"/>
      <c r="K266" s="106"/>
      <c r="L266" s="106"/>
      <c r="M266" s="106"/>
      <c r="N266" s="106"/>
      <c r="O266" s="106"/>
      <c r="P266" s="106"/>
      <c r="Q266" s="106"/>
    </row>
    <row r="267" spans="7:17">
      <c r="G267" s="106"/>
      <c r="H267" s="106"/>
      <c r="I267" s="106"/>
      <c r="J267" s="106"/>
      <c r="K267" s="106"/>
      <c r="L267" s="106"/>
      <c r="M267" s="106"/>
      <c r="N267" s="106"/>
      <c r="O267" s="106"/>
      <c r="P267" s="106"/>
      <c r="Q267" s="106"/>
    </row>
    <row r="268" spans="7:17">
      <c r="G268" s="106"/>
      <c r="H268" s="106"/>
      <c r="I268" s="106"/>
      <c r="J268" s="106"/>
      <c r="K268" s="106"/>
      <c r="L268" s="106"/>
      <c r="M268" s="106"/>
      <c r="N268" s="106"/>
      <c r="O268" s="106"/>
      <c r="P268" s="106"/>
      <c r="Q268" s="106"/>
    </row>
    <row r="269" spans="7:17">
      <c r="G269" s="106"/>
      <c r="H269" s="106"/>
      <c r="I269" s="106"/>
      <c r="J269" s="106"/>
      <c r="K269" s="106"/>
      <c r="L269" s="106"/>
      <c r="M269" s="106"/>
      <c r="N269" s="106"/>
      <c r="O269" s="106"/>
      <c r="P269" s="106"/>
      <c r="Q269" s="106"/>
    </row>
    <row r="270" spans="7:17">
      <c r="G270" s="106"/>
      <c r="H270" s="106"/>
      <c r="I270" s="106"/>
      <c r="J270" s="106"/>
      <c r="K270" s="106"/>
      <c r="L270" s="106"/>
      <c r="M270" s="106"/>
      <c r="N270" s="106"/>
      <c r="O270" s="106"/>
      <c r="P270" s="106"/>
      <c r="Q270" s="106"/>
    </row>
    <row r="271" spans="7:17">
      <c r="G271" s="106"/>
      <c r="H271" s="106"/>
      <c r="I271" s="106"/>
      <c r="J271" s="106"/>
      <c r="K271" s="106"/>
      <c r="L271" s="106"/>
      <c r="M271" s="106"/>
      <c r="N271" s="106"/>
      <c r="O271" s="106"/>
      <c r="P271" s="106"/>
      <c r="Q271" s="106"/>
    </row>
    <row r="272" spans="7:17">
      <c r="G272" s="106"/>
      <c r="H272" s="106"/>
      <c r="I272" s="106"/>
      <c r="J272" s="106"/>
      <c r="K272" s="106"/>
      <c r="L272" s="106"/>
      <c r="M272" s="106"/>
      <c r="N272" s="106"/>
      <c r="O272" s="106"/>
      <c r="P272" s="106"/>
      <c r="Q272" s="106"/>
    </row>
    <row r="273" spans="7:17">
      <c r="G273" s="106"/>
      <c r="H273" s="106"/>
      <c r="I273" s="106"/>
      <c r="J273" s="106"/>
      <c r="K273" s="106"/>
      <c r="L273" s="106"/>
      <c r="M273" s="106"/>
      <c r="N273" s="106"/>
      <c r="O273" s="106"/>
      <c r="P273" s="106"/>
      <c r="Q273" s="106"/>
    </row>
    <row r="274" spans="7:17">
      <c r="G274" s="106"/>
      <c r="H274" s="106"/>
      <c r="I274" s="106"/>
      <c r="J274" s="106"/>
      <c r="K274" s="106"/>
      <c r="L274" s="106"/>
      <c r="M274" s="106"/>
      <c r="N274" s="106"/>
      <c r="O274" s="106"/>
      <c r="P274" s="106"/>
      <c r="Q274" s="106"/>
    </row>
    <row r="275" spans="7:17">
      <c r="G275" s="106"/>
      <c r="H275" s="106"/>
      <c r="I275" s="106"/>
      <c r="J275" s="106"/>
      <c r="K275" s="106"/>
      <c r="L275" s="106"/>
      <c r="M275" s="106"/>
      <c r="N275" s="106"/>
      <c r="O275" s="106"/>
      <c r="P275" s="106"/>
      <c r="Q275" s="106"/>
    </row>
    <row r="276" spans="7:17">
      <c r="G276" s="106"/>
      <c r="H276" s="106"/>
      <c r="I276" s="106"/>
      <c r="J276" s="106"/>
      <c r="K276" s="106"/>
      <c r="L276" s="106"/>
      <c r="M276" s="106"/>
      <c r="N276" s="106"/>
      <c r="O276" s="106"/>
      <c r="P276" s="106"/>
      <c r="Q276" s="106"/>
    </row>
    <row r="277" spans="7:17">
      <c r="G277" s="106"/>
      <c r="H277" s="106"/>
      <c r="I277" s="106"/>
      <c r="J277" s="106"/>
      <c r="K277" s="106"/>
      <c r="L277" s="106"/>
      <c r="M277" s="106"/>
      <c r="N277" s="106"/>
      <c r="O277" s="106"/>
      <c r="P277" s="106"/>
      <c r="Q277" s="106"/>
    </row>
    <row r="278" spans="7:17">
      <c r="G278" s="106"/>
      <c r="H278" s="106"/>
      <c r="I278" s="106"/>
      <c r="J278" s="106"/>
      <c r="K278" s="106"/>
      <c r="L278" s="106"/>
      <c r="M278" s="106"/>
      <c r="N278" s="106"/>
      <c r="O278" s="106"/>
      <c r="P278" s="106"/>
      <c r="Q278" s="106"/>
    </row>
    <row r="279" spans="7:17">
      <c r="G279" s="106"/>
      <c r="H279" s="106"/>
      <c r="I279" s="106"/>
      <c r="J279" s="106"/>
      <c r="K279" s="106"/>
      <c r="L279" s="106"/>
      <c r="M279" s="106"/>
      <c r="N279" s="106"/>
      <c r="O279" s="106"/>
      <c r="P279" s="106"/>
      <c r="Q279" s="106"/>
    </row>
    <row r="280" spans="7:17">
      <c r="G280" s="106"/>
      <c r="H280" s="106"/>
      <c r="I280" s="106"/>
      <c r="J280" s="106"/>
      <c r="K280" s="106"/>
      <c r="L280" s="106"/>
      <c r="M280" s="106"/>
      <c r="N280" s="106"/>
      <c r="O280" s="106"/>
      <c r="P280" s="106"/>
      <c r="Q280" s="106"/>
    </row>
    <row r="281" spans="7:17">
      <c r="G281" s="106"/>
      <c r="H281" s="106"/>
      <c r="I281" s="106"/>
      <c r="J281" s="106"/>
      <c r="K281" s="106"/>
      <c r="L281" s="106"/>
      <c r="M281" s="106"/>
      <c r="N281" s="106"/>
      <c r="O281" s="106"/>
      <c r="P281" s="106"/>
      <c r="Q281" s="106"/>
    </row>
    <row r="282" spans="7:17">
      <c r="G282" s="106"/>
      <c r="H282" s="106"/>
      <c r="I282" s="106"/>
      <c r="J282" s="106"/>
      <c r="K282" s="106"/>
      <c r="L282" s="106"/>
      <c r="M282" s="106"/>
      <c r="N282" s="106"/>
      <c r="O282" s="106"/>
      <c r="P282" s="106"/>
      <c r="Q282" s="106"/>
    </row>
    <row r="283" spans="7:17">
      <c r="G283" s="106"/>
      <c r="H283" s="106"/>
      <c r="I283" s="106"/>
      <c r="J283" s="106"/>
      <c r="K283" s="106"/>
      <c r="L283" s="106"/>
      <c r="M283" s="106"/>
      <c r="N283" s="106"/>
      <c r="O283" s="106"/>
      <c r="P283" s="106"/>
      <c r="Q283" s="106"/>
    </row>
    <row r="284" spans="7:17">
      <c r="G284" s="106"/>
      <c r="H284" s="106"/>
      <c r="I284" s="106"/>
      <c r="J284" s="106"/>
      <c r="K284" s="106"/>
      <c r="L284" s="106"/>
      <c r="M284" s="106"/>
      <c r="N284" s="106"/>
      <c r="O284" s="106"/>
      <c r="P284" s="106"/>
      <c r="Q284" s="106"/>
    </row>
    <row r="285" spans="7:17">
      <c r="G285" s="106"/>
      <c r="H285" s="106"/>
      <c r="I285" s="106"/>
      <c r="J285" s="106"/>
      <c r="K285" s="106"/>
      <c r="L285" s="106"/>
      <c r="M285" s="106"/>
      <c r="N285" s="106"/>
      <c r="O285" s="106"/>
      <c r="P285" s="106"/>
      <c r="Q285" s="106"/>
    </row>
    <row r="286" spans="7:17">
      <c r="G286" s="106"/>
      <c r="H286" s="106"/>
      <c r="I286" s="106"/>
      <c r="J286" s="106"/>
      <c r="K286" s="106"/>
      <c r="L286" s="106"/>
      <c r="M286" s="106"/>
      <c r="N286" s="106"/>
      <c r="O286" s="106"/>
      <c r="P286" s="106"/>
      <c r="Q286" s="106"/>
    </row>
    <row r="287" spans="7:17">
      <c r="G287" s="106"/>
      <c r="H287" s="106"/>
      <c r="I287" s="106"/>
      <c r="J287" s="106"/>
      <c r="K287" s="106"/>
      <c r="L287" s="106"/>
      <c r="M287" s="106"/>
      <c r="N287" s="106"/>
      <c r="O287" s="106"/>
      <c r="P287" s="106"/>
      <c r="Q287" s="106"/>
    </row>
    <row r="288" spans="7:17">
      <c r="G288" s="106"/>
      <c r="H288" s="106"/>
      <c r="I288" s="106"/>
      <c r="J288" s="106"/>
      <c r="K288" s="106"/>
      <c r="L288" s="106"/>
      <c r="M288" s="106"/>
      <c r="N288" s="106"/>
      <c r="O288" s="106"/>
      <c r="P288" s="106"/>
      <c r="Q288" s="106"/>
    </row>
    <row r="289" spans="7:17">
      <c r="G289" s="106"/>
      <c r="H289" s="106"/>
      <c r="I289" s="106"/>
      <c r="J289" s="106"/>
      <c r="K289" s="106"/>
      <c r="L289" s="106"/>
      <c r="M289" s="106"/>
      <c r="N289" s="106"/>
      <c r="O289" s="106"/>
      <c r="P289" s="106"/>
      <c r="Q289" s="106"/>
    </row>
    <row r="290" spans="7:17">
      <c r="G290" s="106"/>
      <c r="H290" s="106"/>
      <c r="I290" s="106"/>
      <c r="J290" s="106"/>
      <c r="K290" s="106"/>
      <c r="L290" s="106"/>
      <c r="M290" s="106"/>
      <c r="N290" s="106"/>
      <c r="O290" s="106"/>
      <c r="P290" s="106"/>
      <c r="Q290" s="106"/>
    </row>
    <row r="291" spans="7:17">
      <c r="G291" s="106"/>
      <c r="H291" s="106"/>
      <c r="I291" s="106"/>
      <c r="J291" s="106"/>
      <c r="K291" s="106"/>
      <c r="L291" s="106"/>
      <c r="M291" s="106"/>
      <c r="N291" s="106"/>
      <c r="O291" s="106"/>
      <c r="P291" s="106"/>
      <c r="Q291" s="106"/>
    </row>
    <row r="292" spans="7:17">
      <c r="G292" s="106"/>
      <c r="H292" s="106"/>
      <c r="I292" s="106"/>
      <c r="J292" s="106"/>
      <c r="K292" s="106"/>
      <c r="L292" s="106"/>
      <c r="M292" s="106"/>
      <c r="N292" s="106"/>
      <c r="O292" s="106"/>
      <c r="P292" s="106"/>
      <c r="Q292" s="106"/>
    </row>
    <row r="293" spans="7:17">
      <c r="G293" s="106"/>
      <c r="H293" s="106"/>
      <c r="I293" s="106"/>
      <c r="J293" s="106"/>
      <c r="K293" s="106"/>
      <c r="L293" s="106"/>
      <c r="M293" s="106"/>
      <c r="N293" s="106"/>
      <c r="O293" s="106"/>
      <c r="P293" s="106"/>
      <c r="Q293" s="106"/>
    </row>
    <row r="294" spans="7:17">
      <c r="G294" s="106"/>
      <c r="H294" s="106"/>
      <c r="I294" s="106"/>
      <c r="J294" s="106"/>
      <c r="K294" s="106"/>
      <c r="L294" s="106"/>
      <c r="M294" s="106"/>
      <c r="N294" s="106"/>
      <c r="O294" s="106"/>
      <c r="P294" s="106"/>
      <c r="Q294" s="106"/>
    </row>
    <row r="295" spans="7:17">
      <c r="G295" s="106"/>
      <c r="H295" s="106"/>
      <c r="I295" s="106"/>
      <c r="J295" s="106"/>
      <c r="K295" s="106"/>
      <c r="L295" s="106"/>
      <c r="M295" s="106"/>
      <c r="N295" s="106"/>
      <c r="O295" s="106"/>
      <c r="P295" s="106"/>
      <c r="Q295" s="106"/>
    </row>
    <row r="296" spans="7:17">
      <c r="G296" s="106"/>
      <c r="H296" s="106"/>
      <c r="I296" s="106"/>
      <c r="J296" s="106"/>
      <c r="K296" s="106"/>
      <c r="L296" s="106"/>
      <c r="M296" s="106"/>
      <c r="N296" s="106"/>
      <c r="O296" s="106"/>
      <c r="P296" s="106"/>
      <c r="Q296" s="106"/>
    </row>
    <row r="297" spans="7:17">
      <c r="G297" s="106"/>
      <c r="H297" s="106"/>
      <c r="I297" s="106"/>
      <c r="J297" s="106"/>
      <c r="K297" s="106"/>
      <c r="L297" s="106"/>
      <c r="M297" s="106"/>
      <c r="N297" s="106"/>
      <c r="O297" s="106"/>
      <c r="P297" s="106"/>
      <c r="Q297" s="106"/>
    </row>
    <row r="298" spans="7:17">
      <c r="G298" s="106"/>
      <c r="H298" s="106"/>
      <c r="I298" s="106"/>
      <c r="J298" s="106"/>
      <c r="K298" s="106"/>
      <c r="L298" s="106"/>
      <c r="M298" s="106"/>
      <c r="N298" s="106"/>
      <c r="O298" s="106"/>
      <c r="P298" s="106"/>
      <c r="Q298" s="106"/>
    </row>
    <row r="299" spans="7:17">
      <c r="G299" s="106"/>
      <c r="H299" s="106"/>
      <c r="I299" s="106"/>
      <c r="J299" s="106"/>
      <c r="K299" s="106"/>
      <c r="L299" s="106"/>
      <c r="M299" s="106"/>
      <c r="N299" s="106"/>
      <c r="O299" s="106"/>
      <c r="P299" s="106"/>
      <c r="Q299" s="106"/>
    </row>
    <row r="300" spans="7:17">
      <c r="G300" s="106"/>
      <c r="H300" s="106"/>
      <c r="I300" s="106"/>
      <c r="J300" s="106"/>
      <c r="K300" s="106"/>
      <c r="L300" s="106"/>
      <c r="M300" s="106"/>
      <c r="N300" s="106"/>
      <c r="O300" s="106"/>
      <c r="P300" s="106"/>
      <c r="Q300" s="106"/>
    </row>
    <row r="301" spans="7:17">
      <c r="G301" s="106"/>
      <c r="H301" s="106"/>
      <c r="I301" s="106"/>
      <c r="J301" s="106"/>
      <c r="K301" s="106"/>
      <c r="L301" s="106"/>
      <c r="M301" s="106"/>
      <c r="N301" s="106"/>
      <c r="O301" s="106"/>
      <c r="P301" s="106"/>
      <c r="Q301" s="106"/>
    </row>
    <row r="302" spans="7:17">
      <c r="G302" s="106"/>
      <c r="H302" s="106"/>
      <c r="I302" s="106"/>
      <c r="J302" s="106"/>
      <c r="K302" s="106"/>
      <c r="L302" s="106"/>
      <c r="M302" s="106"/>
      <c r="N302" s="106"/>
      <c r="O302" s="106"/>
      <c r="P302" s="106"/>
      <c r="Q302" s="106"/>
    </row>
    <row r="303" spans="7:17">
      <c r="G303" s="106"/>
      <c r="H303" s="106"/>
      <c r="I303" s="106"/>
      <c r="J303" s="106"/>
      <c r="K303" s="106"/>
      <c r="L303" s="106"/>
      <c r="M303" s="106"/>
      <c r="N303" s="106"/>
      <c r="O303" s="106"/>
      <c r="P303" s="106"/>
      <c r="Q303" s="106"/>
    </row>
    <row r="304" spans="7:17">
      <c r="G304" s="106"/>
      <c r="H304" s="106"/>
      <c r="I304" s="106"/>
      <c r="J304" s="106"/>
      <c r="K304" s="106"/>
      <c r="L304" s="106"/>
      <c r="M304" s="106"/>
      <c r="N304" s="106"/>
      <c r="O304" s="106"/>
      <c r="P304" s="106"/>
      <c r="Q304" s="106"/>
    </row>
    <row r="305" spans="7:17">
      <c r="G305" s="106"/>
      <c r="H305" s="106"/>
      <c r="I305" s="106"/>
      <c r="J305" s="106"/>
      <c r="K305" s="106"/>
      <c r="L305" s="106"/>
      <c r="M305" s="106"/>
      <c r="N305" s="106"/>
      <c r="O305" s="106"/>
      <c r="P305" s="106"/>
      <c r="Q305" s="106"/>
    </row>
    <row r="306" spans="7:17">
      <c r="G306" s="106"/>
      <c r="H306" s="106"/>
      <c r="I306" s="106"/>
      <c r="J306" s="106"/>
      <c r="K306" s="106"/>
      <c r="L306" s="106"/>
      <c r="M306" s="106"/>
      <c r="N306" s="106"/>
      <c r="O306" s="106"/>
      <c r="P306" s="106"/>
      <c r="Q306" s="106"/>
    </row>
    <row r="307" spans="7:17">
      <c r="G307" s="106"/>
      <c r="H307" s="106"/>
      <c r="I307" s="106"/>
      <c r="J307" s="106"/>
      <c r="K307" s="106"/>
      <c r="L307" s="106"/>
      <c r="M307" s="106"/>
      <c r="N307" s="106"/>
      <c r="O307" s="106"/>
      <c r="P307" s="106"/>
      <c r="Q307" s="106"/>
    </row>
    <row r="308" spans="7:17">
      <c r="G308" s="106"/>
      <c r="H308" s="106"/>
      <c r="I308" s="106"/>
      <c r="J308" s="106"/>
      <c r="K308" s="106"/>
      <c r="L308" s="106"/>
      <c r="M308" s="106"/>
      <c r="N308" s="106"/>
      <c r="O308" s="106"/>
      <c r="P308" s="106"/>
      <c r="Q308" s="106"/>
    </row>
    <row r="309" spans="7:17">
      <c r="G309" s="106"/>
      <c r="H309" s="106"/>
      <c r="I309" s="106"/>
      <c r="J309" s="106"/>
      <c r="K309" s="106"/>
      <c r="L309" s="106"/>
      <c r="M309" s="106"/>
      <c r="N309" s="106"/>
      <c r="O309" s="106"/>
      <c r="P309" s="106"/>
      <c r="Q309" s="106"/>
    </row>
    <row r="310" spans="7:17">
      <c r="G310" s="106"/>
      <c r="H310" s="106"/>
      <c r="I310" s="106"/>
      <c r="J310" s="106"/>
      <c r="K310" s="106"/>
      <c r="L310" s="106"/>
      <c r="M310" s="106"/>
      <c r="N310" s="106"/>
      <c r="O310" s="106"/>
      <c r="P310" s="106"/>
      <c r="Q310" s="106"/>
    </row>
    <row r="311" spans="7:17">
      <c r="G311" s="106"/>
      <c r="H311" s="106"/>
      <c r="I311" s="106"/>
      <c r="J311" s="106"/>
      <c r="K311" s="106"/>
      <c r="L311" s="106"/>
      <c r="M311" s="106"/>
      <c r="N311" s="106"/>
      <c r="O311" s="106"/>
      <c r="P311" s="106"/>
      <c r="Q311" s="106"/>
    </row>
    <row r="312" spans="7:17">
      <c r="G312" s="106"/>
      <c r="H312" s="106"/>
      <c r="I312" s="106"/>
      <c r="J312" s="106"/>
      <c r="K312" s="106"/>
      <c r="L312" s="106"/>
      <c r="M312" s="106"/>
      <c r="N312" s="106"/>
      <c r="O312" s="106"/>
      <c r="P312" s="106"/>
      <c r="Q312" s="106"/>
    </row>
    <row r="313" spans="7:17">
      <c r="G313" s="106"/>
      <c r="H313" s="106"/>
      <c r="I313" s="106"/>
      <c r="J313" s="106"/>
      <c r="K313" s="106"/>
      <c r="L313" s="106"/>
      <c r="M313" s="106"/>
      <c r="N313" s="106"/>
      <c r="O313" s="106"/>
      <c r="P313" s="106"/>
      <c r="Q313" s="106"/>
    </row>
    <row r="314" spans="7:17">
      <c r="G314" s="106"/>
      <c r="H314" s="106"/>
      <c r="I314" s="106"/>
      <c r="J314" s="106"/>
      <c r="K314" s="106"/>
      <c r="L314" s="106"/>
      <c r="M314" s="106"/>
      <c r="N314" s="106"/>
      <c r="O314" s="106"/>
      <c r="P314" s="106"/>
      <c r="Q314" s="106"/>
    </row>
    <row r="315" spans="7:17">
      <c r="G315" s="106"/>
      <c r="H315" s="106"/>
      <c r="I315" s="106"/>
      <c r="J315" s="106"/>
      <c r="K315" s="106"/>
      <c r="L315" s="106"/>
      <c r="M315" s="106"/>
      <c r="N315" s="106"/>
      <c r="O315" s="106"/>
      <c r="P315" s="106"/>
      <c r="Q315" s="106"/>
    </row>
    <row r="316" spans="7:17">
      <c r="G316" s="106"/>
      <c r="H316" s="106"/>
      <c r="I316" s="106"/>
      <c r="J316" s="106"/>
      <c r="K316" s="106"/>
      <c r="L316" s="106"/>
      <c r="M316" s="106"/>
      <c r="N316" s="106"/>
      <c r="O316" s="106"/>
      <c r="P316" s="106"/>
      <c r="Q316" s="106"/>
    </row>
    <row r="317" spans="7:17">
      <c r="G317" s="106"/>
      <c r="H317" s="106"/>
      <c r="I317" s="106"/>
      <c r="J317" s="106"/>
      <c r="K317" s="106"/>
      <c r="L317" s="106"/>
      <c r="M317" s="106"/>
      <c r="N317" s="106"/>
      <c r="O317" s="106"/>
      <c r="P317" s="106"/>
      <c r="Q317" s="106"/>
    </row>
    <row r="318" spans="7:17">
      <c r="G318" s="106"/>
      <c r="H318" s="106"/>
      <c r="I318" s="106"/>
      <c r="J318" s="106"/>
      <c r="K318" s="106"/>
      <c r="L318" s="106"/>
      <c r="M318" s="106"/>
      <c r="N318" s="106"/>
      <c r="O318" s="106"/>
      <c r="P318" s="106"/>
      <c r="Q318" s="106"/>
    </row>
    <row r="319" spans="7:17">
      <c r="G319" s="106"/>
      <c r="H319" s="106"/>
      <c r="I319" s="106"/>
      <c r="J319" s="106"/>
      <c r="K319" s="106"/>
      <c r="L319" s="106"/>
      <c r="M319" s="106"/>
      <c r="N319" s="106"/>
      <c r="O319" s="106"/>
      <c r="P319" s="106"/>
      <c r="Q319" s="106"/>
    </row>
    <row r="320" spans="7:17">
      <c r="G320" s="106"/>
      <c r="H320" s="106"/>
      <c r="I320" s="106"/>
      <c r="J320" s="106"/>
      <c r="K320" s="106"/>
      <c r="L320" s="106"/>
      <c r="M320" s="106"/>
      <c r="N320" s="106"/>
      <c r="O320" s="106"/>
      <c r="P320" s="106"/>
      <c r="Q320" s="106"/>
    </row>
    <row r="321" spans="7:17">
      <c r="G321" s="106"/>
      <c r="H321" s="106"/>
      <c r="I321" s="106"/>
      <c r="J321" s="106"/>
      <c r="K321" s="106"/>
      <c r="L321" s="106"/>
      <c r="M321" s="106"/>
      <c r="N321" s="106"/>
      <c r="O321" s="106"/>
      <c r="P321" s="106"/>
      <c r="Q321" s="106"/>
    </row>
    <row r="322" spans="7:17">
      <c r="G322" s="106"/>
      <c r="H322" s="106"/>
      <c r="I322" s="106"/>
      <c r="J322" s="106"/>
      <c r="K322" s="106"/>
      <c r="L322" s="106"/>
      <c r="M322" s="106"/>
      <c r="N322" s="106"/>
      <c r="O322" s="106"/>
      <c r="P322" s="106"/>
      <c r="Q322" s="106"/>
    </row>
    <row r="323" spans="7:17">
      <c r="G323" s="106"/>
      <c r="H323" s="106"/>
      <c r="I323" s="106"/>
      <c r="J323" s="106"/>
      <c r="K323" s="106"/>
      <c r="L323" s="106"/>
      <c r="M323" s="106"/>
      <c r="N323" s="106"/>
      <c r="O323" s="106"/>
      <c r="P323" s="106"/>
      <c r="Q323" s="106"/>
    </row>
    <row r="324" spans="7:17">
      <c r="G324" s="106"/>
      <c r="H324" s="106"/>
      <c r="I324" s="106"/>
      <c r="J324" s="106"/>
      <c r="K324" s="106"/>
      <c r="L324" s="106"/>
      <c r="M324" s="106"/>
      <c r="N324" s="106"/>
      <c r="O324" s="106"/>
      <c r="P324" s="106"/>
      <c r="Q324" s="106"/>
    </row>
    <row r="325" spans="7:17">
      <c r="G325" s="106"/>
      <c r="H325" s="106"/>
      <c r="I325" s="106"/>
      <c r="J325" s="106"/>
      <c r="K325" s="106"/>
      <c r="L325" s="106"/>
      <c r="M325" s="106"/>
      <c r="N325" s="106"/>
      <c r="O325" s="106"/>
      <c r="P325" s="106"/>
      <c r="Q325" s="106"/>
    </row>
    <row r="326" spans="7:17">
      <c r="G326" s="106"/>
      <c r="H326" s="106"/>
      <c r="I326" s="106"/>
      <c r="J326" s="106"/>
      <c r="K326" s="106"/>
      <c r="L326" s="106"/>
      <c r="M326" s="106"/>
      <c r="N326" s="106"/>
      <c r="O326" s="106"/>
      <c r="P326" s="106"/>
      <c r="Q326" s="106"/>
    </row>
    <row r="327" spans="7:17">
      <c r="G327" s="106"/>
      <c r="H327" s="106"/>
      <c r="I327" s="106"/>
      <c r="J327" s="106"/>
      <c r="K327" s="106"/>
      <c r="L327" s="106"/>
      <c r="M327" s="106"/>
      <c r="N327" s="106"/>
      <c r="O327" s="106"/>
      <c r="P327" s="106"/>
      <c r="Q327" s="106"/>
    </row>
    <row r="328" spans="7:17">
      <c r="G328" s="106"/>
      <c r="H328" s="106"/>
      <c r="I328" s="106"/>
      <c r="J328" s="106"/>
      <c r="K328" s="106"/>
      <c r="L328" s="106"/>
      <c r="M328" s="106"/>
      <c r="N328" s="106"/>
      <c r="O328" s="106"/>
      <c r="P328" s="106"/>
      <c r="Q328" s="106"/>
    </row>
    <row r="329" spans="7:17">
      <c r="G329" s="106"/>
      <c r="H329" s="106"/>
      <c r="I329" s="106"/>
      <c r="J329" s="106"/>
      <c r="K329" s="106"/>
      <c r="L329" s="106"/>
      <c r="M329" s="106"/>
      <c r="N329" s="106"/>
      <c r="O329" s="106"/>
      <c r="P329" s="106"/>
      <c r="Q329" s="106"/>
    </row>
    <row r="330" spans="7:17">
      <c r="G330" s="106"/>
      <c r="H330" s="106"/>
      <c r="I330" s="106"/>
      <c r="J330" s="106"/>
      <c r="K330" s="106"/>
      <c r="L330" s="106"/>
      <c r="M330" s="106"/>
      <c r="N330" s="106"/>
      <c r="O330" s="106"/>
      <c r="P330" s="106"/>
      <c r="Q330" s="106"/>
    </row>
    <row r="331" spans="7:17">
      <c r="G331" s="106"/>
      <c r="H331" s="106"/>
      <c r="I331" s="106"/>
      <c r="J331" s="106"/>
      <c r="K331" s="106"/>
      <c r="L331" s="106"/>
      <c r="M331" s="106"/>
      <c r="N331" s="106"/>
      <c r="O331" s="106"/>
      <c r="P331" s="106"/>
      <c r="Q331" s="106"/>
    </row>
    <row r="332" spans="7:17">
      <c r="G332" s="106"/>
      <c r="H332" s="106"/>
      <c r="I332" s="106"/>
      <c r="J332" s="106"/>
      <c r="K332" s="106"/>
      <c r="L332" s="106"/>
      <c r="M332" s="106"/>
      <c r="N332" s="106"/>
      <c r="O332" s="106"/>
      <c r="P332" s="106"/>
      <c r="Q332" s="106"/>
    </row>
    <row r="333" spans="7:17">
      <c r="G333" s="106"/>
      <c r="H333" s="106"/>
      <c r="I333" s="106"/>
      <c r="J333" s="106"/>
      <c r="K333" s="106"/>
      <c r="L333" s="106"/>
      <c r="M333" s="106"/>
      <c r="N333" s="106"/>
      <c r="O333" s="106"/>
      <c r="P333" s="106"/>
      <c r="Q333" s="106"/>
    </row>
    <row r="334" spans="7:17">
      <c r="G334" s="106"/>
      <c r="H334" s="106"/>
      <c r="I334" s="106"/>
      <c r="J334" s="106"/>
      <c r="K334" s="106"/>
      <c r="L334" s="106"/>
      <c r="M334" s="106"/>
      <c r="N334" s="106"/>
      <c r="O334" s="106"/>
      <c r="P334" s="106"/>
      <c r="Q334" s="106"/>
    </row>
    <row r="335" spans="7:17">
      <c r="G335" s="106"/>
      <c r="H335" s="106"/>
      <c r="I335" s="106"/>
      <c r="J335" s="106"/>
      <c r="K335" s="106"/>
      <c r="L335" s="106"/>
      <c r="M335" s="106"/>
      <c r="N335" s="106"/>
      <c r="O335" s="106"/>
      <c r="P335" s="106"/>
      <c r="Q335" s="106"/>
    </row>
    <row r="336" spans="7:17">
      <c r="G336" s="106"/>
      <c r="H336" s="106"/>
      <c r="I336" s="106"/>
      <c r="J336" s="106"/>
      <c r="K336" s="106"/>
      <c r="L336" s="106"/>
      <c r="M336" s="106"/>
      <c r="N336" s="106"/>
      <c r="O336" s="106"/>
      <c r="P336" s="106"/>
      <c r="Q336" s="106"/>
    </row>
    <row r="337" spans="7:17">
      <c r="G337" s="106"/>
      <c r="H337" s="106"/>
      <c r="I337" s="106"/>
      <c r="J337" s="106"/>
      <c r="K337" s="106"/>
      <c r="L337" s="106"/>
      <c r="M337" s="106"/>
      <c r="N337" s="106"/>
      <c r="O337" s="106"/>
      <c r="P337" s="106"/>
      <c r="Q337" s="106"/>
    </row>
    <row r="338" spans="7:17">
      <c r="G338" s="106"/>
      <c r="H338" s="106"/>
      <c r="I338" s="106"/>
      <c r="J338" s="106"/>
      <c r="K338" s="106"/>
      <c r="L338" s="106"/>
      <c r="M338" s="106"/>
      <c r="N338" s="106"/>
      <c r="O338" s="106"/>
      <c r="P338" s="106"/>
      <c r="Q338" s="106"/>
    </row>
    <row r="339" spans="7:17">
      <c r="G339" s="106"/>
      <c r="H339" s="106"/>
      <c r="I339" s="106"/>
      <c r="J339" s="106"/>
      <c r="K339" s="106"/>
      <c r="L339" s="106"/>
      <c r="M339" s="106"/>
      <c r="N339" s="106"/>
      <c r="O339" s="106"/>
      <c r="P339" s="106"/>
      <c r="Q339" s="106"/>
    </row>
    <row r="340" spans="7:17">
      <c r="G340" s="106"/>
      <c r="H340" s="106"/>
      <c r="I340" s="106"/>
      <c r="J340" s="106"/>
      <c r="K340" s="106"/>
      <c r="L340" s="106"/>
      <c r="M340" s="106"/>
      <c r="N340" s="106"/>
      <c r="O340" s="106"/>
      <c r="P340" s="106"/>
      <c r="Q340" s="106"/>
    </row>
    <row r="341" spans="7:17">
      <c r="G341" s="106"/>
      <c r="H341" s="106"/>
      <c r="I341" s="106"/>
      <c r="J341" s="106"/>
      <c r="K341" s="106"/>
      <c r="L341" s="106"/>
      <c r="M341" s="106"/>
      <c r="N341" s="106"/>
      <c r="O341" s="106"/>
      <c r="P341" s="106"/>
      <c r="Q341" s="106"/>
    </row>
    <row r="342" spans="7:17">
      <c r="G342" s="106"/>
      <c r="H342" s="106"/>
      <c r="I342" s="106"/>
      <c r="J342" s="106"/>
      <c r="K342" s="106"/>
      <c r="L342" s="106"/>
      <c r="M342" s="106"/>
      <c r="N342" s="106"/>
      <c r="O342" s="106"/>
      <c r="P342" s="106"/>
      <c r="Q342" s="106"/>
    </row>
    <row r="343" spans="7:17">
      <c r="G343" s="106"/>
      <c r="H343" s="106"/>
      <c r="I343" s="106"/>
      <c r="J343" s="106"/>
      <c r="K343" s="106"/>
      <c r="L343" s="106"/>
      <c r="M343" s="106"/>
      <c r="N343" s="106"/>
      <c r="O343" s="106"/>
      <c r="P343" s="106"/>
      <c r="Q343" s="106"/>
    </row>
    <row r="344" spans="7:17">
      <c r="G344" s="106"/>
      <c r="H344" s="106"/>
      <c r="I344" s="106"/>
      <c r="J344" s="106"/>
      <c r="K344" s="106"/>
      <c r="L344" s="106"/>
      <c r="M344" s="106"/>
      <c r="N344" s="106"/>
      <c r="O344" s="106"/>
      <c r="P344" s="106"/>
      <c r="Q344" s="106"/>
    </row>
    <row r="345" spans="7:17">
      <c r="G345" s="106"/>
      <c r="H345" s="106"/>
      <c r="I345" s="106"/>
      <c r="J345" s="106"/>
      <c r="K345" s="106"/>
      <c r="L345" s="106"/>
      <c r="M345" s="106"/>
      <c r="N345" s="106"/>
      <c r="O345" s="106"/>
      <c r="P345" s="106"/>
      <c r="Q345" s="106"/>
    </row>
    <row r="346" spans="7:17">
      <c r="G346" s="106"/>
      <c r="H346" s="106"/>
      <c r="I346" s="106"/>
      <c r="J346" s="106"/>
      <c r="K346" s="106"/>
      <c r="L346" s="106"/>
      <c r="M346" s="106"/>
      <c r="N346" s="106"/>
      <c r="O346" s="106"/>
      <c r="P346" s="106"/>
      <c r="Q346" s="106"/>
    </row>
    <row r="347" spans="7:17">
      <c r="G347" s="106"/>
      <c r="H347" s="106"/>
      <c r="I347" s="106"/>
      <c r="J347" s="106"/>
      <c r="K347" s="106"/>
      <c r="L347" s="106"/>
      <c r="M347" s="106"/>
      <c r="N347" s="106"/>
      <c r="O347" s="106"/>
      <c r="P347" s="106"/>
      <c r="Q347" s="106"/>
    </row>
    <row r="348" spans="7:17">
      <c r="G348" s="106"/>
      <c r="H348" s="106"/>
      <c r="I348" s="106"/>
      <c r="J348" s="106"/>
      <c r="K348" s="106"/>
      <c r="L348" s="106"/>
      <c r="M348" s="106"/>
      <c r="N348" s="106"/>
      <c r="O348" s="106"/>
      <c r="P348" s="106"/>
      <c r="Q348" s="106"/>
    </row>
    <row r="349" spans="7:17">
      <c r="G349" s="106"/>
      <c r="H349" s="106"/>
      <c r="I349" s="106"/>
      <c r="J349" s="106"/>
      <c r="K349" s="106"/>
      <c r="L349" s="106"/>
      <c r="M349" s="106"/>
      <c r="N349" s="106"/>
      <c r="O349" s="106"/>
      <c r="P349" s="106"/>
      <c r="Q349" s="106"/>
    </row>
    <row r="350" spans="7:17">
      <c r="G350" s="106"/>
      <c r="H350" s="106"/>
      <c r="I350" s="106"/>
      <c r="J350" s="106"/>
      <c r="K350" s="106"/>
      <c r="L350" s="106"/>
      <c r="M350" s="106"/>
      <c r="N350" s="106"/>
      <c r="O350" s="106"/>
      <c r="P350" s="106"/>
      <c r="Q350" s="106"/>
    </row>
    <row r="351" spans="7:17">
      <c r="G351" s="106"/>
      <c r="H351" s="106"/>
      <c r="I351" s="106"/>
      <c r="J351" s="106"/>
      <c r="K351" s="106"/>
      <c r="L351" s="106"/>
      <c r="M351" s="106"/>
      <c r="N351" s="106"/>
      <c r="O351" s="106"/>
      <c r="P351" s="106"/>
      <c r="Q351" s="106"/>
    </row>
    <row r="352" spans="7:17">
      <c r="G352" s="106"/>
      <c r="H352" s="106"/>
      <c r="I352" s="106"/>
      <c r="J352" s="106"/>
      <c r="K352" s="106"/>
      <c r="L352" s="106"/>
      <c r="M352" s="106"/>
      <c r="N352" s="106"/>
      <c r="O352" s="106"/>
      <c r="P352" s="106"/>
      <c r="Q352" s="106"/>
    </row>
    <row r="353" spans="7:17">
      <c r="G353" s="106"/>
      <c r="H353" s="106"/>
      <c r="I353" s="106"/>
      <c r="J353" s="106"/>
      <c r="K353" s="106"/>
      <c r="L353" s="106"/>
      <c r="M353" s="106"/>
      <c r="N353" s="106"/>
      <c r="O353" s="106"/>
      <c r="P353" s="106"/>
      <c r="Q353" s="106"/>
    </row>
    <row r="354" spans="7:17">
      <c r="G354" s="106"/>
      <c r="H354" s="106"/>
      <c r="I354" s="106"/>
      <c r="J354" s="106"/>
      <c r="K354" s="106"/>
      <c r="L354" s="106"/>
      <c r="M354" s="106"/>
      <c r="N354" s="106"/>
      <c r="O354" s="106"/>
      <c r="P354" s="106"/>
      <c r="Q354" s="106"/>
    </row>
    <row r="355" spans="7:17">
      <c r="G355" s="106"/>
      <c r="H355" s="106"/>
      <c r="I355" s="106"/>
      <c r="J355" s="106"/>
      <c r="K355" s="106"/>
      <c r="L355" s="106"/>
      <c r="M355" s="106"/>
      <c r="N355" s="106"/>
      <c r="O355" s="106"/>
      <c r="P355" s="106"/>
      <c r="Q355" s="106"/>
    </row>
    <row r="356" spans="7:17">
      <c r="G356" s="106"/>
      <c r="H356" s="106"/>
      <c r="I356" s="106"/>
      <c r="J356" s="106"/>
      <c r="K356" s="106"/>
      <c r="L356" s="106"/>
      <c r="M356" s="106"/>
      <c r="N356" s="106"/>
      <c r="O356" s="106"/>
      <c r="P356" s="106"/>
      <c r="Q356" s="106"/>
    </row>
    <row r="357" spans="7:17">
      <c r="G357" s="106"/>
      <c r="H357" s="106"/>
      <c r="I357" s="106"/>
      <c r="J357" s="106"/>
      <c r="K357" s="106"/>
      <c r="L357" s="106"/>
      <c r="M357" s="106"/>
      <c r="N357" s="106"/>
      <c r="O357" s="106"/>
      <c r="P357" s="106"/>
      <c r="Q357" s="106"/>
    </row>
    <row r="358" spans="7:17">
      <c r="G358" s="106"/>
      <c r="H358" s="106"/>
      <c r="I358" s="106"/>
      <c r="J358" s="106"/>
      <c r="K358" s="106"/>
      <c r="L358" s="106"/>
      <c r="M358" s="106"/>
      <c r="N358" s="106"/>
      <c r="O358" s="106"/>
      <c r="P358" s="106"/>
      <c r="Q358" s="106"/>
    </row>
    <row r="359" spans="7:17">
      <c r="G359" s="106"/>
      <c r="H359" s="106"/>
      <c r="I359" s="106"/>
      <c r="J359" s="106"/>
      <c r="K359" s="106"/>
      <c r="L359" s="106"/>
      <c r="M359" s="106"/>
      <c r="N359" s="106"/>
      <c r="O359" s="106"/>
      <c r="P359" s="106"/>
      <c r="Q359" s="106"/>
    </row>
    <row r="360" spans="7:17">
      <c r="G360" s="106"/>
      <c r="H360" s="106"/>
      <c r="I360" s="106"/>
      <c r="J360" s="106"/>
      <c r="K360" s="106"/>
      <c r="L360" s="106"/>
      <c r="M360" s="106"/>
      <c r="N360" s="106"/>
      <c r="O360" s="106"/>
      <c r="P360" s="106"/>
      <c r="Q360" s="106"/>
    </row>
    <row r="361" spans="7:17">
      <c r="G361" s="106"/>
      <c r="H361" s="106"/>
      <c r="I361" s="106"/>
      <c r="J361" s="106"/>
      <c r="K361" s="106"/>
      <c r="L361" s="106"/>
      <c r="M361" s="106"/>
      <c r="N361" s="106"/>
      <c r="O361" s="106"/>
      <c r="P361" s="106"/>
      <c r="Q361" s="106"/>
    </row>
    <row r="362" spans="7:17">
      <c r="G362" s="106"/>
      <c r="H362" s="106"/>
      <c r="I362" s="106"/>
      <c r="J362" s="106"/>
      <c r="K362" s="106"/>
      <c r="L362" s="106"/>
      <c r="M362" s="106"/>
      <c r="N362" s="106"/>
      <c r="O362" s="106"/>
      <c r="P362" s="106"/>
      <c r="Q362" s="106"/>
    </row>
    <row r="363" spans="7:17">
      <c r="G363" s="106"/>
      <c r="H363" s="106"/>
      <c r="I363" s="106"/>
      <c r="J363" s="106"/>
      <c r="K363" s="106"/>
      <c r="L363" s="106"/>
      <c r="M363" s="106"/>
      <c r="N363" s="106"/>
      <c r="O363" s="106"/>
      <c r="P363" s="106"/>
      <c r="Q363" s="106"/>
    </row>
    <row r="364" spans="7:17">
      <c r="G364" s="106"/>
      <c r="H364" s="106"/>
      <c r="I364" s="106"/>
      <c r="J364" s="106"/>
      <c r="K364" s="106"/>
      <c r="L364" s="106"/>
      <c r="M364" s="106"/>
      <c r="N364" s="106"/>
      <c r="O364" s="106"/>
      <c r="P364" s="106"/>
      <c r="Q364" s="106"/>
    </row>
    <row r="365" spans="7:17">
      <c r="G365" s="106"/>
      <c r="H365" s="106"/>
      <c r="I365" s="106"/>
      <c r="J365" s="106"/>
      <c r="K365" s="106"/>
      <c r="L365" s="106"/>
      <c r="M365" s="106"/>
      <c r="N365" s="106"/>
      <c r="O365" s="106"/>
      <c r="P365" s="106"/>
      <c r="Q365" s="106"/>
    </row>
    <row r="366" spans="7:17">
      <c r="G366" s="106"/>
      <c r="H366" s="106"/>
      <c r="I366" s="106"/>
      <c r="J366" s="106"/>
      <c r="K366" s="106"/>
      <c r="L366" s="106"/>
      <c r="M366" s="106"/>
      <c r="N366" s="106"/>
      <c r="O366" s="106"/>
      <c r="P366" s="106"/>
      <c r="Q366" s="106"/>
    </row>
    <row r="367" spans="7:17">
      <c r="G367" s="106"/>
      <c r="H367" s="106"/>
      <c r="I367" s="106"/>
      <c r="J367" s="106"/>
      <c r="K367" s="106"/>
      <c r="L367" s="106"/>
      <c r="M367" s="106"/>
      <c r="N367" s="106"/>
      <c r="O367" s="106"/>
      <c r="P367" s="106"/>
      <c r="Q367" s="106"/>
    </row>
    <row r="368" spans="7:17">
      <c r="G368" s="106"/>
      <c r="H368" s="106"/>
      <c r="I368" s="106"/>
      <c r="J368" s="106"/>
      <c r="K368" s="106"/>
      <c r="L368" s="106"/>
      <c r="M368" s="106"/>
      <c r="N368" s="106"/>
      <c r="O368" s="106"/>
      <c r="P368" s="106"/>
      <c r="Q368" s="106"/>
    </row>
    <row r="369" spans="7:17">
      <c r="G369" s="106"/>
      <c r="H369" s="106"/>
      <c r="I369" s="106"/>
      <c r="J369" s="106"/>
      <c r="K369" s="106"/>
      <c r="L369" s="106"/>
      <c r="M369" s="106"/>
      <c r="N369" s="106"/>
      <c r="O369" s="106"/>
      <c r="P369" s="106"/>
      <c r="Q369" s="106"/>
    </row>
    <row r="370" spans="7:17">
      <c r="G370" s="106"/>
      <c r="H370" s="106"/>
      <c r="I370" s="106"/>
      <c r="J370" s="106"/>
      <c r="K370" s="106"/>
      <c r="L370" s="106"/>
      <c r="M370" s="106"/>
      <c r="N370" s="106"/>
      <c r="O370" s="106"/>
      <c r="P370" s="106"/>
      <c r="Q370" s="106"/>
    </row>
    <row r="371" spans="7:17">
      <c r="G371" s="106"/>
      <c r="H371" s="106"/>
      <c r="I371" s="106"/>
      <c r="J371" s="106"/>
      <c r="K371" s="106"/>
      <c r="L371" s="106"/>
      <c r="M371" s="106"/>
      <c r="N371" s="106"/>
      <c r="O371" s="106"/>
      <c r="P371" s="106"/>
      <c r="Q371" s="106"/>
    </row>
    <row r="372" spans="7:17">
      <c r="G372" s="106"/>
      <c r="H372" s="106"/>
      <c r="I372" s="106"/>
      <c r="J372" s="106"/>
      <c r="K372" s="106"/>
      <c r="L372" s="106"/>
      <c r="M372" s="106"/>
      <c r="N372" s="106"/>
      <c r="O372" s="106"/>
      <c r="P372" s="106"/>
      <c r="Q372" s="106"/>
    </row>
    <row r="373" spans="7:17">
      <c r="G373" s="106"/>
      <c r="H373" s="106"/>
      <c r="I373" s="106"/>
      <c r="J373" s="106"/>
      <c r="K373" s="106"/>
      <c r="L373" s="106"/>
      <c r="M373" s="106"/>
      <c r="N373" s="106"/>
      <c r="O373" s="106"/>
      <c r="P373" s="106"/>
      <c r="Q373" s="106"/>
    </row>
    <row r="374" spans="7:17">
      <c r="G374" s="106"/>
      <c r="H374" s="106"/>
      <c r="I374" s="106"/>
      <c r="J374" s="106"/>
      <c r="K374" s="106"/>
      <c r="L374" s="106"/>
      <c r="M374" s="106"/>
      <c r="N374" s="106"/>
      <c r="O374" s="106"/>
      <c r="P374" s="106"/>
      <c r="Q374" s="106"/>
    </row>
    <row r="375" spans="7:17">
      <c r="G375" s="106"/>
      <c r="H375" s="106"/>
      <c r="I375" s="106"/>
      <c r="J375" s="106"/>
      <c r="K375" s="106"/>
      <c r="L375" s="106"/>
      <c r="M375" s="106"/>
      <c r="N375" s="106"/>
      <c r="O375" s="106"/>
      <c r="P375" s="106"/>
      <c r="Q375" s="106"/>
    </row>
    <row r="376" spans="7:17">
      <c r="G376" s="106"/>
      <c r="H376" s="106"/>
      <c r="I376" s="106"/>
      <c r="J376" s="106"/>
      <c r="K376" s="106"/>
      <c r="L376" s="106"/>
      <c r="M376" s="106"/>
      <c r="N376" s="106"/>
      <c r="O376" s="106"/>
      <c r="P376" s="106"/>
      <c r="Q376" s="106"/>
    </row>
    <row r="377" spans="7:17">
      <c r="G377" s="106"/>
      <c r="H377" s="106"/>
      <c r="I377" s="106"/>
      <c r="J377" s="106"/>
      <c r="K377" s="106"/>
      <c r="L377" s="106"/>
      <c r="M377" s="106"/>
      <c r="N377" s="106"/>
      <c r="O377" s="106"/>
      <c r="P377" s="106"/>
      <c r="Q377" s="106"/>
    </row>
    <row r="378" spans="7:17">
      <c r="G378" s="106"/>
      <c r="H378" s="106"/>
      <c r="I378" s="106"/>
      <c r="J378" s="106"/>
      <c r="K378" s="106"/>
      <c r="L378" s="106"/>
      <c r="M378" s="106"/>
      <c r="N378" s="106"/>
      <c r="O378" s="106"/>
      <c r="P378" s="106"/>
      <c r="Q378" s="106"/>
    </row>
    <row r="379" spans="7:17">
      <c r="G379" s="106"/>
      <c r="H379" s="106"/>
      <c r="I379" s="106"/>
      <c r="J379" s="106"/>
      <c r="K379" s="106"/>
      <c r="L379" s="106"/>
      <c r="M379" s="106"/>
      <c r="N379" s="106"/>
      <c r="O379" s="106"/>
      <c r="P379" s="106"/>
      <c r="Q379" s="106"/>
    </row>
    <row r="380" spans="7:17">
      <c r="G380" s="106"/>
      <c r="H380" s="106"/>
      <c r="I380" s="106"/>
      <c r="J380" s="106"/>
      <c r="K380" s="106"/>
      <c r="L380" s="106"/>
      <c r="M380" s="106"/>
      <c r="N380" s="106"/>
      <c r="O380" s="106"/>
      <c r="P380" s="106"/>
      <c r="Q380" s="106"/>
    </row>
    <row r="381" spans="7:17">
      <c r="G381" s="106"/>
      <c r="H381" s="106"/>
      <c r="I381" s="106"/>
      <c r="J381" s="106"/>
      <c r="K381" s="106"/>
      <c r="L381" s="106"/>
      <c r="M381" s="106"/>
      <c r="N381" s="106"/>
      <c r="O381" s="106"/>
      <c r="P381" s="106"/>
      <c r="Q381" s="106"/>
    </row>
    <row r="382" spans="7:17">
      <c r="G382" s="106"/>
      <c r="H382" s="106"/>
      <c r="I382" s="106"/>
      <c r="J382" s="106"/>
      <c r="K382" s="106"/>
      <c r="L382" s="106"/>
      <c r="M382" s="106"/>
      <c r="N382" s="106"/>
      <c r="O382" s="106"/>
      <c r="P382" s="106"/>
      <c r="Q382" s="106"/>
    </row>
    <row r="383" spans="7:17">
      <c r="G383" s="106"/>
      <c r="H383" s="106"/>
      <c r="I383" s="106"/>
      <c r="J383" s="106"/>
      <c r="K383" s="106"/>
      <c r="L383" s="106"/>
      <c r="M383" s="106"/>
      <c r="N383" s="106"/>
      <c r="O383" s="106"/>
      <c r="P383" s="106"/>
      <c r="Q383" s="106"/>
    </row>
    <row r="384" spans="7:17">
      <c r="G384" s="106"/>
      <c r="H384" s="106"/>
      <c r="I384" s="106"/>
      <c r="J384" s="106"/>
      <c r="K384" s="106"/>
      <c r="L384" s="106"/>
      <c r="M384" s="106"/>
      <c r="N384" s="106"/>
      <c r="O384" s="106"/>
      <c r="P384" s="106"/>
      <c r="Q384" s="106"/>
    </row>
    <row r="385" spans="7:17">
      <c r="G385" s="106"/>
      <c r="H385" s="106"/>
      <c r="I385" s="106"/>
      <c r="J385" s="106"/>
      <c r="K385" s="106"/>
      <c r="L385" s="106"/>
      <c r="M385" s="106"/>
      <c r="N385" s="106"/>
      <c r="O385" s="106"/>
      <c r="P385" s="106"/>
      <c r="Q385" s="106"/>
    </row>
    <row r="386" spans="7:17">
      <c r="G386" s="106"/>
      <c r="H386" s="106"/>
      <c r="I386" s="106"/>
      <c r="J386" s="106"/>
      <c r="K386" s="106"/>
      <c r="L386" s="106"/>
      <c r="M386" s="106"/>
      <c r="N386" s="106"/>
      <c r="O386" s="106"/>
      <c r="P386" s="106"/>
      <c r="Q386" s="106"/>
    </row>
    <row r="387" spans="7:17">
      <c r="G387" s="106"/>
      <c r="H387" s="106"/>
      <c r="I387" s="106"/>
      <c r="J387" s="106"/>
      <c r="K387" s="106"/>
      <c r="L387" s="106"/>
      <c r="M387" s="106"/>
      <c r="N387" s="106"/>
      <c r="O387" s="106"/>
      <c r="P387" s="106"/>
      <c r="Q387" s="106"/>
    </row>
    <row r="388" spans="7:17">
      <c r="G388" s="106"/>
      <c r="H388" s="106"/>
      <c r="I388" s="106"/>
      <c r="J388" s="106"/>
      <c r="K388" s="106"/>
      <c r="L388" s="106"/>
      <c r="M388" s="106"/>
      <c r="N388" s="106"/>
      <c r="O388" s="106"/>
      <c r="P388" s="106"/>
      <c r="Q388" s="106"/>
    </row>
    <row r="389" spans="7:17">
      <c r="G389" s="106"/>
      <c r="H389" s="106"/>
      <c r="I389" s="106"/>
      <c r="J389" s="106"/>
      <c r="K389" s="106"/>
      <c r="L389" s="106"/>
      <c r="M389" s="106"/>
      <c r="N389" s="106"/>
      <c r="O389" s="106"/>
      <c r="P389" s="106"/>
      <c r="Q389" s="106"/>
    </row>
    <row r="390" spans="7:17">
      <c r="G390" s="106"/>
      <c r="H390" s="106"/>
      <c r="I390" s="106"/>
      <c r="J390" s="106"/>
      <c r="K390" s="106"/>
      <c r="L390" s="106"/>
      <c r="M390" s="106"/>
      <c r="N390" s="106"/>
      <c r="O390" s="106"/>
      <c r="P390" s="106"/>
      <c r="Q390" s="106"/>
    </row>
    <row r="391" spans="7:17">
      <c r="G391" s="106"/>
      <c r="H391" s="106"/>
      <c r="I391" s="106"/>
      <c r="J391" s="106"/>
      <c r="K391" s="106"/>
      <c r="L391" s="106"/>
      <c r="M391" s="106"/>
      <c r="N391" s="106"/>
      <c r="O391" s="106"/>
      <c r="P391" s="106"/>
      <c r="Q391" s="106"/>
    </row>
    <row r="392" spans="7:17">
      <c r="G392" s="106"/>
      <c r="H392" s="106"/>
      <c r="I392" s="106"/>
      <c r="J392" s="106"/>
      <c r="K392" s="106"/>
      <c r="L392" s="106"/>
      <c r="M392" s="106"/>
      <c r="N392" s="106"/>
      <c r="O392" s="106"/>
      <c r="P392" s="106"/>
      <c r="Q392" s="106"/>
    </row>
    <row r="393" spans="7:17">
      <c r="G393" s="106"/>
      <c r="H393" s="106"/>
      <c r="I393" s="106"/>
      <c r="J393" s="106"/>
      <c r="K393" s="106"/>
      <c r="L393" s="106"/>
      <c r="M393" s="106"/>
      <c r="N393" s="106"/>
      <c r="O393" s="106"/>
      <c r="P393" s="106"/>
      <c r="Q393" s="106"/>
    </row>
    <row r="394" spans="7:17">
      <c r="G394" s="106"/>
      <c r="H394" s="106"/>
      <c r="I394" s="106"/>
      <c r="J394" s="106"/>
      <c r="K394" s="106"/>
      <c r="L394" s="106"/>
      <c r="M394" s="106"/>
      <c r="N394" s="106"/>
      <c r="O394" s="106"/>
      <c r="P394" s="106"/>
      <c r="Q394" s="106"/>
    </row>
    <row r="395" spans="7:17">
      <c r="G395" s="106"/>
      <c r="H395" s="106"/>
      <c r="I395" s="106"/>
      <c r="J395" s="106"/>
      <c r="K395" s="106"/>
      <c r="L395" s="106"/>
      <c r="M395" s="106"/>
      <c r="N395" s="106"/>
      <c r="O395" s="106"/>
      <c r="P395" s="106"/>
      <c r="Q395" s="106"/>
    </row>
    <row r="396" spans="7:17">
      <c r="G396" s="106"/>
      <c r="H396" s="106"/>
      <c r="I396" s="106"/>
      <c r="J396" s="106"/>
      <c r="K396" s="106"/>
      <c r="L396" s="106"/>
      <c r="M396" s="106"/>
      <c r="N396" s="106"/>
      <c r="O396" s="106"/>
      <c r="P396" s="106"/>
      <c r="Q396" s="106"/>
    </row>
    <row r="397" spans="7:17">
      <c r="G397" s="106"/>
      <c r="H397" s="106"/>
      <c r="I397" s="106"/>
      <c r="J397" s="106"/>
      <c r="K397" s="106"/>
      <c r="L397" s="106"/>
      <c r="M397" s="106"/>
      <c r="N397" s="106"/>
      <c r="O397" s="106"/>
      <c r="P397" s="106"/>
      <c r="Q397" s="106"/>
    </row>
    <row r="398" spans="7:17">
      <c r="G398" s="106"/>
      <c r="H398" s="106"/>
      <c r="I398" s="106"/>
      <c r="J398" s="106"/>
      <c r="K398" s="106"/>
      <c r="L398" s="106"/>
      <c r="M398" s="106"/>
      <c r="N398" s="106"/>
      <c r="O398" s="106"/>
      <c r="P398" s="106"/>
      <c r="Q398" s="106"/>
    </row>
    <row r="399" spans="7:17">
      <c r="G399" s="106"/>
      <c r="H399" s="106"/>
      <c r="I399" s="106"/>
      <c r="J399" s="106"/>
      <c r="K399" s="106"/>
      <c r="L399" s="106"/>
      <c r="M399" s="106"/>
      <c r="N399" s="106"/>
      <c r="O399" s="106"/>
      <c r="P399" s="106"/>
      <c r="Q399" s="106"/>
    </row>
    <row r="400" spans="7:17">
      <c r="G400" s="106"/>
      <c r="H400" s="106"/>
      <c r="I400" s="106"/>
      <c r="J400" s="106"/>
      <c r="K400" s="106"/>
      <c r="L400" s="106"/>
      <c r="M400" s="106"/>
      <c r="N400" s="106"/>
      <c r="O400" s="106"/>
      <c r="P400" s="106"/>
      <c r="Q400" s="106"/>
    </row>
    <row r="401" spans="7:17">
      <c r="G401" s="106"/>
      <c r="H401" s="106"/>
      <c r="I401" s="106"/>
      <c r="J401" s="106"/>
      <c r="K401" s="106"/>
      <c r="L401" s="106"/>
      <c r="M401" s="106"/>
      <c r="N401" s="106"/>
      <c r="O401" s="106"/>
      <c r="P401" s="106"/>
      <c r="Q401" s="106"/>
    </row>
    <row r="402" spans="7:17">
      <c r="G402" s="106"/>
      <c r="H402" s="106"/>
      <c r="I402" s="106"/>
      <c r="J402" s="106"/>
      <c r="K402" s="106"/>
      <c r="L402" s="106"/>
      <c r="M402" s="106"/>
      <c r="N402" s="106"/>
      <c r="O402" s="106"/>
      <c r="P402" s="106"/>
      <c r="Q402" s="106"/>
    </row>
    <row r="403" spans="7:17">
      <c r="G403" s="106"/>
      <c r="H403" s="106"/>
      <c r="I403" s="106"/>
      <c r="J403" s="106"/>
      <c r="K403" s="106"/>
      <c r="L403" s="106"/>
      <c r="M403" s="106"/>
      <c r="N403" s="106"/>
      <c r="O403" s="106"/>
      <c r="P403" s="106"/>
      <c r="Q403" s="106"/>
    </row>
    <row r="404" spans="7:17">
      <c r="G404" s="106"/>
      <c r="H404" s="106"/>
      <c r="I404" s="106"/>
      <c r="J404" s="106"/>
      <c r="K404" s="106"/>
      <c r="L404" s="106"/>
      <c r="M404" s="106"/>
      <c r="N404" s="106"/>
      <c r="O404" s="106"/>
      <c r="P404" s="106"/>
      <c r="Q404" s="106"/>
    </row>
    <row r="405" spans="7:17">
      <c r="G405" s="106"/>
      <c r="H405" s="106"/>
      <c r="I405" s="106"/>
      <c r="J405" s="106"/>
      <c r="K405" s="106"/>
      <c r="L405" s="106"/>
      <c r="M405" s="106"/>
      <c r="N405" s="106"/>
      <c r="O405" s="106"/>
      <c r="P405" s="106"/>
      <c r="Q405" s="106"/>
    </row>
    <row r="406" spans="7:17">
      <c r="G406" s="106"/>
      <c r="H406" s="106"/>
      <c r="I406" s="106"/>
      <c r="J406" s="106"/>
      <c r="K406" s="106"/>
      <c r="L406" s="106"/>
      <c r="M406" s="106"/>
      <c r="N406" s="106"/>
      <c r="O406" s="106"/>
      <c r="P406" s="106"/>
      <c r="Q406" s="106"/>
    </row>
    <row r="407" spans="7:17">
      <c r="G407" s="106"/>
      <c r="H407" s="106"/>
      <c r="I407" s="106"/>
      <c r="J407" s="106"/>
      <c r="K407" s="106"/>
      <c r="L407" s="106"/>
      <c r="M407" s="106"/>
      <c r="N407" s="106"/>
      <c r="O407" s="106"/>
      <c r="P407" s="106"/>
      <c r="Q407" s="106"/>
    </row>
    <row r="408" spans="7:17">
      <c r="G408" s="106"/>
      <c r="H408" s="106"/>
      <c r="I408" s="106"/>
      <c r="J408" s="106"/>
      <c r="K408" s="106"/>
      <c r="L408" s="106"/>
      <c r="M408" s="106"/>
      <c r="N408" s="106"/>
      <c r="O408" s="106"/>
      <c r="P408" s="106"/>
      <c r="Q408" s="106"/>
    </row>
    <row r="409" spans="7:17">
      <c r="G409" s="106"/>
      <c r="H409" s="106"/>
      <c r="I409" s="106"/>
      <c r="J409" s="106"/>
      <c r="K409" s="106"/>
      <c r="L409" s="106"/>
      <c r="M409" s="106"/>
      <c r="N409" s="106"/>
      <c r="O409" s="106"/>
      <c r="P409" s="106"/>
      <c r="Q409" s="106"/>
    </row>
    <row r="410" spans="7:17">
      <c r="G410" s="106"/>
      <c r="H410" s="106"/>
      <c r="I410" s="106"/>
      <c r="J410" s="106"/>
      <c r="K410" s="106"/>
      <c r="L410" s="106"/>
      <c r="M410" s="106"/>
      <c r="N410" s="106"/>
      <c r="O410" s="106"/>
      <c r="P410" s="106"/>
      <c r="Q410" s="106"/>
    </row>
    <row r="411" spans="7:17">
      <c r="G411" s="106"/>
      <c r="H411" s="106"/>
      <c r="I411" s="106"/>
      <c r="J411" s="106"/>
      <c r="K411" s="106"/>
      <c r="L411" s="106"/>
      <c r="M411" s="106"/>
      <c r="N411" s="106"/>
      <c r="O411" s="106"/>
      <c r="P411" s="106"/>
      <c r="Q411" s="106"/>
    </row>
    <row r="412" spans="7:17">
      <c r="G412" s="106"/>
      <c r="H412" s="106"/>
      <c r="I412" s="106"/>
      <c r="J412" s="106"/>
      <c r="K412" s="106"/>
      <c r="L412" s="106"/>
      <c r="M412" s="106"/>
      <c r="N412" s="106"/>
      <c r="O412" s="106"/>
      <c r="P412" s="106"/>
      <c r="Q412" s="106"/>
    </row>
    <row r="413" spans="7:17">
      <c r="G413" s="106"/>
      <c r="H413" s="106"/>
      <c r="I413" s="106"/>
      <c r="J413" s="106"/>
      <c r="K413" s="106"/>
      <c r="L413" s="106"/>
      <c r="M413" s="106"/>
      <c r="N413" s="106"/>
      <c r="O413" s="106"/>
      <c r="P413" s="106"/>
      <c r="Q413" s="106"/>
    </row>
    <row r="414" spans="7:17">
      <c r="G414" s="106"/>
      <c r="H414" s="106"/>
      <c r="I414" s="106"/>
      <c r="J414" s="106"/>
      <c r="K414" s="106"/>
      <c r="L414" s="106"/>
      <c r="M414" s="106"/>
      <c r="N414" s="106"/>
      <c r="O414" s="106"/>
      <c r="P414" s="106"/>
      <c r="Q414" s="106"/>
    </row>
    <row r="415" spans="7:17">
      <c r="G415" s="106"/>
      <c r="H415" s="106"/>
      <c r="I415" s="106"/>
      <c r="J415" s="106"/>
      <c r="K415" s="106"/>
      <c r="L415" s="106"/>
      <c r="M415" s="106"/>
      <c r="N415" s="106"/>
      <c r="O415" s="106"/>
      <c r="P415" s="106"/>
      <c r="Q415" s="106"/>
    </row>
    <row r="416" spans="7:17">
      <c r="G416" s="106"/>
      <c r="H416" s="106"/>
      <c r="I416" s="106"/>
      <c r="J416" s="106"/>
      <c r="K416" s="106"/>
      <c r="L416" s="106"/>
      <c r="M416" s="106"/>
      <c r="N416" s="106"/>
      <c r="O416" s="106"/>
      <c r="P416" s="106"/>
      <c r="Q416" s="106"/>
    </row>
    <row r="417" spans="7:17">
      <c r="G417" s="106"/>
      <c r="H417" s="106"/>
      <c r="I417" s="106"/>
      <c r="J417" s="106"/>
      <c r="K417" s="106"/>
      <c r="L417" s="106"/>
      <c r="M417" s="106"/>
      <c r="N417" s="106"/>
      <c r="O417" s="106"/>
      <c r="P417" s="106"/>
      <c r="Q417" s="106"/>
    </row>
    <row r="418" spans="7:17">
      <c r="G418" s="106"/>
      <c r="H418" s="106"/>
      <c r="I418" s="106"/>
      <c r="J418" s="106"/>
      <c r="K418" s="106"/>
      <c r="L418" s="106"/>
      <c r="M418" s="106"/>
      <c r="N418" s="106"/>
      <c r="O418" s="106"/>
      <c r="P418" s="106"/>
      <c r="Q418" s="106"/>
    </row>
    <row r="419" spans="7:17">
      <c r="G419" s="106"/>
      <c r="H419" s="106"/>
      <c r="I419" s="106"/>
      <c r="J419" s="106"/>
      <c r="K419" s="106"/>
      <c r="L419" s="106"/>
      <c r="M419" s="106"/>
      <c r="N419" s="106"/>
      <c r="O419" s="106"/>
      <c r="P419" s="106"/>
      <c r="Q419" s="106"/>
    </row>
    <row r="420" spans="7:17">
      <c r="G420" s="106"/>
      <c r="H420" s="106"/>
      <c r="I420" s="106"/>
      <c r="J420" s="106"/>
      <c r="K420" s="106"/>
      <c r="L420" s="106"/>
      <c r="M420" s="106"/>
      <c r="N420" s="106"/>
      <c r="O420" s="106"/>
      <c r="P420" s="106"/>
      <c r="Q420" s="106"/>
    </row>
    <row r="421" spans="7:17">
      <c r="G421" s="106"/>
      <c r="H421" s="106"/>
      <c r="I421" s="106"/>
      <c r="J421" s="106"/>
      <c r="K421" s="106"/>
      <c r="L421" s="106"/>
      <c r="M421" s="106"/>
      <c r="N421" s="106"/>
      <c r="O421" s="106"/>
      <c r="P421" s="106"/>
      <c r="Q421" s="106"/>
    </row>
    <row r="422" spans="7:17">
      <c r="G422" s="106"/>
      <c r="H422" s="106"/>
      <c r="I422" s="106"/>
      <c r="J422" s="106"/>
      <c r="K422" s="106"/>
      <c r="L422" s="106"/>
      <c r="M422" s="106"/>
      <c r="N422" s="106"/>
      <c r="O422" s="106"/>
      <c r="P422" s="106"/>
      <c r="Q422" s="106"/>
    </row>
    <row r="423" spans="7:17">
      <c r="G423" s="106"/>
      <c r="H423" s="106"/>
      <c r="I423" s="106"/>
      <c r="J423" s="106"/>
      <c r="K423" s="106"/>
      <c r="L423" s="106"/>
      <c r="M423" s="106"/>
      <c r="N423" s="106"/>
      <c r="O423" s="106"/>
      <c r="P423" s="106"/>
      <c r="Q423" s="106"/>
    </row>
    <row r="424" spans="7:17">
      <c r="G424" s="106"/>
      <c r="H424" s="106"/>
      <c r="I424" s="106"/>
      <c r="J424" s="106"/>
      <c r="K424" s="106"/>
      <c r="L424" s="106"/>
      <c r="M424" s="106"/>
      <c r="N424" s="106"/>
      <c r="O424" s="106"/>
      <c r="P424" s="106"/>
      <c r="Q424" s="106"/>
    </row>
    <row r="425" spans="7:17">
      <c r="G425" s="106"/>
      <c r="H425" s="106"/>
      <c r="I425" s="106"/>
      <c r="J425" s="106"/>
      <c r="K425" s="106"/>
      <c r="L425" s="106"/>
      <c r="M425" s="106"/>
      <c r="N425" s="106"/>
      <c r="O425" s="106"/>
      <c r="P425" s="106"/>
      <c r="Q425" s="106"/>
    </row>
    <row r="426" spans="7:17">
      <c r="G426" s="106"/>
      <c r="H426" s="106"/>
      <c r="I426" s="106"/>
      <c r="J426" s="106"/>
      <c r="K426" s="106"/>
      <c r="L426" s="106"/>
      <c r="M426" s="106"/>
      <c r="N426" s="106"/>
      <c r="O426" s="106"/>
      <c r="P426" s="106"/>
      <c r="Q426" s="106"/>
    </row>
    <row r="427" spans="7:17">
      <c r="G427" s="106"/>
      <c r="H427" s="106"/>
      <c r="I427" s="106"/>
      <c r="J427" s="106"/>
      <c r="K427" s="106"/>
      <c r="L427" s="106"/>
      <c r="M427" s="106"/>
      <c r="N427" s="106"/>
      <c r="O427" s="106"/>
      <c r="P427" s="106"/>
      <c r="Q427" s="106"/>
    </row>
    <row r="428" spans="7:17">
      <c r="G428" s="106"/>
      <c r="H428" s="106"/>
      <c r="I428" s="106"/>
      <c r="J428" s="106"/>
      <c r="K428" s="106"/>
      <c r="L428" s="106"/>
      <c r="M428" s="106"/>
      <c r="N428" s="106"/>
      <c r="O428" s="106"/>
      <c r="P428" s="106"/>
      <c r="Q428" s="106"/>
    </row>
    <row r="429" spans="7:17">
      <c r="G429" s="106"/>
      <c r="H429" s="106"/>
      <c r="I429" s="106"/>
      <c r="J429" s="106"/>
      <c r="K429" s="106"/>
      <c r="L429" s="106"/>
      <c r="M429" s="106"/>
      <c r="N429" s="106"/>
      <c r="O429" s="106"/>
      <c r="P429" s="106"/>
      <c r="Q429" s="106"/>
    </row>
    <row r="430" spans="7:17">
      <c r="G430" s="106"/>
      <c r="H430" s="106"/>
      <c r="I430" s="106"/>
      <c r="J430" s="106"/>
      <c r="K430" s="106"/>
      <c r="L430" s="106"/>
      <c r="M430" s="106"/>
      <c r="N430" s="106"/>
      <c r="O430" s="106"/>
      <c r="P430" s="106"/>
      <c r="Q430" s="106"/>
    </row>
    <row r="431" spans="7:17">
      <c r="G431" s="106"/>
      <c r="H431" s="106"/>
      <c r="I431" s="106"/>
      <c r="J431" s="106"/>
      <c r="K431" s="106"/>
      <c r="L431" s="106"/>
      <c r="M431" s="106"/>
      <c r="N431" s="106"/>
      <c r="O431" s="106"/>
      <c r="P431" s="106"/>
      <c r="Q431" s="106"/>
    </row>
    <row r="432" spans="7:17">
      <c r="G432" s="106"/>
      <c r="H432" s="106"/>
      <c r="I432" s="106"/>
      <c r="J432" s="106"/>
      <c r="K432" s="106"/>
      <c r="L432" s="106"/>
      <c r="M432" s="106"/>
      <c r="N432" s="106"/>
      <c r="O432" s="106"/>
      <c r="P432" s="106"/>
      <c r="Q432" s="106"/>
    </row>
    <row r="433" spans="7:17">
      <c r="G433" s="106"/>
      <c r="H433" s="106"/>
      <c r="I433" s="106"/>
      <c r="J433" s="106"/>
      <c r="K433" s="106"/>
      <c r="L433" s="106"/>
      <c r="M433" s="106"/>
      <c r="N433" s="106"/>
      <c r="O433" s="106"/>
      <c r="P433" s="106"/>
      <c r="Q433" s="106"/>
    </row>
    <row r="434" spans="7:17">
      <c r="G434" s="106"/>
      <c r="H434" s="106"/>
      <c r="I434" s="106"/>
      <c r="J434" s="106"/>
      <c r="K434" s="106"/>
      <c r="L434" s="106"/>
      <c r="M434" s="106"/>
      <c r="N434" s="106"/>
      <c r="O434" s="106"/>
      <c r="P434" s="106"/>
      <c r="Q434" s="106"/>
    </row>
    <row r="435" spans="7:17">
      <c r="G435" s="106"/>
      <c r="H435" s="106"/>
      <c r="I435" s="106"/>
      <c r="J435" s="106"/>
      <c r="K435" s="106"/>
      <c r="L435" s="106"/>
      <c r="M435" s="106"/>
      <c r="N435" s="106"/>
      <c r="O435" s="106"/>
      <c r="P435" s="106"/>
      <c r="Q435" s="106"/>
    </row>
    <row r="436" spans="7:17">
      <c r="G436" s="106"/>
      <c r="H436" s="106"/>
      <c r="I436" s="106"/>
      <c r="J436" s="106"/>
      <c r="K436" s="106"/>
      <c r="L436" s="106"/>
      <c r="M436" s="106"/>
      <c r="N436" s="106"/>
      <c r="O436" s="106"/>
      <c r="P436" s="106"/>
      <c r="Q436" s="106"/>
    </row>
    <row r="437" spans="7:17">
      <c r="G437" s="106"/>
      <c r="H437" s="106"/>
      <c r="I437" s="106"/>
      <c r="J437" s="106"/>
      <c r="K437" s="106"/>
      <c r="L437" s="106"/>
      <c r="M437" s="106"/>
      <c r="N437" s="106"/>
      <c r="O437" s="106"/>
      <c r="P437" s="106"/>
      <c r="Q437" s="106"/>
    </row>
    <row r="438" spans="7:17">
      <c r="G438" s="106"/>
      <c r="H438" s="106"/>
      <c r="I438" s="106"/>
      <c r="J438" s="106"/>
      <c r="K438" s="106"/>
      <c r="L438" s="106"/>
      <c r="M438" s="106"/>
      <c r="N438" s="106"/>
      <c r="O438" s="106"/>
      <c r="P438" s="106"/>
      <c r="Q438" s="106"/>
    </row>
    <row r="439" spans="7:17">
      <c r="G439" s="106"/>
      <c r="H439" s="106"/>
      <c r="I439" s="106"/>
      <c r="J439" s="106"/>
      <c r="K439" s="106"/>
      <c r="L439" s="106"/>
      <c r="M439" s="106"/>
      <c r="N439" s="106"/>
      <c r="O439" s="106"/>
      <c r="P439" s="106"/>
      <c r="Q439" s="106"/>
    </row>
    <row r="440" spans="7:17">
      <c r="G440" s="106"/>
      <c r="H440" s="106"/>
      <c r="I440" s="106"/>
      <c r="J440" s="106"/>
      <c r="K440" s="106"/>
      <c r="L440" s="106"/>
      <c r="M440" s="106"/>
      <c r="N440" s="106"/>
      <c r="O440" s="106"/>
      <c r="P440" s="106"/>
      <c r="Q440" s="106"/>
    </row>
    <row r="441" spans="7:17">
      <c r="G441" s="106"/>
      <c r="H441" s="106"/>
      <c r="I441" s="106"/>
      <c r="J441" s="106"/>
      <c r="K441" s="106"/>
      <c r="L441" s="106"/>
      <c r="M441" s="106"/>
      <c r="N441" s="106"/>
      <c r="O441" s="106"/>
      <c r="P441" s="106"/>
      <c r="Q441" s="106"/>
    </row>
    <row r="442" spans="7:17">
      <c r="G442" s="106"/>
      <c r="H442" s="106"/>
      <c r="I442" s="106"/>
      <c r="J442" s="106"/>
      <c r="K442" s="106"/>
      <c r="L442" s="106"/>
      <c r="M442" s="106"/>
      <c r="N442" s="106"/>
      <c r="O442" s="106"/>
      <c r="P442" s="106"/>
      <c r="Q442" s="106"/>
    </row>
    <row r="443" spans="7:17">
      <c r="G443" s="106"/>
      <c r="H443" s="106"/>
      <c r="I443" s="106"/>
      <c r="J443" s="106"/>
      <c r="K443" s="106"/>
      <c r="L443" s="106"/>
      <c r="M443" s="106"/>
      <c r="N443" s="106"/>
      <c r="O443" s="106"/>
      <c r="P443" s="106"/>
      <c r="Q443" s="106"/>
    </row>
    <row r="444" spans="7:17">
      <c r="G444" s="106"/>
      <c r="H444" s="106"/>
      <c r="I444" s="106"/>
      <c r="J444" s="106"/>
      <c r="K444" s="106"/>
      <c r="L444" s="106"/>
      <c r="M444" s="106"/>
      <c r="N444" s="106"/>
      <c r="O444" s="106"/>
      <c r="P444" s="106"/>
      <c r="Q444" s="106"/>
    </row>
    <row r="445" spans="7:17">
      <c r="G445" s="106"/>
      <c r="H445" s="106"/>
      <c r="I445" s="106"/>
      <c r="J445" s="106"/>
      <c r="K445" s="106"/>
      <c r="L445" s="106"/>
      <c r="M445" s="106"/>
      <c r="N445" s="106"/>
      <c r="O445" s="106"/>
      <c r="P445" s="106"/>
      <c r="Q445" s="106"/>
    </row>
    <row r="446" spans="7:17">
      <c r="G446" s="106"/>
      <c r="H446" s="106"/>
      <c r="I446" s="106"/>
      <c r="J446" s="106"/>
      <c r="K446" s="106"/>
      <c r="L446" s="106"/>
      <c r="M446" s="106"/>
      <c r="N446" s="106"/>
      <c r="O446" s="106"/>
      <c r="P446" s="106"/>
      <c r="Q446" s="106"/>
    </row>
    <row r="447" spans="7:17">
      <c r="G447" s="106"/>
      <c r="H447" s="106"/>
      <c r="I447" s="106"/>
      <c r="J447" s="106"/>
      <c r="K447" s="106"/>
      <c r="L447" s="106"/>
      <c r="M447" s="106"/>
      <c r="N447" s="106"/>
      <c r="O447" s="106"/>
      <c r="P447" s="106"/>
      <c r="Q447" s="106"/>
    </row>
    <row r="448" spans="7:17">
      <c r="G448" s="106"/>
      <c r="H448" s="106"/>
      <c r="I448" s="106"/>
      <c r="J448" s="106"/>
      <c r="K448" s="106"/>
      <c r="L448" s="106"/>
      <c r="M448" s="106"/>
      <c r="N448" s="106"/>
      <c r="O448" s="106"/>
      <c r="P448" s="106"/>
      <c r="Q448" s="106"/>
    </row>
    <row r="449" spans="7:17">
      <c r="G449" s="106"/>
      <c r="H449" s="106"/>
      <c r="I449" s="106"/>
      <c r="J449" s="106"/>
      <c r="K449" s="106"/>
      <c r="L449" s="106"/>
      <c r="M449" s="106"/>
      <c r="N449" s="106"/>
      <c r="O449" s="106"/>
      <c r="P449" s="106"/>
      <c r="Q449" s="106"/>
    </row>
    <row r="450" spans="7:17">
      <c r="G450" s="106"/>
      <c r="H450" s="106"/>
      <c r="I450" s="106"/>
      <c r="J450" s="106"/>
      <c r="K450" s="106"/>
      <c r="L450" s="106"/>
      <c r="M450" s="106"/>
      <c r="N450" s="106"/>
      <c r="O450" s="106"/>
      <c r="P450" s="106"/>
      <c r="Q450" s="106"/>
    </row>
    <row r="451" spans="7:17">
      <c r="G451" s="106"/>
      <c r="H451" s="106"/>
      <c r="I451" s="106"/>
      <c r="J451" s="106"/>
      <c r="K451" s="106"/>
      <c r="L451" s="106"/>
      <c r="M451" s="106"/>
      <c r="N451" s="106"/>
      <c r="O451" s="106"/>
      <c r="P451" s="106"/>
      <c r="Q451" s="106"/>
    </row>
    <row r="452" spans="7:17">
      <c r="G452" s="106"/>
      <c r="H452" s="106"/>
      <c r="I452" s="106"/>
      <c r="J452" s="106"/>
      <c r="K452" s="106"/>
      <c r="L452" s="106"/>
      <c r="M452" s="106"/>
      <c r="N452" s="106"/>
      <c r="O452" s="106"/>
      <c r="P452" s="106"/>
      <c r="Q452" s="106"/>
    </row>
    <row r="453" spans="7:17">
      <c r="G453" s="106"/>
      <c r="H453" s="106"/>
      <c r="I453" s="106"/>
      <c r="J453" s="106"/>
      <c r="K453" s="106"/>
      <c r="L453" s="106"/>
      <c r="M453" s="106"/>
      <c r="N453" s="106"/>
      <c r="O453" s="106"/>
      <c r="P453" s="106"/>
      <c r="Q453" s="106"/>
    </row>
    <row r="454" spans="7:17">
      <c r="G454" s="106"/>
      <c r="H454" s="106"/>
      <c r="I454" s="106"/>
      <c r="J454" s="106"/>
      <c r="K454" s="106"/>
      <c r="L454" s="106"/>
      <c r="M454" s="106"/>
      <c r="N454" s="106"/>
      <c r="O454" s="106"/>
      <c r="P454" s="106"/>
      <c r="Q454" s="106"/>
    </row>
    <row r="455" spans="7:17">
      <c r="G455" s="106"/>
      <c r="H455" s="106"/>
      <c r="I455" s="106"/>
      <c r="J455" s="106"/>
      <c r="K455" s="106"/>
      <c r="L455" s="106"/>
      <c r="M455" s="106"/>
      <c r="N455" s="106"/>
      <c r="O455" s="106"/>
      <c r="P455" s="106"/>
      <c r="Q455" s="106"/>
    </row>
    <row r="456" spans="7:17">
      <c r="G456" s="106"/>
      <c r="H456" s="106"/>
      <c r="I456" s="106"/>
      <c r="J456" s="106"/>
      <c r="K456" s="106"/>
      <c r="L456" s="106"/>
      <c r="M456" s="106"/>
      <c r="N456" s="106"/>
      <c r="O456" s="106"/>
      <c r="P456" s="106"/>
      <c r="Q456" s="106"/>
    </row>
    <row r="457" spans="7:17">
      <c r="G457" s="106"/>
      <c r="H457" s="106"/>
      <c r="I457" s="106"/>
      <c r="J457" s="106"/>
      <c r="K457" s="106"/>
      <c r="L457" s="106"/>
      <c r="M457" s="106"/>
      <c r="N457" s="106"/>
      <c r="O457" s="106"/>
      <c r="P457" s="106"/>
      <c r="Q457" s="106"/>
    </row>
    <row r="458" spans="7:17">
      <c r="G458" s="106"/>
      <c r="H458" s="106"/>
      <c r="I458" s="106"/>
      <c r="J458" s="106"/>
      <c r="K458" s="106"/>
      <c r="L458" s="106"/>
      <c r="M458" s="106"/>
      <c r="N458" s="106"/>
      <c r="O458" s="106"/>
      <c r="P458" s="106"/>
      <c r="Q458" s="106"/>
    </row>
    <row r="459" spans="7:17">
      <c r="G459" s="106"/>
      <c r="H459" s="106"/>
      <c r="I459" s="106"/>
      <c r="J459" s="106"/>
      <c r="K459" s="106"/>
      <c r="L459" s="106"/>
      <c r="M459" s="106"/>
      <c r="N459" s="106"/>
      <c r="O459" s="106"/>
      <c r="P459" s="106"/>
      <c r="Q459" s="106"/>
    </row>
    <row r="460" spans="7:17">
      <c r="G460" s="106"/>
      <c r="H460" s="106"/>
      <c r="I460" s="106"/>
      <c r="J460" s="106"/>
      <c r="K460" s="106"/>
      <c r="L460" s="106"/>
      <c r="M460" s="106"/>
      <c r="N460" s="106"/>
      <c r="O460" s="106"/>
      <c r="P460" s="106"/>
      <c r="Q460" s="106"/>
    </row>
    <row r="461" spans="7:17">
      <c r="G461" s="106"/>
      <c r="H461" s="106"/>
      <c r="I461" s="106"/>
      <c r="J461" s="106"/>
      <c r="K461" s="106"/>
      <c r="L461" s="106"/>
      <c r="M461" s="106"/>
      <c r="N461" s="106"/>
      <c r="O461" s="106"/>
      <c r="P461" s="106"/>
      <c r="Q461" s="106"/>
    </row>
    <row r="462" spans="7:17">
      <c r="G462" s="106"/>
      <c r="H462" s="106"/>
      <c r="I462" s="106"/>
      <c r="J462" s="106"/>
      <c r="K462" s="106"/>
      <c r="L462" s="106"/>
      <c r="M462" s="106"/>
      <c r="N462" s="106"/>
      <c r="O462" s="106"/>
      <c r="P462" s="106"/>
      <c r="Q462" s="106"/>
    </row>
    <row r="463" spans="7:17">
      <c r="G463" s="106"/>
      <c r="H463" s="106"/>
      <c r="I463" s="106"/>
      <c r="J463" s="106"/>
      <c r="K463" s="106"/>
      <c r="L463" s="106"/>
      <c r="M463" s="106"/>
      <c r="N463" s="106"/>
      <c r="O463" s="106"/>
      <c r="P463" s="106"/>
      <c r="Q463" s="106"/>
    </row>
    <row r="464" spans="7:17">
      <c r="G464" s="106"/>
      <c r="H464" s="106"/>
      <c r="I464" s="106"/>
      <c r="J464" s="106"/>
      <c r="K464" s="106"/>
      <c r="L464" s="106"/>
      <c r="M464" s="106"/>
      <c r="N464" s="106"/>
      <c r="O464" s="106"/>
      <c r="P464" s="106"/>
      <c r="Q464" s="106"/>
    </row>
    <row r="465" spans="7:17">
      <c r="G465" s="106"/>
      <c r="H465" s="106"/>
      <c r="I465" s="106"/>
      <c r="J465" s="106"/>
      <c r="K465" s="106"/>
      <c r="L465" s="106"/>
      <c r="M465" s="106"/>
      <c r="N465" s="106"/>
      <c r="O465" s="106"/>
      <c r="P465" s="106"/>
      <c r="Q465" s="106"/>
    </row>
    <row r="466" spans="7:17">
      <c r="G466" s="106"/>
      <c r="H466" s="106"/>
      <c r="I466" s="106"/>
      <c r="J466" s="106"/>
      <c r="K466" s="106"/>
      <c r="L466" s="106"/>
      <c r="M466" s="106"/>
      <c r="N466" s="106"/>
      <c r="O466" s="106"/>
      <c r="P466" s="106"/>
      <c r="Q466" s="106"/>
    </row>
    <row r="467" spans="7:17">
      <c r="G467" s="106"/>
      <c r="H467" s="106"/>
      <c r="I467" s="106"/>
      <c r="J467" s="106"/>
      <c r="K467" s="106"/>
      <c r="L467" s="106"/>
      <c r="M467" s="106"/>
      <c r="N467" s="106"/>
      <c r="O467" s="106"/>
      <c r="P467" s="106"/>
      <c r="Q467" s="106"/>
    </row>
    <row r="468" spans="7:17">
      <c r="G468" s="106"/>
      <c r="H468" s="106"/>
      <c r="I468" s="106"/>
      <c r="J468" s="106"/>
      <c r="K468" s="106"/>
      <c r="L468" s="106"/>
      <c r="M468" s="106"/>
      <c r="N468" s="106"/>
      <c r="O468" s="106"/>
      <c r="P468" s="106"/>
      <c r="Q468" s="106"/>
    </row>
    <row r="469" spans="7:17">
      <c r="G469" s="106"/>
      <c r="H469" s="106"/>
      <c r="I469" s="106"/>
      <c r="J469" s="106"/>
      <c r="K469" s="106"/>
      <c r="L469" s="106"/>
      <c r="M469" s="106"/>
      <c r="N469" s="106"/>
      <c r="O469" s="106"/>
      <c r="P469" s="106"/>
      <c r="Q469" s="106"/>
    </row>
    <row r="470" spans="7:17">
      <c r="G470" s="106"/>
      <c r="H470" s="106"/>
      <c r="I470" s="106"/>
      <c r="J470" s="106"/>
      <c r="K470" s="106"/>
      <c r="L470" s="106"/>
      <c r="M470" s="106"/>
      <c r="N470" s="106"/>
      <c r="O470" s="106"/>
      <c r="P470" s="106"/>
      <c r="Q470" s="106"/>
    </row>
    <row r="471" spans="7:17">
      <c r="G471" s="106"/>
      <c r="H471" s="106"/>
      <c r="I471" s="106"/>
      <c r="J471" s="106"/>
      <c r="K471" s="106"/>
      <c r="L471" s="106"/>
      <c r="M471" s="106"/>
      <c r="N471" s="106"/>
      <c r="O471" s="106"/>
      <c r="P471" s="106"/>
      <c r="Q471" s="106"/>
    </row>
    <row r="472" spans="7:17">
      <c r="G472" s="106"/>
      <c r="H472" s="106"/>
      <c r="I472" s="106"/>
      <c r="J472" s="106"/>
      <c r="K472" s="106"/>
      <c r="L472" s="106"/>
      <c r="M472" s="106"/>
      <c r="N472" s="106"/>
      <c r="O472" s="106"/>
      <c r="P472" s="106"/>
      <c r="Q472" s="106"/>
    </row>
    <row r="473" spans="7:17">
      <c r="G473" s="106"/>
      <c r="H473" s="106"/>
      <c r="I473" s="106"/>
      <c r="J473" s="106"/>
      <c r="K473" s="106"/>
      <c r="L473" s="106"/>
      <c r="M473" s="106"/>
      <c r="N473" s="106"/>
      <c r="O473" s="106"/>
      <c r="P473" s="106"/>
      <c r="Q473" s="106"/>
    </row>
    <row r="474" spans="7:17">
      <c r="G474" s="106"/>
      <c r="H474" s="106"/>
      <c r="I474" s="106"/>
      <c r="J474" s="106"/>
      <c r="K474" s="106"/>
      <c r="L474" s="106"/>
      <c r="M474" s="106"/>
      <c r="N474" s="106"/>
      <c r="O474" s="106"/>
      <c r="P474" s="106"/>
      <c r="Q474" s="106"/>
    </row>
    <row r="475" spans="7:17">
      <c r="G475" s="106"/>
      <c r="H475" s="106"/>
      <c r="I475" s="106"/>
      <c r="J475" s="106"/>
      <c r="K475" s="106"/>
      <c r="L475" s="106"/>
      <c r="M475" s="106"/>
      <c r="N475" s="106"/>
      <c r="O475" s="106"/>
      <c r="P475" s="106"/>
      <c r="Q475" s="106"/>
    </row>
    <row r="476" spans="7:17">
      <c r="G476" s="106"/>
      <c r="H476" s="106"/>
      <c r="I476" s="106"/>
      <c r="J476" s="106"/>
      <c r="K476" s="106"/>
      <c r="L476" s="106"/>
      <c r="M476" s="106"/>
      <c r="N476" s="106"/>
      <c r="O476" s="106"/>
      <c r="P476" s="106"/>
      <c r="Q476" s="106"/>
    </row>
    <row r="477" spans="7:17">
      <c r="G477" s="106"/>
      <c r="H477" s="106"/>
      <c r="I477" s="106"/>
      <c r="J477" s="106"/>
      <c r="K477" s="106"/>
      <c r="L477" s="106"/>
      <c r="M477" s="106"/>
      <c r="N477" s="106"/>
      <c r="O477" s="106"/>
      <c r="P477" s="106"/>
      <c r="Q477" s="106"/>
    </row>
    <row r="478" spans="7:17">
      <c r="G478" s="106"/>
      <c r="H478" s="106"/>
      <c r="I478" s="106"/>
      <c r="J478" s="106"/>
      <c r="K478" s="106"/>
      <c r="L478" s="106"/>
      <c r="M478" s="106"/>
      <c r="N478" s="106"/>
      <c r="O478" s="106"/>
      <c r="P478" s="106"/>
      <c r="Q478" s="106"/>
    </row>
    <row r="479" spans="7:17">
      <c r="G479" s="106"/>
      <c r="H479" s="106"/>
      <c r="I479" s="106"/>
      <c r="J479" s="106"/>
      <c r="K479" s="106"/>
      <c r="L479" s="106"/>
      <c r="M479" s="106"/>
      <c r="N479" s="106"/>
      <c r="O479" s="106"/>
      <c r="P479" s="106"/>
      <c r="Q479" s="106"/>
    </row>
    <row r="480" spans="7:17">
      <c r="G480" s="106"/>
      <c r="H480" s="106"/>
      <c r="I480" s="106"/>
      <c r="J480" s="106"/>
      <c r="K480" s="106"/>
      <c r="L480" s="106"/>
      <c r="M480" s="106"/>
      <c r="N480" s="106"/>
      <c r="O480" s="106"/>
      <c r="P480" s="106"/>
      <c r="Q480" s="106"/>
    </row>
    <row r="481" spans="7:17">
      <c r="G481" s="106"/>
      <c r="H481" s="106"/>
      <c r="I481" s="106"/>
      <c r="J481" s="106"/>
      <c r="K481" s="106"/>
      <c r="L481" s="106"/>
      <c r="M481" s="106"/>
      <c r="N481" s="106"/>
      <c r="O481" s="106"/>
      <c r="P481" s="106"/>
      <c r="Q481" s="106"/>
    </row>
    <row r="482" spans="7:17">
      <c r="G482" s="106"/>
      <c r="H482" s="106"/>
      <c r="I482" s="106"/>
      <c r="J482" s="106"/>
      <c r="K482" s="106"/>
      <c r="L482" s="106"/>
      <c r="M482" s="106"/>
      <c r="N482" s="106"/>
      <c r="O482" s="106"/>
      <c r="P482" s="106"/>
      <c r="Q482" s="106"/>
    </row>
    <row r="483" spans="7:17">
      <c r="G483" s="106"/>
      <c r="H483" s="106"/>
      <c r="I483" s="106"/>
      <c r="J483" s="106"/>
      <c r="K483" s="106"/>
      <c r="L483" s="106"/>
      <c r="M483" s="106"/>
      <c r="N483" s="106"/>
      <c r="O483" s="106"/>
      <c r="P483" s="106"/>
      <c r="Q483" s="106"/>
    </row>
    <row r="484" spans="7:17">
      <c r="G484" s="106"/>
      <c r="H484" s="106"/>
      <c r="I484" s="106"/>
      <c r="J484" s="106"/>
      <c r="K484" s="106"/>
      <c r="L484" s="106"/>
      <c r="M484" s="106"/>
      <c r="N484" s="106"/>
      <c r="O484" s="106"/>
      <c r="P484" s="106"/>
      <c r="Q484" s="106"/>
    </row>
    <row r="485" spans="7:17">
      <c r="G485" s="106"/>
      <c r="H485" s="106"/>
      <c r="I485" s="106"/>
      <c r="J485" s="106"/>
      <c r="K485" s="106"/>
      <c r="L485" s="106"/>
      <c r="M485" s="106"/>
      <c r="N485" s="106"/>
      <c r="O485" s="106"/>
      <c r="P485" s="106"/>
      <c r="Q485" s="106"/>
    </row>
    <row r="486" spans="7:17">
      <c r="G486" s="106"/>
      <c r="H486" s="106"/>
      <c r="I486" s="106"/>
      <c r="J486" s="106"/>
      <c r="K486" s="106"/>
      <c r="L486" s="106"/>
      <c r="M486" s="106"/>
      <c r="N486" s="106"/>
      <c r="O486" s="106"/>
      <c r="P486" s="106"/>
      <c r="Q486" s="106"/>
    </row>
    <row r="487" spans="7:17">
      <c r="G487" s="106"/>
      <c r="H487" s="106"/>
      <c r="I487" s="106"/>
      <c r="J487" s="106"/>
      <c r="K487" s="106"/>
      <c r="L487" s="106"/>
      <c r="M487" s="106"/>
      <c r="N487" s="106"/>
      <c r="O487" s="106"/>
      <c r="P487" s="106"/>
      <c r="Q487" s="106"/>
    </row>
    <row r="488" spans="7:17">
      <c r="G488" s="106"/>
      <c r="H488" s="106"/>
      <c r="I488" s="106"/>
      <c r="J488" s="106"/>
      <c r="K488" s="106"/>
      <c r="L488" s="106"/>
      <c r="M488" s="106"/>
      <c r="N488" s="106"/>
      <c r="O488" s="106"/>
      <c r="P488" s="106"/>
      <c r="Q488" s="106"/>
    </row>
    <row r="489" spans="7:17">
      <c r="G489" s="106"/>
      <c r="H489" s="106"/>
      <c r="I489" s="106"/>
      <c r="J489" s="106"/>
      <c r="K489" s="106"/>
      <c r="L489" s="106"/>
      <c r="M489" s="106"/>
      <c r="N489" s="106"/>
      <c r="O489" s="106"/>
      <c r="P489" s="106"/>
      <c r="Q489" s="106"/>
    </row>
    <row r="490" spans="7:17">
      <c r="G490" s="106"/>
      <c r="H490" s="106"/>
      <c r="I490" s="106"/>
      <c r="J490" s="106"/>
      <c r="K490" s="106"/>
      <c r="L490" s="106"/>
      <c r="M490" s="106"/>
      <c r="N490" s="106"/>
      <c r="O490" s="106"/>
      <c r="P490" s="106"/>
      <c r="Q490" s="106"/>
    </row>
    <row r="491" spans="7:17">
      <c r="G491" s="106"/>
      <c r="H491" s="106"/>
      <c r="I491" s="106"/>
      <c r="J491" s="106"/>
      <c r="K491" s="106"/>
      <c r="L491" s="106"/>
      <c r="M491" s="106"/>
      <c r="N491" s="106"/>
      <c r="O491" s="106"/>
      <c r="P491" s="106"/>
      <c r="Q491" s="106"/>
    </row>
    <row r="492" spans="7:17">
      <c r="G492" s="106"/>
      <c r="H492" s="106"/>
      <c r="I492" s="106"/>
      <c r="J492" s="106"/>
      <c r="K492" s="106"/>
      <c r="L492" s="106"/>
      <c r="M492" s="106"/>
      <c r="N492" s="106"/>
      <c r="O492" s="106"/>
      <c r="P492" s="106"/>
      <c r="Q492" s="106"/>
    </row>
    <row r="493" spans="7:17">
      <c r="G493" s="106"/>
      <c r="H493" s="106"/>
      <c r="I493" s="106"/>
      <c r="J493" s="106"/>
      <c r="K493" s="106"/>
      <c r="L493" s="106"/>
      <c r="M493" s="106"/>
      <c r="N493" s="106"/>
      <c r="O493" s="106"/>
      <c r="P493" s="106"/>
      <c r="Q493" s="106"/>
    </row>
    <row r="494" spans="7:17">
      <c r="G494" s="106"/>
      <c r="H494" s="106"/>
      <c r="I494" s="106"/>
      <c r="J494" s="106"/>
      <c r="K494" s="106"/>
      <c r="L494" s="106"/>
      <c r="M494" s="106"/>
      <c r="N494" s="106"/>
      <c r="O494" s="106"/>
      <c r="P494" s="106"/>
      <c r="Q494" s="106"/>
    </row>
    <row r="495" spans="7:17">
      <c r="G495" s="106"/>
      <c r="H495" s="106"/>
      <c r="I495" s="106"/>
      <c r="J495" s="106"/>
      <c r="K495" s="106"/>
      <c r="L495" s="106"/>
      <c r="M495" s="106"/>
      <c r="N495" s="106"/>
      <c r="O495" s="106"/>
      <c r="P495" s="106"/>
      <c r="Q495" s="106"/>
    </row>
    <row r="496" spans="7:17">
      <c r="G496" s="106"/>
      <c r="H496" s="106"/>
      <c r="I496" s="106"/>
      <c r="J496" s="106"/>
      <c r="K496" s="106"/>
      <c r="L496" s="106"/>
      <c r="M496" s="106"/>
      <c r="N496" s="106"/>
      <c r="O496" s="106"/>
      <c r="P496" s="106"/>
      <c r="Q496" s="106"/>
    </row>
    <row r="497" spans="7:17">
      <c r="G497" s="106"/>
      <c r="H497" s="106"/>
      <c r="I497" s="106"/>
      <c r="J497" s="106"/>
      <c r="K497" s="106"/>
      <c r="L497" s="106"/>
      <c r="M497" s="106"/>
      <c r="N497" s="106"/>
      <c r="O497" s="106"/>
      <c r="P497" s="106"/>
      <c r="Q497" s="106"/>
    </row>
    <row r="498" spans="7:17">
      <c r="G498" s="106"/>
      <c r="H498" s="106"/>
      <c r="I498" s="106"/>
      <c r="J498" s="106"/>
      <c r="K498" s="106"/>
      <c r="L498" s="106"/>
      <c r="M498" s="106"/>
      <c r="N498" s="106"/>
      <c r="O498" s="106"/>
      <c r="P498" s="106"/>
      <c r="Q498" s="106"/>
    </row>
    <row r="499" spans="7:17">
      <c r="G499" s="106"/>
      <c r="H499" s="106"/>
      <c r="I499" s="106"/>
      <c r="J499" s="106"/>
      <c r="K499" s="106"/>
      <c r="L499" s="106"/>
      <c r="M499" s="106"/>
      <c r="N499" s="106"/>
      <c r="O499" s="106"/>
      <c r="P499" s="106"/>
      <c r="Q499" s="106"/>
    </row>
    <row r="500" spans="7:17">
      <c r="G500" s="106"/>
      <c r="H500" s="106"/>
      <c r="I500" s="106"/>
      <c r="J500" s="106"/>
      <c r="K500" s="106"/>
      <c r="L500" s="106"/>
      <c r="M500" s="106"/>
      <c r="N500" s="106"/>
      <c r="O500" s="106"/>
      <c r="P500" s="106"/>
      <c r="Q500" s="106"/>
    </row>
    <row r="501" spans="7:17">
      <c r="G501" s="106"/>
      <c r="H501" s="106"/>
      <c r="I501" s="106"/>
      <c r="J501" s="106"/>
      <c r="K501" s="106"/>
      <c r="L501" s="106"/>
      <c r="M501" s="106"/>
      <c r="N501" s="106"/>
      <c r="O501" s="106"/>
      <c r="P501" s="106"/>
      <c r="Q501" s="106"/>
    </row>
    <row r="502" spans="7:17">
      <c r="G502" s="106"/>
      <c r="H502" s="106"/>
      <c r="I502" s="106"/>
      <c r="J502" s="106"/>
      <c r="K502" s="106"/>
      <c r="L502" s="106"/>
      <c r="M502" s="106"/>
      <c r="N502" s="106"/>
      <c r="O502" s="106"/>
      <c r="P502" s="106"/>
      <c r="Q502" s="106"/>
    </row>
    <row r="503" spans="7:17">
      <c r="G503" s="106"/>
      <c r="H503" s="106"/>
      <c r="I503" s="106"/>
      <c r="J503" s="106"/>
      <c r="K503" s="106"/>
      <c r="L503" s="106"/>
      <c r="M503" s="106"/>
      <c r="N503" s="106"/>
      <c r="O503" s="106"/>
      <c r="P503" s="106"/>
      <c r="Q503" s="106"/>
    </row>
    <row r="504" spans="7:17">
      <c r="G504" s="106"/>
      <c r="H504" s="106"/>
      <c r="I504" s="106"/>
      <c r="J504" s="106"/>
      <c r="K504" s="106"/>
      <c r="L504" s="106"/>
      <c r="M504" s="106"/>
      <c r="N504" s="106"/>
      <c r="O504" s="106"/>
      <c r="P504" s="106"/>
      <c r="Q504" s="106"/>
    </row>
    <row r="505" spans="7:17">
      <c r="G505" s="106"/>
      <c r="H505" s="106"/>
      <c r="I505" s="106"/>
      <c r="J505" s="106"/>
      <c r="K505" s="106"/>
      <c r="L505" s="106"/>
      <c r="M505" s="106"/>
      <c r="N505" s="106"/>
      <c r="O505" s="106"/>
      <c r="P505" s="106"/>
      <c r="Q505" s="106"/>
    </row>
    <row r="506" spans="7:17">
      <c r="G506" s="106"/>
      <c r="H506" s="106"/>
      <c r="I506" s="106"/>
      <c r="J506" s="106"/>
      <c r="K506" s="106"/>
      <c r="L506" s="106"/>
      <c r="M506" s="106"/>
      <c r="N506" s="106"/>
      <c r="O506" s="106"/>
      <c r="P506" s="106"/>
      <c r="Q506" s="106"/>
    </row>
    <row r="507" spans="7:17">
      <c r="G507" s="106"/>
      <c r="H507" s="106"/>
      <c r="I507" s="106"/>
      <c r="J507" s="106"/>
      <c r="K507" s="106"/>
      <c r="L507" s="106"/>
      <c r="M507" s="106"/>
      <c r="N507" s="106"/>
      <c r="O507" s="106"/>
      <c r="P507" s="106"/>
      <c r="Q507" s="106"/>
    </row>
    <row r="508" spans="7:17">
      <c r="G508" s="106"/>
      <c r="H508" s="106"/>
      <c r="I508" s="106"/>
      <c r="J508" s="106"/>
      <c r="K508" s="106"/>
      <c r="L508" s="106"/>
      <c r="M508" s="106"/>
      <c r="N508" s="106"/>
      <c r="O508" s="106"/>
      <c r="P508" s="106"/>
      <c r="Q508" s="106"/>
    </row>
    <row r="509" spans="7:17">
      <c r="G509" s="106"/>
      <c r="H509" s="106"/>
      <c r="I509" s="106"/>
      <c r="J509" s="106"/>
      <c r="K509" s="106"/>
      <c r="L509" s="106"/>
      <c r="M509" s="106"/>
      <c r="N509" s="106"/>
      <c r="O509" s="106"/>
      <c r="P509" s="106"/>
      <c r="Q509" s="106"/>
    </row>
    <row r="510" spans="7:17">
      <c r="G510" s="106"/>
      <c r="H510" s="106"/>
      <c r="I510" s="106"/>
      <c r="J510" s="106"/>
      <c r="K510" s="106"/>
      <c r="L510" s="106"/>
      <c r="M510" s="106"/>
      <c r="N510" s="106"/>
      <c r="O510" s="106"/>
      <c r="P510" s="106"/>
      <c r="Q510" s="106"/>
    </row>
    <row r="511" spans="7:17">
      <c r="G511" s="106"/>
      <c r="H511" s="106"/>
      <c r="I511" s="106"/>
      <c r="J511" s="106"/>
      <c r="K511" s="106"/>
      <c r="L511" s="106"/>
      <c r="M511" s="106"/>
      <c r="N511" s="106"/>
      <c r="O511" s="106"/>
      <c r="P511" s="106"/>
      <c r="Q511" s="106"/>
    </row>
    <row r="512" spans="7:17">
      <c r="G512" s="106"/>
      <c r="H512" s="106"/>
      <c r="I512" s="106"/>
      <c r="J512" s="106"/>
      <c r="K512" s="106"/>
      <c r="L512" s="106"/>
      <c r="M512" s="106"/>
      <c r="N512" s="106"/>
      <c r="O512" s="106"/>
      <c r="P512" s="106"/>
      <c r="Q512" s="106"/>
    </row>
    <row r="513" spans="7:17">
      <c r="G513" s="106"/>
      <c r="H513" s="106"/>
      <c r="I513" s="106"/>
      <c r="J513" s="106"/>
      <c r="K513" s="106"/>
      <c r="L513" s="106"/>
      <c r="M513" s="106"/>
      <c r="N513" s="106"/>
      <c r="O513" s="106"/>
      <c r="P513" s="106"/>
      <c r="Q513" s="106"/>
    </row>
    <row r="514" spans="7:17">
      <c r="G514" s="106"/>
      <c r="H514" s="106"/>
      <c r="I514" s="106"/>
      <c r="J514" s="106"/>
      <c r="K514" s="106"/>
      <c r="L514" s="106"/>
      <c r="M514" s="106"/>
      <c r="N514" s="106"/>
      <c r="O514" s="106"/>
      <c r="P514" s="106"/>
      <c r="Q514" s="106"/>
    </row>
    <row r="515" spans="7:17">
      <c r="G515" s="106"/>
      <c r="H515" s="106"/>
      <c r="I515" s="106"/>
      <c r="J515" s="106"/>
      <c r="K515" s="106"/>
      <c r="L515" s="106"/>
      <c r="M515" s="106"/>
      <c r="N515" s="106"/>
      <c r="O515" s="106"/>
      <c r="P515" s="106"/>
      <c r="Q515" s="106"/>
    </row>
    <row r="516" spans="7:17">
      <c r="G516" s="106"/>
      <c r="H516" s="106"/>
      <c r="I516" s="106"/>
      <c r="J516" s="106"/>
      <c r="K516" s="106"/>
      <c r="L516" s="106"/>
      <c r="M516" s="106"/>
      <c r="N516" s="106"/>
      <c r="O516" s="106"/>
      <c r="P516" s="106"/>
      <c r="Q516" s="106"/>
    </row>
    <row r="517" spans="7:17">
      <c r="G517" s="106"/>
      <c r="H517" s="106"/>
      <c r="I517" s="106"/>
      <c r="J517" s="106"/>
      <c r="K517" s="106"/>
      <c r="L517" s="106"/>
      <c r="M517" s="106"/>
      <c r="N517" s="106"/>
      <c r="O517" s="106"/>
      <c r="P517" s="106"/>
      <c r="Q517" s="106"/>
    </row>
    <row r="518" spans="7:17">
      <c r="G518" s="106"/>
      <c r="H518" s="106"/>
      <c r="I518" s="106"/>
      <c r="J518" s="106"/>
      <c r="K518" s="106"/>
      <c r="L518" s="106"/>
      <c r="M518" s="106"/>
      <c r="N518" s="106"/>
      <c r="O518" s="106"/>
      <c r="P518" s="106"/>
      <c r="Q518" s="106"/>
    </row>
    <row r="519" spans="7:17">
      <c r="G519" s="106"/>
      <c r="H519" s="106"/>
      <c r="I519" s="106"/>
      <c r="J519" s="106"/>
      <c r="K519" s="106"/>
      <c r="L519" s="106"/>
      <c r="M519" s="106"/>
      <c r="N519" s="106"/>
      <c r="O519" s="106"/>
      <c r="P519" s="106"/>
      <c r="Q519" s="106"/>
    </row>
    <row r="520" spans="7:17">
      <c r="G520" s="106"/>
      <c r="H520" s="106"/>
      <c r="I520" s="106"/>
      <c r="J520" s="106"/>
      <c r="K520" s="106"/>
      <c r="L520" s="106"/>
      <c r="M520" s="106"/>
      <c r="N520" s="106"/>
      <c r="O520" s="106"/>
      <c r="P520" s="106"/>
      <c r="Q520" s="106"/>
    </row>
    <row r="521" spans="7:17">
      <c r="G521" s="106"/>
      <c r="H521" s="106"/>
      <c r="I521" s="106"/>
      <c r="J521" s="106"/>
      <c r="K521" s="106"/>
      <c r="L521" s="106"/>
      <c r="M521" s="106"/>
      <c r="N521" s="106"/>
      <c r="O521" s="106"/>
      <c r="P521" s="106"/>
      <c r="Q521" s="106"/>
    </row>
  </sheetData>
  <phoneticPr fontId="11" type="noConversion"/>
  <printOptions horizontalCentered="1"/>
  <pageMargins left="0.25" right="0.25" top="0.52" bottom="0.63" header="0.31" footer="0.33"/>
  <pageSetup scale="57" fitToHeight="2" orientation="landscape" r:id="rId1"/>
  <headerFooter alignWithMargins="0">
    <oddFooter>&amp;C&amp;12 4.11.&amp;P</oddFooter>
  </headerFooter>
  <rowBreaks count="1" manualBreakCount="1">
    <brk id="78" max="1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FDC25B-7CBD-4E2A-BEAC-2BA30D6A4843}"/>
</file>

<file path=customXml/itemProps2.xml><?xml version="1.0" encoding="utf-8"?>
<ds:datastoreItem xmlns:ds="http://schemas.openxmlformats.org/officeDocument/2006/customXml" ds:itemID="{D47E91C8-6A51-42C5-83BA-AD2E01264622}"/>
</file>

<file path=customXml/itemProps3.xml><?xml version="1.0" encoding="utf-8"?>
<ds:datastoreItem xmlns:ds="http://schemas.openxmlformats.org/officeDocument/2006/customXml" ds:itemID="{CA16D7D4-7BC4-4C46-9DA8-5F218DEE86A6}"/>
</file>

<file path=customXml/itemProps4.xml><?xml version="1.0" encoding="utf-8"?>
<ds:datastoreItem xmlns:ds="http://schemas.openxmlformats.org/officeDocument/2006/customXml" ds:itemID="{094B2357-7F8B-4CE0-84D2-1EB5C198EF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Lead Sheet</vt:lpstr>
      <vt:lpstr>FY 2004 EXP BY EMPLOYEE</vt:lpstr>
      <vt:lpstr>3_31-05</vt:lpstr>
      <vt:lpstr>Tax Prep Svcs</vt:lpstr>
      <vt:lpstr>Actual Accounting</vt:lpstr>
      <vt:lpstr> Amort Schedule</vt:lpstr>
      <vt:lpstr>923 Backup</vt:lpstr>
      <vt:lpstr>9_30_04</vt:lpstr>
      <vt:lpstr>'3_31-05'!Print_Area</vt:lpstr>
      <vt:lpstr>'9_30_04'!Print_Area</vt:lpstr>
      <vt:lpstr>'923 Backup'!Print_Area</vt:lpstr>
      <vt:lpstr>'FY 2004 EXP BY EMPLOYEE'!Print_Area</vt:lpstr>
      <vt:lpstr>'Tax Prep Svcs'!Print_Area</vt:lpstr>
      <vt:lpstr>'9_30_04'!Print_Titles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PacifiCorp</dc:creator>
  <cp:lastModifiedBy>R. Bryce Dalley</cp:lastModifiedBy>
  <cp:lastPrinted>2010-04-20T17:22:41Z</cp:lastPrinted>
  <dcterms:created xsi:type="dcterms:W3CDTF">1999-09-20T16:57:05Z</dcterms:created>
  <dcterms:modified xsi:type="dcterms:W3CDTF">2010-11-19T17:34:44Z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-1848811888</vt:i4>
  </property>
  <property fmtid="{D5CDD505-2E9C-101B-9397-08002B2CF9AE}" pid="3" name="_EmailSubject">
    <vt:lpwstr>IA's adjustment</vt:lpwstr>
  </property>
  <property fmtid="{D5CDD505-2E9C-101B-9397-08002B2CF9AE}" pid="4" name="_AuthorEmail">
    <vt:lpwstr>Jeremy.Boyd@PacifiCorp.com</vt:lpwstr>
  </property>
  <property fmtid="{D5CDD505-2E9C-101B-9397-08002B2CF9AE}" pid="5" name="_AuthorEmailDisplayName">
    <vt:lpwstr>Boyd, Jeremy</vt:lpwstr>
  </property>
  <property fmtid="{D5CDD505-2E9C-101B-9397-08002B2CF9AE}" pid="6" name="_NewReviewCycle">
    <vt:lpwstr/>
  </property>
  <property fmtid="{D5CDD505-2E9C-101B-9397-08002B2CF9AE}" pid="7" name="_PreviousAdHocReviewCycleID">
    <vt:i4>44702243</vt:i4>
  </property>
  <property fmtid="{D5CDD505-2E9C-101B-9397-08002B2CF9AE}" pid="8" name="_ReviewingToolsShownOnce">
    <vt:lpwstr/>
  </property>
  <property fmtid="{D5CDD505-2E9C-101B-9397-08002B2CF9AE}" pid="9" name="ContentTypeId">
    <vt:lpwstr>0x0101006E56B4D1795A2E4DB2F0B01679ED314A0096E45178E737B2439E5D7C497507581C</vt:lpwstr>
  </property>
  <property fmtid="{D5CDD505-2E9C-101B-9397-08002B2CF9AE}" pid="10" name="_docset_NoMedatataSyncRequired">
    <vt:lpwstr>False</vt:lpwstr>
  </property>
</Properties>
</file>