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ome.utc.wa.gov/sites/ue-160228/Staffs Testimony and Exhibits/"/>
    </mc:Choice>
  </mc:AlternateContent>
  <bookViews>
    <workbookView xWindow="-945" yWindow="570" windowWidth="12120" windowHeight="2895" tabRatio="812" firstSheet="1" activeTab="2"/>
  </bookViews>
  <sheets>
    <sheet name="Oregon Total" sheetId="43" state="hidden" r:id="rId1"/>
    <sheet name="12.2015 Updated PenMed" sheetId="47" r:id="rId2"/>
    <sheet name="09.2015 Updated PenMed" sheetId="4" r:id="rId3"/>
    <sheet name="Non-Util Benefit Calc" sheetId="45" state="hidden" r:id="rId4"/>
    <sheet name="Pro-Forma" sheetId="46" r:id="rId5"/>
  </sheets>
  <externalReferences>
    <externalReference r:id="rId6"/>
  </externalReferences>
  <definedNames>
    <definedName name="_xlnm.Print_Area" localSheetId="2">'09.2015 Updated PenMed'!$K$1:$T$58</definedName>
    <definedName name="_xlnm.Print_Area" localSheetId="1">'12.2015 Updated PenMed'!$A$1:$J$58</definedName>
    <definedName name="_xlnm.Print_Area" localSheetId="3">'Non-Util Benefit Calc'!$A$1:$G$12</definedName>
    <definedName name="_xlnm.Print_Area" localSheetId="0">'Oregon Total'!$A$9:$H$79</definedName>
    <definedName name="_xlnm.Print_Area" localSheetId="4">'Pro-Forma'!$A$3:$R$58</definedName>
    <definedName name="_xlnm.Print_Titles" localSheetId="2">'09.2015 Updated PenMed'!$1:$11</definedName>
    <definedName name="_xlnm.Print_Titles" localSheetId="1">'12.2015 Updated PenMed'!$1:$11</definedName>
    <definedName name="_xlnm.Print_Titles" localSheetId="0">'Oregon Total'!$1:$8</definedName>
    <definedName name="Recover">[1]Macro1!$A$69</definedName>
    <definedName name="TableName">"Dummy"</definedName>
  </definedNames>
  <calcPr calcId="152511" fullPrecision="0"/>
</workbook>
</file>

<file path=xl/calcChain.xml><?xml version="1.0" encoding="utf-8"?>
<calcChain xmlns="http://schemas.openxmlformats.org/spreadsheetml/2006/main">
  <c r="P55" i="47" l="1"/>
  <c r="F55" i="47"/>
  <c r="P53" i="47"/>
  <c r="F53" i="47"/>
  <c r="F45" i="47"/>
  <c r="P44" i="47"/>
  <c r="P46" i="47" s="1"/>
  <c r="F44" i="47"/>
  <c r="F46" i="47" s="1"/>
  <c r="P42" i="47"/>
  <c r="F42" i="47"/>
  <c r="D25" i="47"/>
  <c r="K22" i="47"/>
  <c r="K26" i="47" s="1"/>
  <c r="K30" i="47" s="1"/>
  <c r="D21" i="47"/>
  <c r="N18" i="47"/>
  <c r="N22" i="47" s="1"/>
  <c r="K18" i="47"/>
  <c r="A18" i="47"/>
  <c r="A22" i="47" s="1"/>
  <c r="A26" i="47" s="1"/>
  <c r="A30" i="47" s="1"/>
  <c r="D17" i="47"/>
  <c r="O15" i="47"/>
  <c r="N14" i="47"/>
  <c r="D13" i="47"/>
  <c r="D14" i="47" s="1"/>
  <c r="D26" i="47" s="1"/>
  <c r="R9" i="47"/>
  <c r="S9" i="47" s="1"/>
  <c r="I9" i="47"/>
  <c r="G9" i="47"/>
  <c r="H9" i="47" s="1"/>
  <c r="S7" i="47"/>
  <c r="R7" i="47"/>
  <c r="Q7" i="47"/>
  <c r="H7" i="47"/>
  <c r="G7" i="47"/>
  <c r="I7" i="47" s="1"/>
  <c r="R6" i="47"/>
  <c r="R8" i="47" s="1"/>
  <c r="R10" i="47" s="1"/>
  <c r="Q6" i="47"/>
  <c r="I6" i="47"/>
  <c r="H6" i="47"/>
  <c r="H8" i="47" s="1"/>
  <c r="H10" i="47" s="1"/>
  <c r="G6" i="47"/>
  <c r="H15" i="47" l="1"/>
  <c r="H31" i="47"/>
  <c r="N26" i="47"/>
  <c r="O23" i="47"/>
  <c r="R23" i="47" s="1"/>
  <c r="E27" i="47"/>
  <c r="H27" i="47" s="1"/>
  <c r="E15" i="47"/>
  <c r="E23" i="47"/>
  <c r="H23" i="47" s="1"/>
  <c r="S6" i="47"/>
  <c r="Q8" i="47"/>
  <c r="G8" i="47"/>
  <c r="R15" i="47"/>
  <c r="D22" i="47"/>
  <c r="D18" i="47"/>
  <c r="E19" i="47" s="1"/>
  <c r="H19" i="47" s="1"/>
  <c r="O19" i="47"/>
  <c r="D30" i="47"/>
  <c r="E31" i="47" s="1"/>
  <c r="P53" i="4"/>
  <c r="P42" i="4"/>
  <c r="P44" i="4"/>
  <c r="H54" i="47" l="1"/>
  <c r="H51" i="47"/>
  <c r="H52" i="47"/>
  <c r="H53" i="47"/>
  <c r="H50" i="47"/>
  <c r="R19" i="47"/>
  <c r="O27" i="47"/>
  <c r="R27" i="47" s="1"/>
  <c r="N30" i="47"/>
  <c r="O31" i="47" s="1"/>
  <c r="G10" i="47"/>
  <c r="I8" i="47"/>
  <c r="J8" i="47" s="1"/>
  <c r="E33" i="47"/>
  <c r="R44" i="47"/>
  <c r="R43" i="47"/>
  <c r="R45" i="47"/>
  <c r="R42" i="47"/>
  <c r="R54" i="47"/>
  <c r="R51" i="47"/>
  <c r="R50" i="47"/>
  <c r="R53" i="47"/>
  <c r="R52" i="47"/>
  <c r="H45" i="47"/>
  <c r="H44" i="47"/>
  <c r="H43" i="47"/>
  <c r="H42" i="47"/>
  <c r="H33" i="47"/>
  <c r="G31" i="47"/>
  <c r="I31" i="47" s="1"/>
  <c r="Q10" i="47"/>
  <c r="S8" i="47"/>
  <c r="T8" i="47" s="1"/>
  <c r="N14" i="4"/>
  <c r="N18" i="4" s="1"/>
  <c r="N22" i="4" s="1"/>
  <c r="N26" i="4" s="1"/>
  <c r="N30" i="4" s="1"/>
  <c r="R46" i="47" l="1"/>
  <c r="O33" i="47"/>
  <c r="R55" i="47"/>
  <c r="H46" i="47"/>
  <c r="G23" i="47"/>
  <c r="G19" i="47"/>
  <c r="I19" i="47" s="1"/>
  <c r="G27" i="47"/>
  <c r="I27" i="47" s="1"/>
  <c r="G15" i="47"/>
  <c r="I10" i="47"/>
  <c r="Q23" i="47"/>
  <c r="Q19" i="47"/>
  <c r="S19" i="47" s="1"/>
  <c r="S10" i="47"/>
  <c r="Q27" i="47"/>
  <c r="S27" i="47" s="1"/>
  <c r="Q15" i="47"/>
  <c r="Q31" i="47"/>
  <c r="S31" i="47" s="1"/>
  <c r="R31" i="47"/>
  <c r="R33" i="47" s="1"/>
  <c r="H55" i="47"/>
  <c r="P55" i="4"/>
  <c r="F53" i="4"/>
  <c r="F45" i="4"/>
  <c r="F44" i="4"/>
  <c r="F42" i="4"/>
  <c r="F46" i="4" s="1"/>
  <c r="R7" i="4"/>
  <c r="Q7" i="4"/>
  <c r="R25" i="46"/>
  <c r="R24" i="46"/>
  <c r="R26" i="46"/>
  <c r="R43" i="46" s="1"/>
  <c r="R41" i="46"/>
  <c r="R34" i="46"/>
  <c r="C43" i="46"/>
  <c r="R21" i="46"/>
  <c r="S15" i="47" l="1"/>
  <c r="Q44" i="47"/>
  <c r="S44" i="47" s="1"/>
  <c r="Q43" i="47"/>
  <c r="S43" i="47" s="1"/>
  <c r="Q33" i="47"/>
  <c r="Q42" i="47"/>
  <c r="Q45" i="47"/>
  <c r="S45" i="47" s="1"/>
  <c r="G53" i="47"/>
  <c r="I53" i="47" s="1"/>
  <c r="G54" i="47"/>
  <c r="I54" i="47" s="1"/>
  <c r="G51" i="47"/>
  <c r="I51" i="47" s="1"/>
  <c r="G52" i="47"/>
  <c r="I52" i="47" s="1"/>
  <c r="G50" i="47"/>
  <c r="I23" i="47"/>
  <c r="G43" i="47"/>
  <c r="I43" i="47" s="1"/>
  <c r="I15" i="47"/>
  <c r="G45" i="47"/>
  <c r="I45" i="47" s="1"/>
  <c r="G44" i="47"/>
  <c r="I44" i="47" s="1"/>
  <c r="G42" i="47"/>
  <c r="G33" i="47"/>
  <c r="Q53" i="47"/>
  <c r="S53" i="47" s="1"/>
  <c r="Q52" i="47"/>
  <c r="S52" i="47" s="1"/>
  <c r="Q50" i="47"/>
  <c r="Q54" i="47"/>
  <c r="S54" i="47" s="1"/>
  <c r="S23" i="47"/>
  <c r="Q51" i="47"/>
  <c r="S51" i="47" s="1"/>
  <c r="P46" i="4"/>
  <c r="F55" i="4"/>
  <c r="O31" i="4"/>
  <c r="O27" i="4"/>
  <c r="O23" i="4"/>
  <c r="O19" i="4"/>
  <c r="K18" i="4"/>
  <c r="K22" i="4" s="1"/>
  <c r="K26" i="4" s="1"/>
  <c r="K30" i="4" s="1"/>
  <c r="O15" i="4"/>
  <c r="S7" i="4"/>
  <c r="C41" i="46"/>
  <c r="C34" i="46"/>
  <c r="G55" i="47" l="1"/>
  <c r="I50" i="47"/>
  <c r="I55" i="47" s="1"/>
  <c r="I33" i="47"/>
  <c r="Q55" i="47"/>
  <c r="S50" i="47"/>
  <c r="S55" i="47" s="1"/>
  <c r="G46" i="47"/>
  <c r="I42" i="47"/>
  <c r="I46" i="47" s="1"/>
  <c r="Q46" i="47"/>
  <c r="S42" i="47"/>
  <c r="S46" i="47" s="1"/>
  <c r="S33" i="47"/>
  <c r="O33" i="4"/>
  <c r="C24" i="46"/>
  <c r="D17" i="4" l="1"/>
  <c r="D13" i="4"/>
  <c r="D25" i="46" l="1"/>
  <c r="D24" i="46"/>
  <c r="D26" i="46" s="1"/>
  <c r="C25" i="46"/>
  <c r="D9" i="45"/>
  <c r="E9" i="45"/>
  <c r="F9" i="45"/>
  <c r="G9" i="45"/>
  <c r="C9" i="45"/>
  <c r="D8" i="45"/>
  <c r="E8" i="45"/>
  <c r="F8" i="45"/>
  <c r="G8" i="45"/>
  <c r="C8" i="45"/>
  <c r="G7" i="45"/>
  <c r="D25" i="4"/>
  <c r="D21" i="4"/>
  <c r="H6" i="4" l="1"/>
  <c r="R6" i="4" s="1"/>
  <c r="R8" i="4" s="1"/>
  <c r="H7" i="4"/>
  <c r="G6" i="4"/>
  <c r="Q6" i="4" s="1"/>
  <c r="G7" i="4"/>
  <c r="D14" i="4"/>
  <c r="D18" i="4" s="1"/>
  <c r="G9" i="4"/>
  <c r="C44" i="46" s="1"/>
  <c r="C45" i="46" l="1"/>
  <c r="R44" i="46"/>
  <c r="R45" i="46" s="1"/>
  <c r="I7" i="4"/>
  <c r="Q8" i="4"/>
  <c r="S6" i="4"/>
  <c r="H9" i="4"/>
  <c r="I9" i="4" s="1"/>
  <c r="R9" i="4" s="1"/>
  <c r="S9" i="4" s="1"/>
  <c r="R10" i="4" l="1"/>
  <c r="Q10" i="4"/>
  <c r="S8" i="4"/>
  <c r="T8" i="4" s="1"/>
  <c r="F69" i="43"/>
  <c r="F30" i="43"/>
  <c r="F29" i="43"/>
  <c r="F76" i="43"/>
  <c r="F74" i="43"/>
  <c r="F73" i="43"/>
  <c r="F72" i="43"/>
  <c r="F67" i="43"/>
  <c r="F66" i="43"/>
  <c r="F55" i="43"/>
  <c r="F54" i="43"/>
  <c r="F48" i="43"/>
  <c r="F47" i="43"/>
  <c r="F45" i="43"/>
  <c r="F24" i="43"/>
  <c r="F21" i="43"/>
  <c r="F12" i="43"/>
  <c r="A18" i="4"/>
  <c r="A22" i="4" s="1"/>
  <c r="A26" i="4" s="1"/>
  <c r="A30" i="4" s="1"/>
  <c r="R15" i="4" l="1"/>
  <c r="R27" i="4"/>
  <c r="R19" i="4"/>
  <c r="R31" i="4"/>
  <c r="R23" i="4"/>
  <c r="Q31" i="4"/>
  <c r="S10" i="4"/>
  <c r="Q19" i="4"/>
  <c r="S19" i="4" s="1"/>
  <c r="Q27" i="4"/>
  <c r="Q23" i="4"/>
  <c r="Q15" i="4"/>
  <c r="Q42" i="4" l="1"/>
  <c r="Q43" i="4"/>
  <c r="Q45" i="4"/>
  <c r="Q44" i="4"/>
  <c r="R44" i="4"/>
  <c r="R43" i="4"/>
  <c r="S43" i="4" s="1"/>
  <c r="R45" i="4"/>
  <c r="S45" i="4" s="1"/>
  <c r="R42" i="4"/>
  <c r="S23" i="4"/>
  <c r="Q51" i="4"/>
  <c r="Q53" i="4"/>
  <c r="Q50" i="4"/>
  <c r="Q52" i="4"/>
  <c r="Q54" i="4"/>
  <c r="R52" i="4"/>
  <c r="R54" i="4"/>
  <c r="R50" i="4"/>
  <c r="R51" i="4"/>
  <c r="S51" i="4" s="1"/>
  <c r="R53" i="4"/>
  <c r="S53" i="4" s="1"/>
  <c r="S31" i="4"/>
  <c r="S27" i="4"/>
  <c r="R33" i="4"/>
  <c r="S15" i="4"/>
  <c r="Q33" i="4"/>
  <c r="B17" i="43"/>
  <c r="B22" i="43"/>
  <c r="B23" i="43"/>
  <c r="B31" i="43"/>
  <c r="B33" i="43"/>
  <c r="B35" i="43"/>
  <c r="B43" i="43"/>
  <c r="B44" i="43"/>
  <c r="B50" i="43"/>
  <c r="B51" i="43"/>
  <c r="B52" i="43"/>
  <c r="B57" i="43"/>
  <c r="B58" i="43"/>
  <c r="B59" i="43"/>
  <c r="B60" i="43"/>
  <c r="B61" i="43"/>
  <c r="B62" i="43"/>
  <c r="B64" i="43"/>
  <c r="B65" i="43"/>
  <c r="B75" i="43"/>
  <c r="B78" i="43"/>
  <c r="B16" i="43"/>
  <c r="D76" i="43"/>
  <c r="D74" i="43"/>
  <c r="D72" i="43"/>
  <c r="D73" i="43"/>
  <c r="D69" i="43"/>
  <c r="D68" i="43"/>
  <c r="D67" i="43"/>
  <c r="D66" i="43"/>
  <c r="D55" i="43"/>
  <c r="D54" i="43"/>
  <c r="D53" i="43"/>
  <c r="D48" i="43"/>
  <c r="D47" i="43"/>
  <c r="D46" i="43"/>
  <c r="D45" i="43"/>
  <c r="D41" i="43"/>
  <c r="D40" i="43"/>
  <c r="D39" i="43"/>
  <c r="D38" i="43"/>
  <c r="D37" i="43"/>
  <c r="D36" i="43"/>
  <c r="D34" i="43"/>
  <c r="D32" i="43"/>
  <c r="D30" i="43"/>
  <c r="D29" i="43"/>
  <c r="D28" i="43"/>
  <c r="D27" i="43"/>
  <c r="D26" i="43"/>
  <c r="D25" i="43"/>
  <c r="D24" i="43"/>
  <c r="D21" i="43"/>
  <c r="D12" i="43"/>
  <c r="D13" i="43" s="1"/>
  <c r="D18" i="43"/>
  <c r="D63" i="43"/>
  <c r="C73" i="43"/>
  <c r="C72" i="43"/>
  <c r="C76" i="43"/>
  <c r="C74" i="43"/>
  <c r="C67" i="43"/>
  <c r="C68" i="43"/>
  <c r="C69" i="43"/>
  <c r="B69" i="43" s="1"/>
  <c r="C70" i="43"/>
  <c r="B70" i="43" s="1"/>
  <c r="C71" i="43"/>
  <c r="B71" i="43" s="1"/>
  <c r="C66" i="43"/>
  <c r="C54" i="43"/>
  <c r="C55" i="43"/>
  <c r="C53" i="43"/>
  <c r="C46" i="43"/>
  <c r="C47" i="43"/>
  <c r="B47" i="43" s="1"/>
  <c r="C48" i="43"/>
  <c r="C45" i="43"/>
  <c r="B45" i="43" s="1"/>
  <c r="C37" i="43"/>
  <c r="C38" i="43"/>
  <c r="C39" i="43"/>
  <c r="C40" i="43"/>
  <c r="C41" i="43"/>
  <c r="C36" i="43"/>
  <c r="B36" i="43" s="1"/>
  <c r="C34" i="43"/>
  <c r="C32" i="43"/>
  <c r="B32" i="43" s="1"/>
  <c r="C30" i="43"/>
  <c r="C25" i="43"/>
  <c r="C26" i="43"/>
  <c r="C27" i="43"/>
  <c r="B27" i="43" s="1"/>
  <c r="C28" i="43"/>
  <c r="C29" i="43"/>
  <c r="C24" i="43"/>
  <c r="C21" i="43"/>
  <c r="C12" i="43"/>
  <c r="C18" i="43"/>
  <c r="B18" i="43" s="1"/>
  <c r="C63" i="43"/>
  <c r="B63" i="43" s="1"/>
  <c r="G8" i="4"/>
  <c r="G10" i="4" s="1"/>
  <c r="A1" i="43"/>
  <c r="A4" i="43"/>
  <c r="E63" i="43"/>
  <c r="H63" i="43"/>
  <c r="S54" i="4" l="1"/>
  <c r="S52" i="4"/>
  <c r="R46" i="4"/>
  <c r="S42" i="4"/>
  <c r="S44" i="4"/>
  <c r="Q46" i="4"/>
  <c r="Q55" i="4"/>
  <c r="R55" i="4"/>
  <c r="S50" i="4"/>
  <c r="S33" i="4"/>
  <c r="B21" i="43"/>
  <c r="B73" i="43"/>
  <c r="C13" i="43"/>
  <c r="B12" i="43"/>
  <c r="D56" i="43"/>
  <c r="H8" i="4"/>
  <c r="I6" i="4"/>
  <c r="B40" i="43"/>
  <c r="B29" i="43"/>
  <c r="B76" i="43"/>
  <c r="B53" i="43"/>
  <c r="B67" i="43"/>
  <c r="B48" i="43"/>
  <c r="B38" i="43"/>
  <c r="B54" i="43"/>
  <c r="B28" i="43"/>
  <c r="B41" i="43"/>
  <c r="B46" i="43"/>
  <c r="B68" i="43"/>
  <c r="B24" i="43"/>
  <c r="B34" i="43"/>
  <c r="C77" i="43"/>
  <c r="C49" i="43"/>
  <c r="B30" i="43"/>
  <c r="B37" i="43"/>
  <c r="B72" i="43"/>
  <c r="G72" i="43" s="1"/>
  <c r="B26" i="43"/>
  <c r="B39" i="43"/>
  <c r="B74" i="43"/>
  <c r="D42" i="43"/>
  <c r="D49" i="43"/>
  <c r="C42" i="43"/>
  <c r="B66" i="43"/>
  <c r="B25" i="43"/>
  <c r="C56" i="43"/>
  <c r="B55" i="43"/>
  <c r="D77" i="43"/>
  <c r="S55" i="4" l="1"/>
  <c r="S46" i="4"/>
  <c r="B77" i="43"/>
  <c r="I8" i="4"/>
  <c r="J8" i="4" s="1"/>
  <c r="H10" i="4"/>
  <c r="I10" i="4" s="1"/>
  <c r="B56" i="43"/>
  <c r="G12" i="43"/>
  <c r="B13" i="43"/>
  <c r="B42" i="43"/>
  <c r="C79" i="43"/>
  <c r="B49" i="43"/>
  <c r="D79" i="43"/>
  <c r="B88" i="43" l="1"/>
  <c r="B79" i="43"/>
  <c r="G66" i="43" s="1"/>
  <c r="G39" i="43" l="1"/>
  <c r="G48" i="43"/>
  <c r="G32" i="43"/>
  <c r="G41" i="43"/>
  <c r="G70" i="43"/>
  <c r="G30" i="43"/>
  <c r="G46" i="43"/>
  <c r="G54" i="43"/>
  <c r="G10" i="43"/>
  <c r="G71" i="43"/>
  <c r="F60" i="43"/>
  <c r="G60" i="43" s="1"/>
  <c r="G75" i="43"/>
  <c r="G67" i="43"/>
  <c r="F59" i="43"/>
  <c r="G34" i="43"/>
  <c r="G69" i="43"/>
  <c r="G47" i="43"/>
  <c r="G33" i="43"/>
  <c r="G21" i="43"/>
  <c r="F16" i="43"/>
  <c r="G16" i="43" s="1"/>
  <c r="G37" i="43"/>
  <c r="G73" i="43"/>
  <c r="G24" i="43"/>
  <c r="G29" i="43"/>
  <c r="G38" i="43"/>
  <c r="G22" i="43"/>
  <c r="G76" i="43"/>
  <c r="G53" i="43"/>
  <c r="G28" i="43"/>
  <c r="G68" i="43"/>
  <c r="F17" i="43"/>
  <c r="G17" i="43" s="1"/>
  <c r="G27" i="43"/>
  <c r="G55" i="43"/>
  <c r="G52" i="43"/>
  <c r="F61" i="43"/>
  <c r="G61" i="43" s="1"/>
  <c r="G35" i="43"/>
  <c r="G74" i="43"/>
  <c r="G11" i="43"/>
  <c r="G40" i="43"/>
  <c r="G25" i="43"/>
  <c r="G23" i="43"/>
  <c r="G45" i="43"/>
  <c r="G26" i="43"/>
  <c r="G31" i="43"/>
  <c r="F62" i="43"/>
  <c r="G62" i="43" s="1"/>
  <c r="G36" i="43"/>
  <c r="F49" i="43" l="1"/>
  <c r="F63" i="43"/>
  <c r="F77" i="43"/>
  <c r="F42" i="43"/>
  <c r="F18" i="43"/>
  <c r="G49" i="43"/>
  <c r="F56" i="43"/>
  <c r="G59" i="43"/>
  <c r="G63" i="43" s="1"/>
  <c r="G18" i="43"/>
  <c r="G13" i="43"/>
  <c r="F13" i="43"/>
  <c r="G56" i="43"/>
  <c r="G77" i="43"/>
  <c r="G42" i="43"/>
  <c r="F79" i="43" l="1"/>
  <c r="G79" i="43"/>
  <c r="E15" i="4" l="1"/>
  <c r="E19" i="4"/>
  <c r="D26" i="4"/>
  <c r="E27" i="4" s="1"/>
  <c r="D30" i="4"/>
  <c r="E31" i="4" s="1"/>
  <c r="D22" i="4"/>
  <c r="E23" i="4" s="1"/>
  <c r="G15" i="4" l="1"/>
  <c r="G45" i="4" s="1"/>
  <c r="G43" i="4"/>
  <c r="G44" i="4"/>
  <c r="E33" i="4"/>
  <c r="G19" i="4"/>
  <c r="H19" i="4"/>
  <c r="G27" i="4"/>
  <c r="H27" i="4"/>
  <c r="G31" i="4"/>
  <c r="H31" i="4"/>
  <c r="G23" i="4"/>
  <c r="H23" i="4"/>
  <c r="H15" i="4"/>
  <c r="G42" i="4" l="1"/>
  <c r="G46" i="4" s="1"/>
  <c r="H52" i="4"/>
  <c r="H54" i="4"/>
  <c r="H51" i="4"/>
  <c r="H50" i="4"/>
  <c r="H53" i="4"/>
  <c r="G51" i="4"/>
  <c r="G50" i="4"/>
  <c r="G52" i="4"/>
  <c r="G53" i="4"/>
  <c r="G54" i="4"/>
  <c r="H42" i="4"/>
  <c r="H43" i="4"/>
  <c r="I43" i="4" s="1"/>
  <c r="H44" i="4"/>
  <c r="I44" i="4" s="1"/>
  <c r="H45" i="4"/>
  <c r="I45" i="4" s="1"/>
  <c r="H33" i="4"/>
  <c r="I23" i="4"/>
  <c r="I27" i="4"/>
  <c r="I15" i="4"/>
  <c r="G33" i="4"/>
  <c r="I31" i="4"/>
  <c r="I19" i="4"/>
  <c r="G55" i="4" l="1"/>
  <c r="I54" i="4"/>
  <c r="I51" i="4"/>
  <c r="I53" i="4"/>
  <c r="I52" i="4"/>
  <c r="H46" i="4"/>
  <c r="I42" i="4"/>
  <c r="I46" i="4" s="1"/>
  <c r="H55" i="4"/>
  <c r="I50" i="4"/>
  <c r="I33" i="4"/>
  <c r="I55" i="4" l="1"/>
</calcChain>
</file>

<file path=xl/sharedStrings.xml><?xml version="1.0" encoding="utf-8"?>
<sst xmlns="http://schemas.openxmlformats.org/spreadsheetml/2006/main" count="291" uniqueCount="141">
  <si>
    <t>Total</t>
  </si>
  <si>
    <t>Adjusted</t>
  </si>
  <si>
    <t>Distribution</t>
  </si>
  <si>
    <t>Total Distribution</t>
  </si>
  <si>
    <t>Customer Accounts</t>
  </si>
  <si>
    <t>Total Cust Accounts</t>
  </si>
  <si>
    <t>Cust Service &amp; Info</t>
  </si>
  <si>
    <t>Total Cust Svc &amp; Info</t>
  </si>
  <si>
    <t>Sales</t>
  </si>
  <si>
    <t>Total Sales</t>
  </si>
  <si>
    <t>Admin &amp; General</t>
  </si>
  <si>
    <t>Total Admin &amp; General</t>
  </si>
  <si>
    <t>Direct</t>
  </si>
  <si>
    <t>TOTAL</t>
  </si>
  <si>
    <t>% of total</t>
  </si>
  <si>
    <t>Natural Gas System Labor Dollars</t>
  </si>
  <si>
    <t>Pension</t>
  </si>
  <si>
    <t>Total Production</t>
  </si>
  <si>
    <t>Total Underground Storage</t>
  </si>
  <si>
    <t>Production</t>
  </si>
  <si>
    <t>Underground Storage</t>
  </si>
  <si>
    <t>807.xx</t>
  </si>
  <si>
    <t>check</t>
  </si>
  <si>
    <t>Total OR</t>
  </si>
  <si>
    <t>Total OR Gas Labor</t>
  </si>
  <si>
    <t>Oregon</t>
  </si>
  <si>
    <t xml:space="preserve">Allocate </t>
  </si>
  <si>
    <t>510 Payroll Benefits loading</t>
  </si>
  <si>
    <t>Expenditure Type</t>
  </si>
  <si>
    <t>Medical</t>
  </si>
  <si>
    <t>**</t>
  </si>
  <si>
    <t>Washington Electric Labor</t>
  </si>
  <si>
    <t xml:space="preserve"> Idaho Electric Labor</t>
  </si>
  <si>
    <t>Washington Gas Labor</t>
  </si>
  <si>
    <t>Idaho Gas Labor</t>
  </si>
  <si>
    <t>Oregon Gas Labor</t>
  </si>
  <si>
    <t>Calc</t>
  </si>
  <si>
    <t>G-FLB-7</t>
  </si>
  <si>
    <t>Accounting Period:&lt;All&gt;</t>
  </si>
  <si>
    <t>Transaction Amount</t>
  </si>
  <si>
    <t>CAP</t>
  </si>
  <si>
    <t>NONOP</t>
  </si>
  <si>
    <t>OPER</t>
  </si>
  <si>
    <t>OTHER</t>
  </si>
  <si>
    <t>Total OPER Labor</t>
  </si>
  <si>
    <t>Allocation</t>
  </si>
  <si>
    <t>Factor Impact</t>
  </si>
  <si>
    <t>Retirement</t>
  </si>
  <si>
    <t>Desc</t>
  </si>
  <si>
    <t>Projects</t>
  </si>
  <si>
    <t>Percent</t>
  </si>
  <si>
    <t>O &amp; M Allocation Percent</t>
  </si>
  <si>
    <t>Source: non-executive officer adjustment plus executive officer adjustment (test period)</t>
  </si>
  <si>
    <t>12 Months Ending</t>
  </si>
  <si>
    <t>Pro-Forma Adjustment</t>
  </si>
  <si>
    <t>Total Adjustment</t>
  </si>
  <si>
    <t xml:space="preserve">   Net O &amp; M increase to utility</t>
  </si>
  <si>
    <t>Year End</t>
  </si>
  <si>
    <t>Actual SUM</t>
  </si>
  <si>
    <t>YE 12.31.2015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</si>
  <si>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</si>
  <si>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</si>
  <si>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</si>
  <si>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</si>
  <si>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</si>
  <si>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</si>
  <si>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</si>
  <si>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</si>
  <si>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</si>
  <si>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</si>
  <si>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</si>
  <si>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</si>
  <si>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Project Number</t>
  </si>
  <si>
    <t>Task Number</t>
  </si>
  <si>
    <t>Task Name</t>
  </si>
  <si>
    <t>09802910</t>
  </si>
  <si>
    <t>925200</t>
  </si>
  <si>
    <t>Inj and Damages PB</t>
  </si>
  <si>
    <t>926220</t>
  </si>
  <si>
    <t>Health Insurance (Group Health)</t>
  </si>
  <si>
    <t>(1)</t>
  </si>
  <si>
    <t>09902910</t>
  </si>
  <si>
    <t>926210</t>
  </si>
  <si>
    <t>Employee Assistance</t>
  </si>
  <si>
    <t>926215</t>
  </si>
  <si>
    <t>Life/Other Insurance</t>
  </si>
  <si>
    <t>Health Insurance (Premera)</t>
  </si>
  <si>
    <t>926225</t>
  </si>
  <si>
    <t>401 (k)</t>
  </si>
  <si>
    <t>(2)</t>
  </si>
  <si>
    <t>926226</t>
  </si>
  <si>
    <t>401(K) Non-Elect Con</t>
  </si>
  <si>
    <t>926230</t>
  </si>
  <si>
    <t>Pension FAS 87</t>
  </si>
  <si>
    <t>926235</t>
  </si>
  <si>
    <t>Deferred Comp</t>
  </si>
  <si>
    <t>926240</t>
  </si>
  <si>
    <t xml:space="preserve">FAS 106 (Post-Retirement Medical) </t>
  </si>
  <si>
    <t>926245</t>
  </si>
  <si>
    <t>HRA Benefit</t>
  </si>
  <si>
    <t>09905867</t>
  </si>
  <si>
    <t>926250</t>
  </si>
  <si>
    <t>Cafeteria Contract</t>
  </si>
  <si>
    <t>Sum</t>
  </si>
  <si>
    <t>Mercer Estimate of Health Insurance - 2016 (used as basis for 2017) Premera</t>
  </si>
  <si>
    <t>Mercer Estimate of Health Insurance - 2016 (used as basis for 2017) Group Health</t>
  </si>
  <si>
    <t>Premera Adjustment for Incurred But Not Recorded (IBNR)</t>
  </si>
  <si>
    <t>Administration Fees (based on 2015 actual amount)</t>
  </si>
  <si>
    <t>Towers Watson Estimate for Post Retirement Medical (FAS 106)</t>
  </si>
  <si>
    <t>Towers Watson Estimate of Pension</t>
  </si>
  <si>
    <t>401(K) Elective and Non-Elective</t>
  </si>
  <si>
    <t>926225/926226</t>
  </si>
  <si>
    <t>Administration Fees</t>
  </si>
  <si>
    <t>Pension/401K</t>
  </si>
  <si>
    <t>Medical and Retirement Adjustment</t>
  </si>
  <si>
    <t>Test Period</t>
  </si>
  <si>
    <t>Pro-Forma</t>
  </si>
  <si>
    <t>Accounting Period BETWEEN '201501' AND '201512', , Expenditure Type Parameter 1 : '510 Payroll Benefits loading'</t>
  </si>
  <si>
    <r>
      <rPr>
        <vertAlign val="superscript"/>
        <sz val="11"/>
        <rFont val="Calibri"/>
        <family val="2"/>
        <scheme val="minor"/>
      </rPr>
      <t>1</t>
    </r>
    <r>
      <rPr>
        <sz val="9"/>
        <rFont val="Calibri"/>
        <family val="2"/>
        <scheme val="minor"/>
      </rPr>
      <t>Estimates are provided by Mercer for only the upcoming year.  As a result, 2016 estimated expenses are used as a proxy for 2017 estimates.</t>
    </r>
  </si>
  <si>
    <t>2018 Pro-Forma</t>
  </si>
  <si>
    <t>Due to the immateriality of the total adjustment for Post-Retirement Medical and Active Medical (O &amp; M $173,000) no pro-forma is being proposed.</t>
  </si>
  <si>
    <r>
      <rPr>
        <vertAlign val="superscript"/>
        <sz val="1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Towers Watson provides the actuarial analysis for the Pension Plan and Post-Retirement Medical expenses.  The direct case (pro-forma cross check study) includes estimates as of December 31, 2015.  </t>
    </r>
  </si>
  <si>
    <t>Washington Electric</t>
  </si>
  <si>
    <t>Washington Gas</t>
  </si>
  <si>
    <t>12 Months Ended</t>
  </si>
  <si>
    <t>Test period</t>
  </si>
  <si>
    <t>ORIGINAL FILING</t>
  </si>
  <si>
    <t>YEAR END REVISION</t>
  </si>
  <si>
    <t>O&amp;M %</t>
  </si>
  <si>
    <t>12 Months Ended 12.31.2015</t>
  </si>
  <si>
    <t>12 Months Ended 09.30.2015</t>
  </si>
  <si>
    <t>Production and Transmission</t>
  </si>
  <si>
    <t>Customer</t>
  </si>
  <si>
    <t>Admin and General</t>
  </si>
  <si>
    <t>ADJUSTMENT</t>
  </si>
  <si>
    <t>**Retirement based on 2017 Projection; medical based on 2016 Projection.</t>
  </si>
  <si>
    <t>REVISION 08.03.16 (FORMULA CORRECTION)</t>
  </si>
  <si>
    <t>UPDATED PENSION/MEDICAL COSTS</t>
  </si>
  <si>
    <r>
      <t xml:space="preserve">12 MONTHS ENDED </t>
    </r>
    <r>
      <rPr>
        <b/>
        <u/>
        <sz val="10"/>
        <rFont val="Times New Roman"/>
        <family val="1"/>
      </rPr>
      <t>12.31.2015</t>
    </r>
  </si>
  <si>
    <r>
      <t xml:space="preserve">12 MONTHS ENDED </t>
    </r>
    <r>
      <rPr>
        <b/>
        <u/>
        <sz val="10"/>
        <rFont val="Times New Roman"/>
        <family val="1"/>
      </rPr>
      <t>09.30.2015</t>
    </r>
  </si>
  <si>
    <t>09.30.2015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</si>
</sst>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  <numFmt numFmtId="168" formatCode="#,###,###,###"/>
    <numFmt numFmtId="169" formatCode="###,###,##0"/>
    <numFmt numFmtId="170" formatCode="0.0000%"/>
  </numFmts>
  <fonts count="35">
    <font>
      <sz val="10"/>
      <name val="Times New Roman"/>
    </font>
    <font>
      <sz val="10"/>
      <name val="Times New Roman"/>
      <family val="1"/>
    </font>
    <font>
      <sz val="10"/>
      <name val="Geneva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0"/>
      <color indexed="8"/>
      <name val="MS Sans Serif"/>
      <family val="2"/>
    </font>
    <font>
      <i/>
      <sz val="10"/>
      <name val="Times New Roman"/>
      <family val="1"/>
    </font>
    <font>
      <sz val="10"/>
      <color indexed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u/>
      <sz val="9.9499999999999993"/>
      <color indexed="8"/>
      <name val="Times New Roman"/>
      <family val="1"/>
    </font>
    <font>
      <sz val="10"/>
      <name val="Tahoma"/>
      <family val="2"/>
    </font>
    <font>
      <sz val="11"/>
      <name val="Times New Roman"/>
      <family val="1"/>
    </font>
    <font>
      <sz val="10"/>
      <name val="NewCenturySchlbk"/>
    </font>
    <font>
      <sz val="10"/>
      <name val="NewCenturySchlbk"/>
      <family val="1"/>
    </font>
    <font>
      <sz val="10"/>
      <color rgb="FFFF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8"/>
      <name val="Times New Roman"/>
      <family val="1"/>
    </font>
    <font>
      <sz val="10"/>
      <color rgb="FF3333FF"/>
      <name val="Times New Roman"/>
      <family val="1"/>
    </font>
    <font>
      <sz val="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thin">
        <color rgb="FFFF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9" fillId="0" borderId="0"/>
    <xf numFmtId="0" fontId="5" fillId="0" borderId="0"/>
    <xf numFmtId="0" fontId="1" fillId="0" borderId="0"/>
    <xf numFmtId="0" fontId="17" fillId="0" borderId="0"/>
    <xf numFmtId="0" fontId="2" fillId="0" borderId="0"/>
    <xf numFmtId="0" fontId="5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4">
    <xf numFmtId="0" fontId="0" fillId="0" borderId="0" xfId="0"/>
    <xf numFmtId="0" fontId="6" fillId="0" borderId="0" xfId="0" applyFont="1"/>
    <xf numFmtId="39" fontId="6" fillId="0" borderId="0" xfId="0" applyNumberFormat="1" applyFont="1"/>
    <xf numFmtId="39" fontId="6" fillId="0" borderId="0" xfId="0" applyNumberFormat="1" applyFont="1" applyBorder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4" fillId="0" borderId="0" xfId="10" applyFont="1" applyAlignment="1">
      <alignment horizontal="left"/>
    </xf>
    <xf numFmtId="0" fontId="6" fillId="0" borderId="0" xfId="10" applyFont="1"/>
    <xf numFmtId="0" fontId="6" fillId="0" borderId="0" xfId="10" applyFont="1" applyAlignment="1">
      <alignment horizontal="left"/>
    </xf>
    <xf numFmtId="0" fontId="6" fillId="0" borderId="0" xfId="10" applyFont="1" applyAlignment="1">
      <alignment horizontal="right"/>
    </xf>
    <xf numFmtId="0" fontId="10" fillId="0" borderId="0" xfId="11" applyFont="1"/>
    <xf numFmtId="0" fontId="6" fillId="0" borderId="1" xfId="10" applyFont="1" applyBorder="1" applyAlignment="1">
      <alignment horizontal="right"/>
    </xf>
    <xf numFmtId="164" fontId="6" fillId="0" borderId="0" xfId="10" applyNumberFormat="1" applyFont="1"/>
    <xf numFmtId="39" fontId="6" fillId="0" borderId="0" xfId="10" applyNumberFormat="1" applyFont="1"/>
    <xf numFmtId="39" fontId="6" fillId="0" borderId="2" xfId="10" applyNumberFormat="1" applyFont="1" applyBorder="1"/>
    <xf numFmtId="0" fontId="3" fillId="0" borderId="0" xfId="11" applyFont="1"/>
    <xf numFmtId="2" fontId="6" fillId="0" borderId="0" xfId="10" applyNumberFormat="1" applyFont="1" applyAlignment="1">
      <alignment horizontal="left"/>
    </xf>
    <xf numFmtId="39" fontId="6" fillId="2" borderId="2" xfId="10" applyNumberFormat="1" applyFont="1" applyFill="1" applyBorder="1"/>
    <xf numFmtId="0" fontId="13" fillId="0" borderId="0" xfId="10" applyFont="1" applyAlignment="1">
      <alignment horizontal="left"/>
    </xf>
    <xf numFmtId="0" fontId="6" fillId="0" borderId="0" xfId="10" applyFont="1" applyFill="1" applyBorder="1" applyAlignment="1">
      <alignment horizontal="right"/>
    </xf>
    <xf numFmtId="0" fontId="6" fillId="0" borderId="0" xfId="10" applyFont="1" applyFill="1" applyBorder="1" applyAlignment="1">
      <alignment horizontal="center"/>
    </xf>
    <xf numFmtId="0" fontId="6" fillId="0" borderId="0" xfId="10" applyFont="1" applyFill="1" applyBorder="1"/>
    <xf numFmtId="164" fontId="11" fillId="0" borderId="0" xfId="10" applyNumberFormat="1" applyFont="1" applyFill="1" applyBorder="1"/>
    <xf numFmtId="164" fontId="6" fillId="0" borderId="0" xfId="10" applyNumberFormat="1" applyFont="1" applyFill="1" applyBorder="1"/>
    <xf numFmtId="0" fontId="6" fillId="0" borderId="0" xfId="0" applyFont="1" applyFill="1" applyBorder="1"/>
    <xf numFmtId="39" fontId="6" fillId="0" borderId="2" xfId="10" applyNumberFormat="1" applyFont="1" applyFill="1" applyBorder="1"/>
    <xf numFmtId="0" fontId="8" fillId="0" borderId="0" xfId="11" applyFont="1" applyBorder="1"/>
    <xf numFmtId="10" fontId="1" fillId="0" borderId="1" xfId="11" applyNumberFormat="1" applyFont="1" applyFill="1" applyBorder="1"/>
    <xf numFmtId="0" fontId="16" fillId="0" borderId="0" xfId="0" applyFont="1"/>
    <xf numFmtId="0" fontId="16" fillId="0" borderId="0" xfId="0" applyFont="1" applyFill="1"/>
    <xf numFmtId="0" fontId="19" fillId="0" borderId="0" xfId="10" applyFont="1" applyFill="1" applyAlignment="1">
      <alignment horizontal="center"/>
    </xf>
    <xf numFmtId="39" fontId="1" fillId="2" borderId="2" xfId="0" applyNumberFormat="1" applyFont="1" applyFill="1" applyBorder="1" applyAlignment="1">
      <alignment horizontal="center"/>
    </xf>
    <xf numFmtId="39" fontId="6" fillId="4" borderId="0" xfId="0" applyNumberFormat="1" applyFont="1" applyFill="1"/>
    <xf numFmtId="165" fontId="1" fillId="0" borderId="0" xfId="11" applyNumberFormat="1" applyFont="1" applyAlignment="1">
      <alignment horizontal="center"/>
    </xf>
    <xf numFmtId="0" fontId="4" fillId="0" borderId="0" xfId="11" applyFont="1"/>
    <xf numFmtId="0" fontId="5" fillId="0" borderId="0" xfId="7"/>
    <xf numFmtId="0" fontId="21" fillId="0" borderId="5" xfId="7" applyFont="1" applyFill="1" applyBorder="1" applyAlignment="1">
      <alignment horizontal="left" vertical="top" wrapText="1"/>
    </xf>
    <xf numFmtId="0" fontId="21" fillId="0" borderId="5" xfId="7" applyFont="1" applyFill="1" applyBorder="1" applyAlignment="1">
      <alignment horizontal="left" vertical="top"/>
    </xf>
    <xf numFmtId="0" fontId="21" fillId="0" borderId="6" xfId="7" applyFont="1" applyFill="1" applyBorder="1" applyAlignment="1">
      <alignment horizontal="right" vertical="top"/>
    </xf>
    <xf numFmtId="0" fontId="21" fillId="0" borderId="10" xfId="7" applyFont="1" applyFill="1" applyBorder="1" applyAlignment="1">
      <alignment horizontal="right" vertical="top"/>
    </xf>
    <xf numFmtId="168" fontId="21" fillId="0" borderId="5" xfId="7" applyNumberFormat="1" applyFont="1" applyFill="1" applyBorder="1" applyAlignment="1">
      <alignment horizontal="right" vertical="top"/>
    </xf>
    <xf numFmtId="0" fontId="5" fillId="0" borderId="4" xfId="7" applyBorder="1"/>
    <xf numFmtId="0" fontId="20" fillId="0" borderId="4" xfId="7" applyFont="1" applyFill="1" applyBorder="1"/>
    <xf numFmtId="0" fontId="23" fillId="0" borderId="5" xfId="7" applyFont="1" applyFill="1" applyBorder="1" applyAlignment="1">
      <alignment horizontal="center" vertical="center"/>
    </xf>
    <xf numFmtId="0" fontId="23" fillId="0" borderId="5" xfId="7" applyFont="1" applyFill="1" applyBorder="1" applyAlignment="1">
      <alignment horizontal="center" vertical="top"/>
    </xf>
    <xf numFmtId="0" fontId="23" fillId="0" borderId="5" xfId="7" applyFont="1" applyFill="1" applyBorder="1" applyAlignment="1">
      <alignment horizontal="left" vertical="top"/>
    </xf>
    <xf numFmtId="0" fontId="21" fillId="4" borderId="6" xfId="7" applyFont="1" applyFill="1" applyBorder="1" applyAlignment="1">
      <alignment horizontal="center" vertical="top"/>
    </xf>
    <xf numFmtId="0" fontId="21" fillId="4" borderId="10" xfId="7" applyFont="1" applyFill="1" applyBorder="1" applyAlignment="1">
      <alignment horizontal="center" vertical="top"/>
    </xf>
    <xf numFmtId="168" fontId="21" fillId="4" borderId="8" xfId="7" applyNumberFormat="1" applyFont="1" applyFill="1" applyBorder="1" applyAlignment="1">
      <alignment horizontal="right" vertical="top"/>
    </xf>
    <xf numFmtId="0" fontId="1" fillId="0" borderId="0" xfId="11" applyFont="1"/>
    <xf numFmtId="0" fontId="1" fillId="0" borderId="0" xfId="11" applyFont="1" applyAlignment="1">
      <alignment horizontal="center"/>
    </xf>
    <xf numFmtId="165" fontId="1" fillId="0" borderId="0" xfId="11" applyNumberFormat="1" applyFont="1"/>
    <xf numFmtId="0" fontId="1" fillId="0" borderId="1" xfId="11" applyFont="1" applyFill="1" applyBorder="1" applyAlignment="1">
      <alignment horizontal="center"/>
    </xf>
    <xf numFmtId="0" fontId="1" fillId="0" borderId="0" xfId="11" applyFont="1" applyFill="1" applyBorder="1" applyAlignment="1">
      <alignment horizontal="center"/>
    </xf>
    <xf numFmtId="0" fontId="1" fillId="0" borderId="0" xfId="11" applyFont="1" applyFill="1"/>
    <xf numFmtId="167" fontId="1" fillId="0" borderId="0" xfId="3" applyNumberFormat="1" applyFont="1" applyFill="1" applyBorder="1"/>
    <xf numFmtId="166" fontId="1" fillId="0" borderId="0" xfId="1" applyNumberFormat="1" applyFont="1" applyFill="1" applyBorder="1"/>
    <xf numFmtId="167" fontId="1" fillId="0" borderId="1" xfId="3" applyNumberFormat="1" applyFont="1" applyFill="1" applyBorder="1"/>
    <xf numFmtId="3" fontId="1" fillId="0" borderId="0" xfId="11" applyNumberFormat="1" applyFont="1" applyFill="1" applyBorder="1" applyAlignment="1">
      <alignment horizontal="center"/>
    </xf>
    <xf numFmtId="0" fontId="1" fillId="0" borderId="0" xfId="11" applyNumberFormat="1" applyFont="1" applyAlignment="1">
      <alignment horizontal="center"/>
    </xf>
    <xf numFmtId="165" fontId="1" fillId="0" borderId="0" xfId="11" applyNumberFormat="1" applyFont="1" applyFill="1"/>
    <xf numFmtId="0" fontId="1" fillId="0" borderId="0" xfId="11" applyFont="1" applyFill="1" applyBorder="1"/>
    <xf numFmtId="0" fontId="1" fillId="0" borderId="0" xfId="11" applyFont="1" applyBorder="1"/>
    <xf numFmtId="0" fontId="1" fillId="0" borderId="0" xfId="11" applyFont="1" applyBorder="1" applyAlignment="1">
      <alignment horizontal="center"/>
    </xf>
    <xf numFmtId="43" fontId="1" fillId="0" borderId="0" xfId="1" applyFont="1" applyBorder="1"/>
    <xf numFmtId="0" fontId="13" fillId="0" borderId="0" xfId="11" applyFont="1"/>
    <xf numFmtId="44" fontId="1" fillId="0" borderId="0" xfId="3" applyFont="1" applyFill="1"/>
    <xf numFmtId="44" fontId="1" fillId="0" borderId="0" xfId="11" applyNumberFormat="1" applyFont="1" applyFill="1" applyBorder="1"/>
    <xf numFmtId="164" fontId="1" fillId="0" borderId="1" xfId="12" applyNumberFormat="1" applyFont="1" applyFill="1" applyBorder="1"/>
    <xf numFmtId="0" fontId="24" fillId="0" borderId="0" xfId="11" applyFont="1" applyFill="1"/>
    <xf numFmtId="10" fontId="1" fillId="0" borderId="0" xfId="11" applyNumberFormat="1" applyFont="1" applyFill="1" applyAlignment="1">
      <alignment horizontal="right"/>
    </xf>
    <xf numFmtId="165" fontId="1" fillId="3" borderId="0" xfId="11" applyNumberFormat="1" applyFont="1" applyFill="1"/>
    <xf numFmtId="10" fontId="1" fillId="0" borderId="0" xfId="12" applyNumberFormat="1" applyFont="1"/>
    <xf numFmtId="167" fontId="1" fillId="0" borderId="0" xfId="3" applyNumberFormat="1" applyFont="1"/>
    <xf numFmtId="14" fontId="25" fillId="0" borderId="0" xfId="11" applyNumberFormat="1" applyFont="1"/>
    <xf numFmtId="44" fontId="25" fillId="0" borderId="0" xfId="3" applyFont="1" applyFill="1"/>
    <xf numFmtId="169" fontId="27" fillId="0" borderId="0" xfId="7" applyNumberFormat="1" applyFont="1" applyFill="1" applyBorder="1"/>
    <xf numFmtId="0" fontId="27" fillId="0" borderId="0" xfId="7" applyFont="1" applyFill="1" applyBorder="1" applyAlignment="1">
      <alignment wrapText="1"/>
    </xf>
    <xf numFmtId="166" fontId="27" fillId="5" borderId="0" xfId="15" applyNumberFormat="1" applyFont="1" applyFill="1"/>
    <xf numFmtId="0" fontId="26" fillId="0" borderId="6" xfId="7" applyFont="1" applyFill="1" applyBorder="1" applyAlignment="1">
      <alignment horizontal="right" vertical="top"/>
    </xf>
    <xf numFmtId="0" fontId="26" fillId="0" borderId="16" xfId="7" applyFont="1" applyFill="1" applyBorder="1" applyAlignment="1">
      <alignment horizontal="right" vertical="top"/>
    </xf>
    <xf numFmtId="0" fontId="27" fillId="0" borderId="0" xfId="7" applyFont="1" applyFill="1"/>
    <xf numFmtId="0" fontId="28" fillId="0" borderId="5" xfId="7" applyFont="1" applyFill="1" applyBorder="1" applyAlignment="1">
      <alignment horizontal="left" vertical="top"/>
    </xf>
    <xf numFmtId="0" fontId="26" fillId="0" borderId="10" xfId="7" applyFont="1" applyFill="1" applyBorder="1" applyAlignment="1">
      <alignment horizontal="right" vertical="top"/>
    </xf>
    <xf numFmtId="0" fontId="28" fillId="0" borderId="11" xfId="7" applyFont="1" applyFill="1" applyBorder="1" applyAlignment="1">
      <alignment horizontal="right" vertical="top"/>
    </xf>
    <xf numFmtId="0" fontId="26" fillId="0" borderId="18" xfId="7" applyFont="1" applyFill="1" applyBorder="1" applyAlignment="1">
      <alignment horizontal="right" vertical="top"/>
    </xf>
    <xf numFmtId="0" fontId="26" fillId="0" borderId="19" xfId="7" applyFont="1" applyFill="1" applyBorder="1" applyAlignment="1">
      <alignment horizontal="right" vertical="top"/>
    </xf>
    <xf numFmtId="0" fontId="26" fillId="0" borderId="20" xfId="7" applyFont="1" applyFill="1" applyBorder="1" applyAlignment="1">
      <alignment horizontal="right" vertical="top"/>
    </xf>
    <xf numFmtId="0" fontId="26" fillId="0" borderId="5" xfId="7" applyFont="1" applyFill="1" applyBorder="1" applyAlignment="1">
      <alignment horizontal="right" vertical="top"/>
    </xf>
    <xf numFmtId="0" fontId="28" fillId="0" borderId="8" xfId="7" applyFont="1" applyFill="1" applyBorder="1" applyAlignment="1">
      <alignment horizontal="left" vertical="top"/>
    </xf>
    <xf numFmtId="169" fontId="28" fillId="0" borderId="5" xfId="7" applyNumberFormat="1" applyFont="1" applyFill="1" applyBorder="1" applyAlignment="1">
      <alignment horizontal="right" vertical="top"/>
    </xf>
    <xf numFmtId="0" fontId="28" fillId="0" borderId="21" xfId="7" applyFont="1" applyFill="1" applyBorder="1" applyAlignment="1">
      <alignment horizontal="left" vertical="top"/>
    </xf>
    <xf numFmtId="0" fontId="28" fillId="0" borderId="17" xfId="7" applyFont="1" applyFill="1" applyBorder="1" applyAlignment="1">
      <alignment horizontal="left" vertical="top"/>
    </xf>
    <xf numFmtId="0" fontId="28" fillId="6" borderId="7" xfId="7" applyFont="1" applyFill="1" applyBorder="1" applyAlignment="1">
      <alignment horizontal="right" vertical="top"/>
    </xf>
    <xf numFmtId="0" fontId="28" fillId="6" borderId="11" xfId="7" applyFont="1" applyFill="1" applyBorder="1" applyAlignment="1">
      <alignment horizontal="right" vertical="top"/>
    </xf>
    <xf numFmtId="0" fontId="28" fillId="6" borderId="12" xfId="7" applyFont="1" applyFill="1" applyBorder="1" applyAlignment="1">
      <alignment horizontal="right" vertical="top"/>
    </xf>
    <xf numFmtId="169" fontId="29" fillId="6" borderId="5" xfId="7" applyNumberFormat="1" applyFont="1" applyFill="1" applyBorder="1" applyAlignment="1">
      <alignment horizontal="right" vertical="center"/>
    </xf>
    <xf numFmtId="0" fontId="28" fillId="0" borderId="0" xfId="7" applyFont="1" applyFill="1" applyBorder="1" applyAlignment="1">
      <alignment horizontal="right" vertical="top"/>
    </xf>
    <xf numFmtId="0" fontId="26" fillId="0" borderId="0" xfId="7" applyFont="1" applyFill="1" applyBorder="1" applyAlignment="1">
      <alignment horizontal="right" vertical="top"/>
    </xf>
    <xf numFmtId="169" fontId="27" fillId="0" borderId="0" xfId="7" applyNumberFormat="1" applyFont="1" applyFill="1"/>
    <xf numFmtId="9" fontId="27" fillId="0" borderId="0" xfId="14" applyFont="1" applyFill="1"/>
    <xf numFmtId="44" fontId="27" fillId="0" borderId="0" xfId="7" applyNumberFormat="1" applyFont="1" applyFill="1"/>
    <xf numFmtId="0" fontId="28" fillId="0" borderId="0" xfId="7" quotePrefix="1" applyFont="1" applyFill="1" applyBorder="1" applyAlignment="1">
      <alignment horizontal="right" vertical="top"/>
    </xf>
    <xf numFmtId="166" fontId="27" fillId="0" borderId="0" xfId="15" applyNumberFormat="1" applyFont="1" applyFill="1"/>
    <xf numFmtId="166" fontId="27" fillId="0" borderId="9" xfId="15" applyNumberFormat="1" applyFont="1" applyFill="1" applyBorder="1"/>
    <xf numFmtId="166" fontId="27" fillId="5" borderId="9" xfId="15" applyNumberFormat="1" applyFont="1" applyFill="1" applyBorder="1"/>
    <xf numFmtId="0" fontId="27" fillId="0" borderId="0" xfId="5" applyNumberFormat="1" applyFont="1" applyFill="1"/>
    <xf numFmtId="0" fontId="27" fillId="0" borderId="0" xfId="7" applyFont="1" applyFill="1" applyAlignment="1">
      <alignment horizontal="right"/>
    </xf>
    <xf numFmtId="169" fontId="28" fillId="0" borderId="7" xfId="7" applyNumberFormat="1" applyFont="1" applyFill="1" applyBorder="1" applyAlignment="1">
      <alignment horizontal="right" vertical="center"/>
    </xf>
    <xf numFmtId="0" fontId="26" fillId="0" borderId="7" xfId="7" applyFont="1" applyFill="1" applyBorder="1" applyAlignment="1">
      <alignment horizontal="right" vertical="top"/>
    </xf>
    <xf numFmtId="169" fontId="29" fillId="6" borderId="7" xfId="7" applyNumberFormat="1" applyFont="1" applyFill="1" applyBorder="1" applyAlignment="1">
      <alignment horizontal="right" vertical="center"/>
    </xf>
    <xf numFmtId="0" fontId="28" fillId="0" borderId="12" xfId="7" applyFont="1" applyFill="1" applyBorder="1" applyAlignment="1">
      <alignment horizontal="left" vertical="top"/>
    </xf>
    <xf numFmtId="0" fontId="26" fillId="0" borderId="12" xfId="7" applyFont="1" applyFill="1" applyBorder="1" applyAlignment="1">
      <alignment horizontal="right" vertical="top"/>
    </xf>
    <xf numFmtId="169" fontId="28" fillId="0" borderId="12" xfId="7" applyNumberFormat="1" applyFont="1" applyFill="1" applyBorder="1" applyAlignment="1">
      <alignment horizontal="right" vertical="top"/>
    </xf>
    <xf numFmtId="169" fontId="29" fillId="6" borderId="12" xfId="7" applyNumberFormat="1" applyFont="1" applyFill="1" applyBorder="1" applyAlignment="1">
      <alignment horizontal="right" vertical="center"/>
    </xf>
    <xf numFmtId="0" fontId="27" fillId="0" borderId="0" xfId="7" applyFont="1" applyFill="1" applyBorder="1"/>
    <xf numFmtId="0" fontId="28" fillId="0" borderId="0" xfId="7" applyFont="1" applyFill="1" applyBorder="1" applyAlignment="1">
      <alignment horizontal="left" vertical="top"/>
    </xf>
    <xf numFmtId="0" fontId="28" fillId="0" borderId="24" xfId="7" quotePrefix="1" applyFont="1" applyFill="1" applyBorder="1" applyAlignment="1">
      <alignment horizontal="right" vertical="top"/>
    </xf>
    <xf numFmtId="0" fontId="27" fillId="0" borderId="25" xfId="7" applyFont="1" applyFill="1" applyBorder="1"/>
    <xf numFmtId="0" fontId="27" fillId="0" borderId="26" xfId="7" applyFont="1" applyFill="1" applyBorder="1"/>
    <xf numFmtId="169" fontId="27" fillId="0" borderId="26" xfId="7" applyNumberFormat="1" applyFont="1" applyFill="1" applyBorder="1"/>
    <xf numFmtId="0" fontId="7" fillId="0" borderId="0" xfId="11" applyFont="1" applyAlignment="1">
      <alignment horizontal="center"/>
    </xf>
    <xf numFmtId="0" fontId="1" fillId="0" borderId="0" xfId="11" applyFont="1" applyAlignment="1">
      <alignment horizontal="center"/>
    </xf>
    <xf numFmtId="165" fontId="1" fillId="0" borderId="3" xfId="11" applyNumberFormat="1" applyFont="1" applyFill="1" applyBorder="1"/>
    <xf numFmtId="0" fontId="27" fillId="0" borderId="23" xfId="7" applyFont="1" applyBorder="1" applyAlignment="1">
      <alignment horizontal="center"/>
    </xf>
    <xf numFmtId="0" fontId="16" fillId="0" borderId="27" xfId="0" applyFont="1" applyBorder="1"/>
    <xf numFmtId="10" fontId="22" fillId="0" borderId="13" xfId="14" applyNumberFormat="1" applyFont="1" applyFill="1" applyBorder="1"/>
    <xf numFmtId="10" fontId="20" fillId="0" borderId="4" xfId="14" applyNumberFormat="1" applyFont="1" applyFill="1" applyBorder="1"/>
    <xf numFmtId="10" fontId="20" fillId="0" borderId="14" xfId="14" applyNumberFormat="1" applyFont="1" applyFill="1" applyBorder="1"/>
    <xf numFmtId="10" fontId="20" fillId="0" borderId="15" xfId="14" applyNumberFormat="1" applyFont="1" applyFill="1" applyBorder="1"/>
    <xf numFmtId="167" fontId="1" fillId="0" borderId="9" xfId="3" applyNumberFormat="1" applyFont="1" applyBorder="1"/>
    <xf numFmtId="0" fontId="27" fillId="0" borderId="0" xfId="0" applyFont="1"/>
    <xf numFmtId="0" fontId="27" fillId="0" borderId="0" xfId="7" applyFont="1"/>
    <xf numFmtId="0" fontId="27" fillId="0" borderId="22" xfId="7" applyFont="1" applyBorder="1"/>
    <xf numFmtId="0" fontId="27" fillId="0" borderId="23" xfId="7" applyFont="1" applyBorder="1"/>
    <xf numFmtId="165" fontId="1" fillId="5" borderId="28" xfId="11" applyNumberFormat="1" applyFont="1" applyFill="1" applyBorder="1"/>
    <xf numFmtId="165" fontId="1" fillId="5" borderId="29" xfId="11" applyNumberFormat="1" applyFont="1" applyFill="1" applyBorder="1"/>
    <xf numFmtId="165" fontId="1" fillId="5" borderId="30" xfId="11" applyNumberFormat="1" applyFont="1" applyFill="1" applyBorder="1"/>
    <xf numFmtId="165" fontId="1" fillId="0" borderId="0" xfId="11" applyNumberFormat="1" applyFont="1" applyFill="1" applyBorder="1"/>
    <xf numFmtId="0" fontId="1" fillId="0" borderId="0" xfId="11" applyFont="1" applyAlignment="1">
      <alignment horizontal="center" wrapText="1"/>
    </xf>
    <xf numFmtId="0" fontId="1" fillId="0" borderId="0" xfId="11" applyFont="1" applyAlignment="1">
      <alignment horizontal="center" wrapText="1"/>
    </xf>
    <xf numFmtId="0" fontId="4" fillId="7" borderId="0" xfId="11" applyFont="1" applyFill="1" applyAlignment="1">
      <alignment horizontal="center"/>
    </xf>
    <xf numFmtId="0" fontId="32" fillId="7" borderId="7" xfId="7" applyFont="1" applyFill="1" applyBorder="1" applyAlignment="1">
      <alignment horizontal="right" vertical="center"/>
    </xf>
    <xf numFmtId="0" fontId="33" fillId="0" borderId="0" xfId="0" applyFont="1" applyAlignment="1">
      <alignment horizontal="center"/>
    </xf>
    <xf numFmtId="0" fontId="27" fillId="0" borderId="0" xfId="7" applyFont="1" applyAlignment="1">
      <alignment horizontal="center"/>
    </xf>
    <xf numFmtId="0" fontId="27" fillId="0" borderId="0" xfId="7" applyFont="1" applyFill="1" applyBorder="1" applyAlignment="1">
      <alignment horizontal="center"/>
    </xf>
    <xf numFmtId="166" fontId="27" fillId="0" borderId="0" xfId="7" applyNumberFormat="1" applyFont="1"/>
    <xf numFmtId="43" fontId="27" fillId="0" borderId="0" xfId="7" applyNumberFormat="1" applyFont="1"/>
    <xf numFmtId="10" fontId="27" fillId="0" borderId="9" xfId="7" applyNumberFormat="1" applyFont="1" applyBorder="1"/>
    <xf numFmtId="0" fontId="27" fillId="0" borderId="9" xfId="7" applyFont="1" applyBorder="1"/>
    <xf numFmtId="0" fontId="27" fillId="0" borderId="31" xfId="7" applyFont="1" applyBorder="1" applyAlignment="1">
      <alignment horizontal="center"/>
    </xf>
    <xf numFmtId="169" fontId="27" fillId="0" borderId="32" xfId="7" applyNumberFormat="1" applyFont="1" applyFill="1" applyBorder="1"/>
    <xf numFmtId="169" fontId="27" fillId="0" borderId="33" xfId="7" applyNumberFormat="1" applyFont="1" applyFill="1" applyBorder="1"/>
    <xf numFmtId="0" fontId="27" fillId="0" borderId="31" xfId="7" applyFont="1" applyBorder="1" applyAlignment="1">
      <alignment horizontal="center" wrapText="1"/>
    </xf>
    <xf numFmtId="169" fontId="27" fillId="0" borderId="9" xfId="7" applyNumberFormat="1" applyFont="1" applyFill="1" applyBorder="1"/>
    <xf numFmtId="169" fontId="27" fillId="0" borderId="34" xfId="7" applyNumberFormat="1" applyFont="1" applyFill="1" applyBorder="1"/>
    <xf numFmtId="0" fontId="4" fillId="0" borderId="0" xfId="11" applyFont="1" applyFill="1"/>
    <xf numFmtId="10" fontId="1" fillId="0" borderId="0" xfId="12" applyNumberFormat="1" applyFont="1" applyAlignment="1">
      <alignment horizontal="center" wrapText="1"/>
    </xf>
    <xf numFmtId="170" fontId="1" fillId="0" borderId="0" xfId="12" applyNumberFormat="1" applyFont="1" applyAlignment="1">
      <alignment horizontal="center" wrapText="1"/>
    </xf>
    <xf numFmtId="170" fontId="1" fillId="0" borderId="0" xfId="11" applyNumberFormat="1" applyFont="1" applyAlignment="1">
      <alignment horizontal="center" wrapText="1"/>
    </xf>
    <xf numFmtId="10" fontId="1" fillId="0" borderId="9" xfId="12" applyNumberFormat="1" applyFont="1" applyBorder="1" applyAlignment="1">
      <alignment horizontal="center" wrapText="1"/>
    </xf>
    <xf numFmtId="164" fontId="1" fillId="0" borderId="0" xfId="11" applyNumberFormat="1" applyFont="1" applyAlignment="1">
      <alignment horizontal="center"/>
    </xf>
    <xf numFmtId="0" fontId="4" fillId="7" borderId="0" xfId="11" applyFont="1" applyFill="1"/>
    <xf numFmtId="10" fontId="34" fillId="4" borderId="0" xfId="12" applyNumberFormat="1" applyFont="1" applyFill="1" applyAlignment="1">
      <alignment horizontal="center" wrapText="1"/>
    </xf>
    <xf numFmtId="0" fontId="4" fillId="7" borderId="0" xfId="11" applyFont="1" applyFill="1" applyAlignment="1">
      <alignment horizontal="center"/>
    </xf>
    <xf numFmtId="0" fontId="1" fillId="0" borderId="0" xfId="11" applyFont="1" applyAlignment="1">
      <alignment horizontal="center" wrapText="1"/>
    </xf>
    <xf numFmtId="0" fontId="20" fillId="0" borderId="0" xfId="7" applyFont="1" applyFill="1" applyAlignment="1">
      <alignment horizontal="left" vertical="top" wrapText="1"/>
    </xf>
    <xf numFmtId="0" fontId="23" fillId="0" borderId="7" xfId="7" applyFont="1" applyFill="1" applyBorder="1" applyAlignment="1">
      <alignment horizontal="center" vertical="top"/>
    </xf>
    <xf numFmtId="0" fontId="23" fillId="0" borderId="11" xfId="7" applyFont="1" applyFill="1" applyBorder="1" applyAlignment="1">
      <alignment horizontal="center" vertical="top"/>
    </xf>
    <xf numFmtId="0" fontId="23" fillId="0" borderId="12" xfId="7" applyFont="1" applyFill="1" applyBorder="1" applyAlignment="1">
      <alignment horizontal="center" vertical="top"/>
    </xf>
    <xf numFmtId="0" fontId="20" fillId="0" borderId="0" xfId="16" applyFont="1" applyAlignment="1">
      <alignment horizontal="left" wrapText="1"/>
    </xf>
    <xf numFmtId="0" fontId="20" fillId="0" borderId="0" xfId="16" applyFont="1" applyAlignment="1">
      <alignment wrapText="1"/>
    </xf>
  </cellXfs>
  <cellStyles count="20">
    <cellStyle name="Comma" xfId="1" builtinId="3"/>
    <cellStyle name="Comma 2" xfId="2"/>
    <cellStyle name="Comma 3" xfId="17"/>
    <cellStyle name="Comma 4" xfId="15"/>
    <cellStyle name="Currency" xfId="3" builtinId="4"/>
    <cellStyle name="Currency 2" xfId="4"/>
    <cellStyle name="Currency 3" xfId="5"/>
    <cellStyle name="Currency 4" xfId="18"/>
    <cellStyle name="Normal" xfId="0" builtinId="0"/>
    <cellStyle name="Normal 2" xfId="6"/>
    <cellStyle name="Normal 3" xfId="7"/>
    <cellStyle name="Normal 4" xfId="8"/>
    <cellStyle name="Normal 5" xfId="9"/>
    <cellStyle name="Normal 6" xfId="16"/>
    <cellStyle name="Normal_1296GasLabor$" xfId="10"/>
    <cellStyle name="Normal_Loadings" xfId="11"/>
    <cellStyle name="Percent" xfId="12" builtinId="5"/>
    <cellStyle name="Percent 2" xfId="13"/>
    <cellStyle name="Percent 3" xfId="14"/>
    <cellStyle name="Percent 4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2012%20WA%20GRC/Adjustments/Adjustments/PF%20-%20Labor&amp;Benefit/2012%20Info/Downloads/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132"/>
  <sheetViews>
    <sheetView topLeftCell="A55" workbookViewId="0">
      <selection activeCell="F70" sqref="F70"/>
    </sheetView>
  </sheetViews>
  <sheetFormatPr defaultColWidth="13.33203125" defaultRowHeight="12.75"/>
  <cols>
    <col min="1" max="1" width="24.1640625" style="9" customWidth="1"/>
    <col min="2" max="4" width="12.6640625" style="9" customWidth="1"/>
    <col min="5" max="5" width="1.83203125" style="6" customWidth="1"/>
    <col min="6" max="6" width="13.33203125" style="1" customWidth="1"/>
    <col min="7" max="7" width="13.6640625" style="1" customWidth="1"/>
    <col min="8" max="8" width="1.83203125" style="6" customWidth="1"/>
    <col min="9" max="9" width="13.33203125" style="9" customWidth="1"/>
    <col min="10" max="10" width="21.1640625" style="9" customWidth="1"/>
    <col min="11" max="11" width="6.33203125" style="9" customWidth="1"/>
    <col min="12" max="16384" width="13.33203125" style="9"/>
  </cols>
  <sheetData>
    <row r="1" spans="1:15">
      <c r="A1" s="8" t="e">
        <f>#REF!</f>
        <v>#REF!</v>
      </c>
    </row>
    <row r="2" spans="1:15">
      <c r="A2" s="10" t="s">
        <v>25</v>
      </c>
    </row>
    <row r="3" spans="1:15">
      <c r="A3" s="10" t="s">
        <v>15</v>
      </c>
    </row>
    <row r="4" spans="1:15">
      <c r="A4" s="10" t="e">
        <f>#REF!</f>
        <v>#REF!</v>
      </c>
    </row>
    <row r="7" spans="1:15">
      <c r="A7" s="11"/>
      <c r="B7" s="11"/>
      <c r="C7" s="11" t="s">
        <v>26</v>
      </c>
      <c r="D7" s="11" t="s">
        <v>12</v>
      </c>
      <c r="E7" s="7"/>
      <c r="F7" s="4" t="s">
        <v>45</v>
      </c>
      <c r="G7" s="4" t="s">
        <v>1</v>
      </c>
      <c r="H7" s="7"/>
      <c r="I7" s="11"/>
      <c r="J7" s="11"/>
      <c r="K7" s="11"/>
      <c r="L7" s="11"/>
      <c r="M7" s="11"/>
      <c r="N7" s="11"/>
      <c r="O7" s="11"/>
    </row>
    <row r="8" spans="1:15">
      <c r="A8" s="11"/>
      <c r="B8" s="13" t="s">
        <v>0</v>
      </c>
      <c r="C8" s="13" t="s">
        <v>25</v>
      </c>
      <c r="D8" s="13" t="s">
        <v>25</v>
      </c>
      <c r="E8" s="7"/>
      <c r="F8" s="5" t="s">
        <v>46</v>
      </c>
      <c r="G8" s="5" t="s">
        <v>23</v>
      </c>
      <c r="H8" s="7"/>
      <c r="I8" s="11"/>
      <c r="J8" s="21"/>
      <c r="K8" s="22"/>
      <c r="L8" s="22"/>
      <c r="M8" s="22"/>
      <c r="N8" s="22"/>
    </row>
    <row r="9" spans="1:15">
      <c r="A9" s="9" t="s">
        <v>19</v>
      </c>
      <c r="J9" s="23"/>
      <c r="K9" s="23"/>
      <c r="L9" s="24"/>
      <c r="M9" s="24"/>
      <c r="N9" s="25"/>
    </row>
    <row r="10" spans="1:15">
      <c r="A10" s="10">
        <v>807</v>
      </c>
      <c r="B10" s="15">
        <v>0</v>
      </c>
      <c r="C10" s="15">
        <v>0</v>
      </c>
      <c r="D10" s="15">
        <v>0</v>
      </c>
      <c r="F10" s="2">
        <v>0</v>
      </c>
      <c r="G10" s="2">
        <f>B10+F10</f>
        <v>0</v>
      </c>
      <c r="H10" s="3"/>
      <c r="J10" s="23"/>
      <c r="K10" s="23"/>
      <c r="L10" s="24"/>
      <c r="M10" s="24"/>
      <c r="N10" s="25"/>
    </row>
    <row r="11" spans="1:15">
      <c r="A11" s="18" t="s">
        <v>21</v>
      </c>
      <c r="B11" s="15">
        <v>0</v>
      </c>
      <c r="C11" s="15">
        <v>0</v>
      </c>
      <c r="D11" s="15">
        <v>0</v>
      </c>
      <c r="F11" s="2">
        <v>0</v>
      </c>
      <c r="G11" s="2">
        <f>B11+F11</f>
        <v>0</v>
      </c>
      <c r="H11" s="3"/>
      <c r="J11" s="23"/>
      <c r="K11" s="23"/>
      <c r="L11" s="24"/>
      <c r="M11" s="24"/>
      <c r="N11" s="25"/>
    </row>
    <row r="12" spans="1:15">
      <c r="A12" s="10">
        <v>813</v>
      </c>
      <c r="B12" s="15" t="e">
        <f t="shared" ref="B12" si="0">C12+D12</f>
        <v>#REF!</v>
      </c>
      <c r="C12" s="15" t="e">
        <f>#REF!</f>
        <v>#REF!</v>
      </c>
      <c r="D12" s="15" t="e">
        <f>#REF!</f>
        <v>#REF!</v>
      </c>
      <c r="F12" s="2" t="e">
        <f>#REF!</f>
        <v>#REF!</v>
      </c>
      <c r="G12" s="2" t="e">
        <f>B12+F12</f>
        <v>#REF!</v>
      </c>
      <c r="H12" s="3"/>
      <c r="J12" s="23"/>
      <c r="K12" s="23"/>
      <c r="L12" s="24"/>
      <c r="M12" s="24"/>
      <c r="N12" s="25"/>
    </row>
    <row r="13" spans="1:15">
      <c r="A13" s="9" t="s">
        <v>17</v>
      </c>
      <c r="B13" s="27" t="e">
        <f>SUM(B9:B12)</f>
        <v>#REF!</v>
      </c>
      <c r="C13" s="27" t="e">
        <f>SUM(C10:C12)</f>
        <v>#REF!</v>
      </c>
      <c r="D13" s="27" t="e">
        <f>SUM(D10:D12)</f>
        <v>#REF!</v>
      </c>
      <c r="E13" s="3"/>
      <c r="F13" s="16" t="e">
        <f>SUM(F9:F12)</f>
        <v>#REF!</v>
      </c>
      <c r="G13" s="16" t="e">
        <f>SUM(G9:G12)</f>
        <v>#REF!</v>
      </c>
      <c r="H13" s="3"/>
      <c r="J13" s="23"/>
      <c r="K13" s="23"/>
      <c r="L13" s="24"/>
      <c r="M13" s="24"/>
      <c r="N13" s="25"/>
    </row>
    <row r="14" spans="1:15">
      <c r="B14" s="15"/>
      <c r="C14" s="15"/>
      <c r="D14" s="15"/>
      <c r="E14" s="3"/>
      <c r="F14" s="15"/>
      <c r="G14" s="15"/>
      <c r="H14" s="3"/>
      <c r="J14" s="23"/>
      <c r="K14" s="23"/>
      <c r="L14" s="24"/>
      <c r="M14" s="24"/>
      <c r="N14" s="25"/>
    </row>
    <row r="15" spans="1:15">
      <c r="A15" s="9" t="s">
        <v>20</v>
      </c>
      <c r="B15" s="15"/>
      <c r="C15" s="15"/>
      <c r="D15" s="15"/>
      <c r="E15" s="3"/>
      <c r="F15" s="15"/>
      <c r="G15" s="15"/>
      <c r="H15" s="3"/>
      <c r="J15" s="23"/>
      <c r="K15" s="23"/>
      <c r="L15" s="25"/>
      <c r="M15" s="25"/>
      <c r="N15" s="25"/>
    </row>
    <row r="16" spans="1:15">
      <c r="A16" s="10">
        <v>814</v>
      </c>
      <c r="B16" s="15">
        <f>C16+D16</f>
        <v>0</v>
      </c>
      <c r="C16" s="15">
        <v>0</v>
      </c>
      <c r="D16" s="15">
        <v>0</v>
      </c>
      <c r="E16" s="3"/>
      <c r="F16" s="2" t="e">
        <f>ROUND(B16/(B$79-B$72)*B$72,2)</f>
        <v>#REF!</v>
      </c>
      <c r="G16" s="2" t="e">
        <f>B16+F16</f>
        <v>#REF!</v>
      </c>
      <c r="H16" s="3"/>
      <c r="J16" s="26"/>
      <c r="K16" s="23"/>
      <c r="L16" s="25"/>
      <c r="M16" s="25"/>
      <c r="N16" s="25"/>
    </row>
    <row r="17" spans="1:14">
      <c r="A17" s="10">
        <v>820</v>
      </c>
      <c r="B17" s="15">
        <f t="shared" ref="B17:B79" si="1">C17+D17</f>
        <v>0</v>
      </c>
      <c r="C17" s="15">
        <v>0</v>
      </c>
      <c r="D17" s="15">
        <v>0</v>
      </c>
      <c r="E17" s="3"/>
      <c r="F17" s="2" t="e">
        <f>ROUND(B17/(B$79-B$72)*B$72,2)</f>
        <v>#REF!</v>
      </c>
      <c r="G17" s="2" t="e">
        <f>B17+F17</f>
        <v>#REF!</v>
      </c>
      <c r="H17" s="3"/>
      <c r="J17" s="23"/>
      <c r="K17" s="23"/>
      <c r="L17" s="25"/>
      <c r="M17" s="25"/>
      <c r="N17" s="25"/>
    </row>
    <row r="18" spans="1:14">
      <c r="A18" s="20" t="s">
        <v>18</v>
      </c>
      <c r="B18" s="16">
        <f t="shared" si="1"/>
        <v>0</v>
      </c>
      <c r="C18" s="16">
        <f>SUM(C15:C17)</f>
        <v>0</v>
      </c>
      <c r="D18" s="16">
        <f>SUM(D15:D17)</f>
        <v>0</v>
      </c>
      <c r="E18" s="3"/>
      <c r="F18" s="16" t="e">
        <f>SUM(F15:F17)</f>
        <v>#REF!</v>
      </c>
      <c r="G18" s="16" t="e">
        <f>SUM(G15:G17)</f>
        <v>#REF!</v>
      </c>
      <c r="H18" s="3"/>
      <c r="L18" s="14"/>
      <c r="M18" s="14"/>
      <c r="N18" s="14"/>
    </row>
    <row r="19" spans="1:14">
      <c r="B19" s="15"/>
      <c r="C19" s="15"/>
      <c r="D19" s="15"/>
      <c r="E19" s="3"/>
      <c r="F19" s="15"/>
      <c r="G19" s="15"/>
      <c r="H19" s="3"/>
    </row>
    <row r="20" spans="1:14">
      <c r="A20" s="9" t="s">
        <v>2</v>
      </c>
      <c r="B20" s="15"/>
      <c r="C20" s="15"/>
      <c r="D20" s="15"/>
      <c r="E20" s="3"/>
      <c r="F20" s="15"/>
      <c r="G20" s="15"/>
      <c r="H20" s="3"/>
    </row>
    <row r="21" spans="1:14">
      <c r="A21" s="10">
        <v>870</v>
      </c>
      <c r="B21" s="15" t="e">
        <f t="shared" si="1"/>
        <v>#REF!</v>
      </c>
      <c r="C21" s="15" t="e">
        <f>#REF!</f>
        <v>#REF!</v>
      </c>
      <c r="D21" s="15" t="e">
        <f>#REF!</f>
        <v>#REF!</v>
      </c>
      <c r="E21" s="3"/>
      <c r="F21" s="2" t="e">
        <f>#REF!</f>
        <v>#REF!</v>
      </c>
      <c r="G21" s="2" t="e">
        <f>B21+F21</f>
        <v>#REF!</v>
      </c>
      <c r="H21" s="3"/>
    </row>
    <row r="22" spans="1:14">
      <c r="A22" s="10">
        <v>871</v>
      </c>
      <c r="B22" s="15">
        <f t="shared" si="1"/>
        <v>0</v>
      </c>
      <c r="C22" s="15">
        <v>0</v>
      </c>
      <c r="D22" s="15">
        <v>0</v>
      </c>
      <c r="E22" s="3"/>
      <c r="F22" s="2">
        <v>0</v>
      </c>
      <c r="G22" s="2">
        <f t="shared" ref="G22:G41" si="2">B22+F22</f>
        <v>0</v>
      </c>
      <c r="H22" s="3"/>
    </row>
    <row r="23" spans="1:14">
      <c r="A23" s="10">
        <v>872</v>
      </c>
      <c r="B23" s="15">
        <f t="shared" si="1"/>
        <v>0</v>
      </c>
      <c r="C23" s="15">
        <v>0</v>
      </c>
      <c r="D23" s="15">
        <v>0</v>
      </c>
      <c r="E23" s="3"/>
      <c r="F23" s="2">
        <v>0</v>
      </c>
      <c r="G23" s="2">
        <f t="shared" si="2"/>
        <v>0</v>
      </c>
      <c r="H23" s="3"/>
    </row>
    <row r="24" spans="1:14">
      <c r="A24" s="10">
        <v>874</v>
      </c>
      <c r="B24" s="15" t="e">
        <f t="shared" si="1"/>
        <v>#REF!</v>
      </c>
      <c r="C24" s="15" t="e">
        <f>#REF!</f>
        <v>#REF!</v>
      </c>
      <c r="D24" s="15" t="e">
        <f>#REF!</f>
        <v>#REF!</v>
      </c>
      <c r="E24" s="3"/>
      <c r="F24" s="2" t="e">
        <f>#REF!</f>
        <v>#REF!</v>
      </c>
      <c r="G24" s="2" t="e">
        <f t="shared" si="2"/>
        <v>#REF!</v>
      </c>
      <c r="H24" s="3"/>
    </row>
    <row r="25" spans="1:14">
      <c r="A25" s="10">
        <v>875</v>
      </c>
      <c r="B25" s="15" t="e">
        <f t="shared" si="1"/>
        <v>#REF!</v>
      </c>
      <c r="C25" s="15" t="e">
        <f>#REF!</f>
        <v>#REF!</v>
      </c>
      <c r="D25" s="15" t="e">
        <f>#REF!</f>
        <v>#REF!</v>
      </c>
      <c r="E25" s="3"/>
      <c r="F25" s="2">
        <v>0</v>
      </c>
      <c r="G25" s="2" t="e">
        <f t="shared" si="2"/>
        <v>#REF!</v>
      </c>
      <c r="H25" s="3"/>
    </row>
    <row r="26" spans="1:14">
      <c r="A26" s="10">
        <v>876</v>
      </c>
      <c r="B26" s="15" t="e">
        <f t="shared" si="1"/>
        <v>#REF!</v>
      </c>
      <c r="C26" s="15" t="e">
        <f>#REF!</f>
        <v>#REF!</v>
      </c>
      <c r="D26" s="15" t="e">
        <f>#REF!</f>
        <v>#REF!</v>
      </c>
      <c r="E26" s="3"/>
      <c r="F26" s="2">
        <v>0</v>
      </c>
      <c r="G26" s="2" t="e">
        <f t="shared" si="2"/>
        <v>#REF!</v>
      </c>
      <c r="H26" s="3"/>
    </row>
    <row r="27" spans="1:14">
      <c r="A27" s="10">
        <v>877</v>
      </c>
      <c r="B27" s="15" t="e">
        <f t="shared" si="1"/>
        <v>#REF!</v>
      </c>
      <c r="C27" s="15" t="e">
        <f>#REF!</f>
        <v>#REF!</v>
      </c>
      <c r="D27" s="15" t="e">
        <f>#REF!</f>
        <v>#REF!</v>
      </c>
      <c r="E27" s="3"/>
      <c r="F27" s="2">
        <v>0</v>
      </c>
      <c r="G27" s="2" t="e">
        <f t="shared" si="2"/>
        <v>#REF!</v>
      </c>
      <c r="H27" s="3"/>
    </row>
    <row r="28" spans="1:14">
      <c r="A28" s="10">
        <v>878</v>
      </c>
      <c r="B28" s="15" t="e">
        <f t="shared" si="1"/>
        <v>#REF!</v>
      </c>
      <c r="C28" s="15" t="e">
        <f>#REF!</f>
        <v>#REF!</v>
      </c>
      <c r="D28" s="15" t="e">
        <f>#REF!</f>
        <v>#REF!</v>
      </c>
      <c r="E28" s="3"/>
      <c r="F28" s="2">
        <v>0</v>
      </c>
      <c r="G28" s="2" t="e">
        <f t="shared" si="2"/>
        <v>#REF!</v>
      </c>
      <c r="H28" s="3"/>
    </row>
    <row r="29" spans="1:14">
      <c r="A29" s="10">
        <v>879</v>
      </c>
      <c r="B29" s="15" t="e">
        <f t="shared" si="1"/>
        <v>#REF!</v>
      </c>
      <c r="C29" s="15" t="e">
        <f>#REF!</f>
        <v>#REF!</v>
      </c>
      <c r="D29" s="15" t="e">
        <f>#REF!</f>
        <v>#REF!</v>
      </c>
      <c r="E29" s="3"/>
      <c r="F29" s="2" t="e">
        <f>#REF!</f>
        <v>#REF!</v>
      </c>
      <c r="G29" s="2" t="e">
        <f t="shared" si="2"/>
        <v>#REF!</v>
      </c>
      <c r="H29" s="3"/>
    </row>
    <row r="30" spans="1:14">
      <c r="A30" s="10">
        <v>880</v>
      </c>
      <c r="B30" s="15" t="e">
        <f t="shared" si="1"/>
        <v>#REF!</v>
      </c>
      <c r="C30" s="15" t="e">
        <f>#REF!</f>
        <v>#REF!</v>
      </c>
      <c r="D30" s="15" t="e">
        <f>#REF!</f>
        <v>#REF!</v>
      </c>
      <c r="E30" s="3"/>
      <c r="F30" s="2" t="e">
        <f>#REF!</f>
        <v>#REF!</v>
      </c>
      <c r="G30" s="2" t="e">
        <f t="shared" si="2"/>
        <v>#REF!</v>
      </c>
      <c r="H30" s="3"/>
    </row>
    <row r="31" spans="1:14">
      <c r="A31" s="10">
        <v>881</v>
      </c>
      <c r="B31" s="15">
        <f t="shared" si="1"/>
        <v>0</v>
      </c>
      <c r="C31" s="15">
        <v>0</v>
      </c>
      <c r="D31" s="15">
        <v>0</v>
      </c>
      <c r="E31" s="3"/>
      <c r="F31" s="2">
        <v>0</v>
      </c>
      <c r="G31" s="2">
        <f t="shared" si="2"/>
        <v>0</v>
      </c>
      <c r="H31" s="3"/>
    </row>
    <row r="32" spans="1:14">
      <c r="A32" s="10">
        <v>885</v>
      </c>
      <c r="B32" s="15" t="e">
        <f t="shared" si="1"/>
        <v>#REF!</v>
      </c>
      <c r="C32" s="15" t="e">
        <f>#REF!</f>
        <v>#REF!</v>
      </c>
      <c r="D32" s="15" t="e">
        <f>#REF!</f>
        <v>#REF!</v>
      </c>
      <c r="E32" s="3"/>
      <c r="F32" s="2">
        <v>0</v>
      </c>
      <c r="G32" s="2" t="e">
        <f t="shared" si="2"/>
        <v>#REF!</v>
      </c>
      <c r="H32" s="3"/>
    </row>
    <row r="33" spans="1:8">
      <c r="A33" s="10">
        <v>886</v>
      </c>
      <c r="B33" s="15">
        <f t="shared" si="1"/>
        <v>0</v>
      </c>
      <c r="C33" s="15">
        <v>0</v>
      </c>
      <c r="D33" s="15">
        <v>0</v>
      </c>
      <c r="E33" s="3"/>
      <c r="F33" s="2">
        <v>0</v>
      </c>
      <c r="G33" s="2">
        <f t="shared" si="2"/>
        <v>0</v>
      </c>
      <c r="H33" s="3"/>
    </row>
    <row r="34" spans="1:8">
      <c r="A34" s="10">
        <v>887</v>
      </c>
      <c r="B34" s="15" t="e">
        <f t="shared" si="1"/>
        <v>#REF!</v>
      </c>
      <c r="C34" s="15" t="e">
        <f>#REF!</f>
        <v>#REF!</v>
      </c>
      <c r="D34" s="15" t="e">
        <f>#REF!</f>
        <v>#REF!</v>
      </c>
      <c r="E34" s="3"/>
      <c r="F34" s="2">
        <v>0</v>
      </c>
      <c r="G34" s="2" t="e">
        <f t="shared" si="2"/>
        <v>#REF!</v>
      </c>
      <c r="H34" s="3"/>
    </row>
    <row r="35" spans="1:8">
      <c r="A35" s="10">
        <v>888</v>
      </c>
      <c r="B35" s="15">
        <f t="shared" si="1"/>
        <v>0</v>
      </c>
      <c r="C35" s="15">
        <v>0</v>
      </c>
      <c r="D35" s="15">
        <v>0</v>
      </c>
      <c r="E35" s="3"/>
      <c r="F35" s="2">
        <v>0</v>
      </c>
      <c r="G35" s="2">
        <f t="shared" si="2"/>
        <v>0</v>
      </c>
      <c r="H35" s="3"/>
    </row>
    <row r="36" spans="1:8">
      <c r="A36" s="10">
        <v>889</v>
      </c>
      <c r="B36" s="15" t="e">
        <f t="shared" si="1"/>
        <v>#REF!</v>
      </c>
      <c r="C36" s="15" t="e">
        <f>#REF!</f>
        <v>#REF!</v>
      </c>
      <c r="D36" s="15" t="e">
        <f>#REF!</f>
        <v>#REF!</v>
      </c>
      <c r="E36" s="3"/>
      <c r="F36" s="2">
        <v>0</v>
      </c>
      <c r="G36" s="2" t="e">
        <f t="shared" si="2"/>
        <v>#REF!</v>
      </c>
      <c r="H36" s="3"/>
    </row>
    <row r="37" spans="1:8">
      <c r="A37" s="10">
        <v>890</v>
      </c>
      <c r="B37" s="15" t="e">
        <f t="shared" si="1"/>
        <v>#REF!</v>
      </c>
      <c r="C37" s="15" t="e">
        <f>#REF!</f>
        <v>#REF!</v>
      </c>
      <c r="D37" s="15" t="e">
        <f>#REF!</f>
        <v>#REF!</v>
      </c>
      <c r="E37" s="3"/>
      <c r="F37" s="2">
        <v>0</v>
      </c>
      <c r="G37" s="2" t="e">
        <f t="shared" si="2"/>
        <v>#REF!</v>
      </c>
      <c r="H37" s="3"/>
    </row>
    <row r="38" spans="1:8">
      <c r="A38" s="10">
        <v>891</v>
      </c>
      <c r="B38" s="15" t="e">
        <f t="shared" si="1"/>
        <v>#REF!</v>
      </c>
      <c r="C38" s="15" t="e">
        <f>#REF!</f>
        <v>#REF!</v>
      </c>
      <c r="D38" s="15" t="e">
        <f>#REF!</f>
        <v>#REF!</v>
      </c>
      <c r="E38" s="3"/>
      <c r="F38" s="2">
        <v>0</v>
      </c>
      <c r="G38" s="2" t="e">
        <f t="shared" si="2"/>
        <v>#REF!</v>
      </c>
      <c r="H38" s="3"/>
    </row>
    <row r="39" spans="1:8">
      <c r="A39" s="10">
        <v>892</v>
      </c>
      <c r="B39" s="15" t="e">
        <f t="shared" si="1"/>
        <v>#REF!</v>
      </c>
      <c r="C39" s="15" t="e">
        <f>#REF!</f>
        <v>#REF!</v>
      </c>
      <c r="D39" s="15" t="e">
        <f>#REF!</f>
        <v>#REF!</v>
      </c>
      <c r="E39" s="3"/>
      <c r="F39" s="2">
        <v>0</v>
      </c>
      <c r="G39" s="2" t="e">
        <f t="shared" si="2"/>
        <v>#REF!</v>
      </c>
      <c r="H39" s="3"/>
    </row>
    <row r="40" spans="1:8">
      <c r="A40" s="10">
        <v>893</v>
      </c>
      <c r="B40" s="15" t="e">
        <f t="shared" si="1"/>
        <v>#REF!</v>
      </c>
      <c r="C40" s="15" t="e">
        <f>#REF!</f>
        <v>#REF!</v>
      </c>
      <c r="D40" s="15" t="e">
        <f>#REF!</f>
        <v>#REF!</v>
      </c>
      <c r="E40" s="3"/>
      <c r="F40" s="2">
        <v>0</v>
      </c>
      <c r="G40" s="2" t="e">
        <f t="shared" si="2"/>
        <v>#REF!</v>
      </c>
      <c r="H40" s="3"/>
    </row>
    <row r="41" spans="1:8">
      <c r="A41" s="10">
        <v>894</v>
      </c>
      <c r="B41" s="15" t="e">
        <f t="shared" si="1"/>
        <v>#REF!</v>
      </c>
      <c r="C41" s="15" t="e">
        <f>#REF!</f>
        <v>#REF!</v>
      </c>
      <c r="D41" s="15" t="e">
        <f>#REF!</f>
        <v>#REF!</v>
      </c>
      <c r="E41" s="3"/>
      <c r="F41" s="2">
        <v>0</v>
      </c>
      <c r="G41" s="2" t="e">
        <f t="shared" si="2"/>
        <v>#REF!</v>
      </c>
      <c r="H41" s="3"/>
    </row>
    <row r="42" spans="1:8">
      <c r="A42" s="9" t="s">
        <v>3</v>
      </c>
      <c r="B42" s="16" t="e">
        <f t="shared" si="1"/>
        <v>#REF!</v>
      </c>
      <c r="C42" s="16" t="e">
        <f>SUM(C21:C41)</f>
        <v>#REF!</v>
      </c>
      <c r="D42" s="16" t="e">
        <f>SUM(D21:D41)</f>
        <v>#REF!</v>
      </c>
      <c r="E42" s="3"/>
      <c r="F42" s="16" t="e">
        <f>SUM(F21:F41)</f>
        <v>#REF!</v>
      </c>
      <c r="G42" s="16" t="e">
        <f>SUM(G21:G41)</f>
        <v>#REF!</v>
      </c>
      <c r="H42" s="3"/>
    </row>
    <row r="43" spans="1:8">
      <c r="B43" s="15">
        <f t="shared" si="1"/>
        <v>0</v>
      </c>
      <c r="C43" s="15"/>
      <c r="D43" s="15"/>
      <c r="E43" s="3"/>
      <c r="F43" s="15"/>
      <c r="G43" s="15"/>
      <c r="H43" s="3"/>
    </row>
    <row r="44" spans="1:8">
      <c r="A44" s="9" t="s">
        <v>4</v>
      </c>
      <c r="B44" s="15">
        <f t="shared" si="1"/>
        <v>0</v>
      </c>
      <c r="C44" s="15"/>
      <c r="D44" s="15"/>
      <c r="E44" s="3"/>
      <c r="F44" s="15"/>
      <c r="G44" s="15"/>
      <c r="H44" s="3"/>
    </row>
    <row r="45" spans="1:8">
      <c r="A45" s="10">
        <v>901</v>
      </c>
      <c r="B45" s="15" t="e">
        <f t="shared" si="1"/>
        <v>#REF!</v>
      </c>
      <c r="C45" s="15" t="e">
        <f>#REF!</f>
        <v>#REF!</v>
      </c>
      <c r="D45" s="15" t="e">
        <f>#REF!</f>
        <v>#REF!</v>
      </c>
      <c r="E45" s="3"/>
      <c r="F45" s="2" t="e">
        <f>#REF!</f>
        <v>#REF!</v>
      </c>
      <c r="G45" s="2" t="e">
        <f>B45+F45</f>
        <v>#REF!</v>
      </c>
      <c r="H45" s="3"/>
    </row>
    <row r="46" spans="1:8">
      <c r="A46" s="10">
        <v>902</v>
      </c>
      <c r="B46" s="15" t="e">
        <f t="shared" si="1"/>
        <v>#REF!</v>
      </c>
      <c r="C46" s="15" t="e">
        <f>#REF!</f>
        <v>#REF!</v>
      </c>
      <c r="D46" s="15" t="e">
        <f>#REF!</f>
        <v>#REF!</v>
      </c>
      <c r="E46" s="3"/>
      <c r="F46" s="2">
        <v>0</v>
      </c>
      <c r="G46" s="2" t="e">
        <f>B46+F46</f>
        <v>#REF!</v>
      </c>
      <c r="H46" s="3"/>
    </row>
    <row r="47" spans="1:8">
      <c r="A47" s="10">
        <v>903</v>
      </c>
      <c r="B47" s="15" t="e">
        <f t="shared" si="1"/>
        <v>#REF!</v>
      </c>
      <c r="C47" s="15" t="e">
        <f>#REF!</f>
        <v>#REF!</v>
      </c>
      <c r="D47" s="15" t="e">
        <f>#REF!</f>
        <v>#REF!</v>
      </c>
      <c r="E47" s="3"/>
      <c r="F47" s="2" t="e">
        <f>#REF!</f>
        <v>#REF!</v>
      </c>
      <c r="G47" s="2" t="e">
        <f>B47+F47</f>
        <v>#REF!</v>
      </c>
      <c r="H47" s="3"/>
    </row>
    <row r="48" spans="1:8">
      <c r="A48" s="10">
        <v>905</v>
      </c>
      <c r="B48" s="15" t="e">
        <f t="shared" si="1"/>
        <v>#REF!</v>
      </c>
      <c r="C48" s="15" t="e">
        <f>#REF!</f>
        <v>#REF!</v>
      </c>
      <c r="D48" s="15" t="e">
        <f>#REF!</f>
        <v>#REF!</v>
      </c>
      <c r="E48" s="3"/>
      <c r="F48" s="2" t="e">
        <f>#REF!</f>
        <v>#REF!</v>
      </c>
      <c r="G48" s="2" t="e">
        <f>B48+F48</f>
        <v>#REF!</v>
      </c>
      <c r="H48" s="3"/>
    </row>
    <row r="49" spans="1:8">
      <c r="A49" s="9" t="s">
        <v>5</v>
      </c>
      <c r="B49" s="16" t="e">
        <f t="shared" si="1"/>
        <v>#REF!</v>
      </c>
      <c r="C49" s="16" t="e">
        <f>SUM(C45:C48)</f>
        <v>#REF!</v>
      </c>
      <c r="D49" s="16" t="e">
        <f>SUM(D45:D48)</f>
        <v>#REF!</v>
      </c>
      <c r="E49" s="3"/>
      <c r="F49" s="16" t="e">
        <f>SUM(F45:F48)</f>
        <v>#REF!</v>
      </c>
      <c r="G49" s="16" t="e">
        <f>SUM(G45:G48)</f>
        <v>#REF!</v>
      </c>
      <c r="H49" s="3"/>
    </row>
    <row r="50" spans="1:8">
      <c r="B50" s="15">
        <f t="shared" si="1"/>
        <v>0</v>
      </c>
      <c r="C50" s="15"/>
      <c r="D50" s="15"/>
      <c r="E50" s="3"/>
      <c r="F50" s="15"/>
      <c r="G50" s="15"/>
      <c r="H50" s="3"/>
    </row>
    <row r="51" spans="1:8">
      <c r="A51" s="9" t="s">
        <v>6</v>
      </c>
      <c r="B51" s="15">
        <f t="shared" si="1"/>
        <v>0</v>
      </c>
      <c r="C51" s="15"/>
      <c r="D51" s="15"/>
      <c r="E51" s="3"/>
      <c r="F51" s="15"/>
      <c r="G51" s="15"/>
      <c r="H51" s="3"/>
    </row>
    <row r="52" spans="1:8">
      <c r="A52" s="10">
        <v>907</v>
      </c>
      <c r="B52" s="15">
        <f t="shared" si="1"/>
        <v>0</v>
      </c>
      <c r="C52" s="15">
        <v>0</v>
      </c>
      <c r="D52" s="15">
        <v>0</v>
      </c>
      <c r="E52" s="3"/>
      <c r="F52" s="2">
        <v>0</v>
      </c>
      <c r="G52" s="2">
        <f>B52+F52</f>
        <v>0</v>
      </c>
      <c r="H52" s="3"/>
    </row>
    <row r="53" spans="1:8">
      <c r="A53" s="10">
        <v>908</v>
      </c>
      <c r="B53" s="15" t="e">
        <f t="shared" si="1"/>
        <v>#REF!</v>
      </c>
      <c r="C53" s="15" t="e">
        <f>#REF!</f>
        <v>#REF!</v>
      </c>
      <c r="D53" s="15" t="e">
        <f>#REF!</f>
        <v>#REF!</v>
      </c>
      <c r="E53" s="3"/>
      <c r="F53" s="2">
        <v>0</v>
      </c>
      <c r="G53" s="2" t="e">
        <f>B53+F53</f>
        <v>#REF!</v>
      </c>
      <c r="H53" s="3"/>
    </row>
    <row r="54" spans="1:8">
      <c r="A54" s="10">
        <v>909</v>
      </c>
      <c r="B54" s="15" t="e">
        <f t="shared" si="1"/>
        <v>#REF!</v>
      </c>
      <c r="C54" s="15" t="e">
        <f>#REF!</f>
        <v>#REF!</v>
      </c>
      <c r="D54" s="15" t="e">
        <f>#REF!</f>
        <v>#REF!</v>
      </c>
      <c r="E54" s="3"/>
      <c r="F54" s="2" t="e">
        <f>#REF!</f>
        <v>#REF!</v>
      </c>
      <c r="G54" s="2" t="e">
        <f>B54+F54</f>
        <v>#REF!</v>
      </c>
      <c r="H54" s="3"/>
    </row>
    <row r="55" spans="1:8">
      <c r="A55" s="10">
        <v>910</v>
      </c>
      <c r="B55" s="15" t="e">
        <f t="shared" si="1"/>
        <v>#REF!</v>
      </c>
      <c r="C55" s="15" t="e">
        <f>#REF!</f>
        <v>#REF!</v>
      </c>
      <c r="D55" s="15" t="e">
        <f>#REF!</f>
        <v>#REF!</v>
      </c>
      <c r="E55" s="3"/>
      <c r="F55" s="2" t="e">
        <f>#REF!</f>
        <v>#REF!</v>
      </c>
      <c r="G55" s="2" t="e">
        <f>B55+F55</f>
        <v>#REF!</v>
      </c>
      <c r="H55" s="3"/>
    </row>
    <row r="56" spans="1:8">
      <c r="A56" s="9" t="s">
        <v>7</v>
      </c>
      <c r="B56" s="16" t="e">
        <f t="shared" si="1"/>
        <v>#REF!</v>
      </c>
      <c r="C56" s="16" t="e">
        <f>SUM(C52:C55)</f>
        <v>#REF!</v>
      </c>
      <c r="D56" s="16" t="e">
        <f>SUM(D52:D55)</f>
        <v>#REF!</v>
      </c>
      <c r="E56" s="3"/>
      <c r="F56" s="16" t="e">
        <f>SUM(F52:F55)</f>
        <v>#REF!</v>
      </c>
      <c r="G56" s="16" t="e">
        <f>SUM(G52:G55)</f>
        <v>#REF!</v>
      </c>
      <c r="H56" s="3"/>
    </row>
    <row r="57" spans="1:8">
      <c r="B57" s="15">
        <f t="shared" si="1"/>
        <v>0</v>
      </c>
      <c r="C57" s="15"/>
      <c r="D57" s="15"/>
      <c r="E57" s="3"/>
      <c r="F57" s="15"/>
      <c r="G57" s="15"/>
      <c r="H57" s="3"/>
    </row>
    <row r="58" spans="1:8">
      <c r="A58" s="9" t="s">
        <v>8</v>
      </c>
      <c r="B58" s="15">
        <f t="shared" si="1"/>
        <v>0</v>
      </c>
      <c r="C58" s="15"/>
      <c r="D58" s="15"/>
      <c r="E58" s="3"/>
      <c r="F58" s="15"/>
      <c r="G58" s="15"/>
      <c r="H58" s="3"/>
    </row>
    <row r="59" spans="1:8">
      <c r="A59" s="10">
        <v>911</v>
      </c>
      <c r="B59" s="15">
        <f t="shared" si="1"/>
        <v>0</v>
      </c>
      <c r="C59" s="15">
        <v>0</v>
      </c>
      <c r="D59" s="15">
        <v>0</v>
      </c>
      <c r="E59" s="3"/>
      <c r="F59" s="2" t="e">
        <f>ROUND(B59/(B$79-B$72)*B$72,2)</f>
        <v>#REF!</v>
      </c>
      <c r="G59" s="2" t="e">
        <f>B59+F59</f>
        <v>#REF!</v>
      </c>
      <c r="H59" s="3"/>
    </row>
    <row r="60" spans="1:8">
      <c r="A60" s="10">
        <v>912</v>
      </c>
      <c r="B60" s="15">
        <f t="shared" si="1"/>
        <v>0</v>
      </c>
      <c r="C60" s="15">
        <v>0</v>
      </c>
      <c r="D60" s="15">
        <v>0</v>
      </c>
      <c r="E60" s="3"/>
      <c r="F60" s="2" t="e">
        <f>ROUND(B60/(B$79-B$72)*B$72,2)</f>
        <v>#REF!</v>
      </c>
      <c r="G60" s="2" t="e">
        <f>B60+F60</f>
        <v>#REF!</v>
      </c>
      <c r="H60" s="3"/>
    </row>
    <row r="61" spans="1:8">
      <c r="A61" s="10">
        <v>913</v>
      </c>
      <c r="B61" s="15">
        <f t="shared" si="1"/>
        <v>0</v>
      </c>
      <c r="C61" s="15">
        <v>0</v>
      </c>
      <c r="D61" s="15">
        <v>0</v>
      </c>
      <c r="E61" s="3"/>
      <c r="F61" s="2" t="e">
        <f>ROUND(B61/(B$79-B$72)*B$72,2)</f>
        <v>#REF!</v>
      </c>
      <c r="G61" s="2" t="e">
        <f>B61+F61</f>
        <v>#REF!</v>
      </c>
      <c r="H61" s="3"/>
    </row>
    <row r="62" spans="1:8">
      <c r="A62" s="10">
        <v>916</v>
      </c>
      <c r="B62" s="15">
        <f t="shared" si="1"/>
        <v>0</v>
      </c>
      <c r="C62" s="15">
        <v>0</v>
      </c>
      <c r="D62" s="15">
        <v>0</v>
      </c>
      <c r="E62" s="3"/>
      <c r="F62" s="2" t="e">
        <f>ROUND(B62/(B$79-B$72)*B$72,2)</f>
        <v>#REF!</v>
      </c>
      <c r="G62" s="2" t="e">
        <f>B62+F62</f>
        <v>#REF!</v>
      </c>
      <c r="H62" s="3"/>
    </row>
    <row r="63" spans="1:8">
      <c r="A63" s="9" t="s">
        <v>9</v>
      </c>
      <c r="B63" s="16">
        <f t="shared" si="1"/>
        <v>0</v>
      </c>
      <c r="C63" s="16">
        <f t="shared" ref="C63:H63" si="3">SUM(C59:C62)</f>
        <v>0</v>
      </c>
      <c r="D63" s="16">
        <f t="shared" ref="D63" si="4">SUM(D59:D62)</f>
        <v>0</v>
      </c>
      <c r="E63" s="16">
        <f t="shared" si="3"/>
        <v>0</v>
      </c>
      <c r="F63" s="16" t="e">
        <f t="shared" si="3"/>
        <v>#REF!</v>
      </c>
      <c r="G63" s="16" t="e">
        <f t="shared" si="3"/>
        <v>#REF!</v>
      </c>
      <c r="H63" s="16">
        <f t="shared" si="3"/>
        <v>0</v>
      </c>
    </row>
    <row r="64" spans="1:8">
      <c r="B64" s="15">
        <f t="shared" si="1"/>
        <v>0</v>
      </c>
      <c r="C64" s="15"/>
      <c r="D64" s="15"/>
      <c r="E64" s="3"/>
      <c r="F64" s="15"/>
      <c r="G64" s="15"/>
      <c r="H64" s="3"/>
    </row>
    <row r="65" spans="1:8">
      <c r="A65" s="9" t="s">
        <v>10</v>
      </c>
      <c r="B65" s="15">
        <f t="shared" si="1"/>
        <v>0</v>
      </c>
      <c r="C65" s="15"/>
      <c r="D65" s="15"/>
      <c r="E65" s="3"/>
      <c r="F65" s="15"/>
      <c r="G65" s="15"/>
      <c r="H65" s="3"/>
    </row>
    <row r="66" spans="1:8">
      <c r="A66" s="10">
        <v>920</v>
      </c>
      <c r="B66" s="15" t="e">
        <f t="shared" si="1"/>
        <v>#REF!</v>
      </c>
      <c r="C66" s="15" t="e">
        <f>#REF!</f>
        <v>#REF!</v>
      </c>
      <c r="D66" s="15" t="e">
        <f>#REF!</f>
        <v>#REF!</v>
      </c>
      <c r="E66" s="3"/>
      <c r="F66" s="34" t="e">
        <f>#REF!</f>
        <v>#REF!</v>
      </c>
      <c r="G66" s="2" t="e">
        <f t="shared" ref="G66:G76" si="5">B66+F66</f>
        <v>#REF!</v>
      </c>
      <c r="H66" s="3"/>
    </row>
    <row r="67" spans="1:8">
      <c r="A67" s="10">
        <v>921</v>
      </c>
      <c r="B67" s="15" t="e">
        <f t="shared" si="1"/>
        <v>#REF!</v>
      </c>
      <c r="C67" s="15" t="e">
        <f>#REF!</f>
        <v>#REF!</v>
      </c>
      <c r="D67" s="15" t="e">
        <f>#REF!</f>
        <v>#REF!</v>
      </c>
      <c r="E67" s="3"/>
      <c r="F67" s="34" t="e">
        <f>#REF!</f>
        <v>#REF!</v>
      </c>
      <c r="G67" s="2" t="e">
        <f t="shared" si="5"/>
        <v>#REF!</v>
      </c>
      <c r="H67" s="3"/>
    </row>
    <row r="68" spans="1:8">
      <c r="A68" s="10">
        <v>922</v>
      </c>
      <c r="B68" s="15" t="e">
        <f t="shared" si="1"/>
        <v>#REF!</v>
      </c>
      <c r="C68" s="15" t="e">
        <f>#REF!</f>
        <v>#REF!</v>
      </c>
      <c r="D68" s="15" t="e">
        <f>#REF!</f>
        <v>#REF!</v>
      </c>
      <c r="E68" s="3"/>
      <c r="F68" s="34">
        <v>0</v>
      </c>
      <c r="G68" s="2" t="e">
        <f>B68+F68</f>
        <v>#REF!</v>
      </c>
      <c r="H68" s="3"/>
    </row>
    <row r="69" spans="1:8">
      <c r="A69" s="10">
        <v>923</v>
      </c>
      <c r="B69" s="15" t="e">
        <f t="shared" si="1"/>
        <v>#REF!</v>
      </c>
      <c r="C69" s="15" t="e">
        <f>#REF!</f>
        <v>#REF!</v>
      </c>
      <c r="D69" s="15" t="e">
        <f>#REF!</f>
        <v>#REF!</v>
      </c>
      <c r="E69" s="3"/>
      <c r="F69" s="34" t="e">
        <f>#REF!</f>
        <v>#REF!</v>
      </c>
      <c r="G69" s="2" t="e">
        <f t="shared" si="5"/>
        <v>#REF!</v>
      </c>
      <c r="H69" s="3"/>
    </row>
    <row r="70" spans="1:8">
      <c r="A70" s="10">
        <v>924</v>
      </c>
      <c r="B70" s="15" t="e">
        <f t="shared" si="1"/>
        <v>#REF!</v>
      </c>
      <c r="C70" s="15" t="e">
        <f>#REF!</f>
        <v>#REF!</v>
      </c>
      <c r="D70" s="15">
        <v>0</v>
      </c>
      <c r="E70" s="3"/>
      <c r="F70" s="34">
        <v>0</v>
      </c>
      <c r="G70" s="2" t="e">
        <f t="shared" si="5"/>
        <v>#REF!</v>
      </c>
      <c r="H70" s="3"/>
    </row>
    <row r="71" spans="1:8">
      <c r="A71" s="10">
        <v>925</v>
      </c>
      <c r="B71" s="15" t="e">
        <f t="shared" si="1"/>
        <v>#REF!</v>
      </c>
      <c r="C71" s="15" t="e">
        <f>#REF!</f>
        <v>#REF!</v>
      </c>
      <c r="D71" s="15">
        <v>0</v>
      </c>
      <c r="E71" s="3"/>
      <c r="F71" s="34">
        <v>0</v>
      </c>
      <c r="G71" s="2" t="e">
        <f t="shared" si="5"/>
        <v>#REF!</v>
      </c>
      <c r="H71" s="3"/>
    </row>
    <row r="72" spans="1:8">
      <c r="A72" s="10">
        <v>926</v>
      </c>
      <c r="B72" s="15" t="e">
        <f t="shared" si="1"/>
        <v>#REF!</v>
      </c>
      <c r="C72" s="15" t="e">
        <f>#REF!+#REF!</f>
        <v>#REF!</v>
      </c>
      <c r="D72" s="15" t="e">
        <f>#REF!+#REF!</f>
        <v>#REF!</v>
      </c>
      <c r="E72" s="3"/>
      <c r="F72" s="34" t="e">
        <f>#REF!</f>
        <v>#REF!</v>
      </c>
      <c r="G72" s="2" t="e">
        <f t="shared" si="5"/>
        <v>#REF!</v>
      </c>
      <c r="H72" s="3"/>
    </row>
    <row r="73" spans="1:8">
      <c r="A73" s="10">
        <v>928</v>
      </c>
      <c r="B73" s="15" t="e">
        <f t="shared" si="1"/>
        <v>#REF!</v>
      </c>
      <c r="C73" s="15" t="e">
        <f>#REF!</f>
        <v>#REF!</v>
      </c>
      <c r="D73" s="15" t="e">
        <f>#REF!</f>
        <v>#REF!</v>
      </c>
      <c r="E73" s="3"/>
      <c r="F73" s="34" t="e">
        <f>#REF!</f>
        <v>#REF!</v>
      </c>
      <c r="G73" s="2" t="e">
        <f t="shared" si="5"/>
        <v>#REF!</v>
      </c>
      <c r="H73" s="3"/>
    </row>
    <row r="74" spans="1:8">
      <c r="A74" s="10">
        <v>930</v>
      </c>
      <c r="B74" s="15" t="e">
        <f t="shared" si="1"/>
        <v>#REF!</v>
      </c>
      <c r="C74" s="15" t="e">
        <f>#REF!</f>
        <v>#REF!</v>
      </c>
      <c r="D74" s="15" t="e">
        <f>#REF!</f>
        <v>#REF!</v>
      </c>
      <c r="E74" s="3"/>
      <c r="F74" s="34" t="e">
        <f>#REF!</f>
        <v>#REF!</v>
      </c>
      <c r="G74" s="2" t="e">
        <f t="shared" si="5"/>
        <v>#REF!</v>
      </c>
      <c r="H74" s="3"/>
    </row>
    <row r="75" spans="1:8">
      <c r="A75" s="10">
        <v>931</v>
      </c>
      <c r="B75" s="15">
        <f t="shared" si="1"/>
        <v>0</v>
      </c>
      <c r="C75" s="15">
        <v>0</v>
      </c>
      <c r="D75" s="15">
        <v>0</v>
      </c>
      <c r="E75" s="3"/>
      <c r="F75" s="34">
        <v>0</v>
      </c>
      <c r="G75" s="2">
        <f t="shared" si="5"/>
        <v>0</v>
      </c>
      <c r="H75" s="3"/>
    </row>
    <row r="76" spans="1:8">
      <c r="A76" s="10">
        <v>935</v>
      </c>
      <c r="B76" s="15" t="e">
        <f t="shared" si="1"/>
        <v>#REF!</v>
      </c>
      <c r="C76" s="15" t="e">
        <f>#REF!</f>
        <v>#REF!</v>
      </c>
      <c r="D76" s="15" t="e">
        <f>#REF!+#REF!</f>
        <v>#REF!</v>
      </c>
      <c r="E76" s="3"/>
      <c r="F76" s="34" t="e">
        <f>#REF!</f>
        <v>#REF!</v>
      </c>
      <c r="G76" s="2" t="e">
        <f t="shared" si="5"/>
        <v>#REF!</v>
      </c>
      <c r="H76" s="3"/>
    </row>
    <row r="77" spans="1:8">
      <c r="A77" s="9" t="s">
        <v>11</v>
      </c>
      <c r="B77" s="16" t="e">
        <f t="shared" si="1"/>
        <v>#REF!</v>
      </c>
      <c r="C77" s="16" t="e">
        <f>SUM(C66:C76)</f>
        <v>#REF!</v>
      </c>
      <c r="D77" s="16" t="e">
        <f>SUM(D66:D76)</f>
        <v>#REF!</v>
      </c>
      <c r="E77" s="3"/>
      <c r="F77" s="16" t="e">
        <f>SUM(F66:F76)</f>
        <v>#REF!</v>
      </c>
      <c r="G77" s="16" t="e">
        <f>SUM(G66:G76)</f>
        <v>#REF!</v>
      </c>
      <c r="H77" s="3"/>
    </row>
    <row r="78" spans="1:8">
      <c r="B78" s="15">
        <f t="shared" si="1"/>
        <v>0</v>
      </c>
      <c r="C78" s="15"/>
      <c r="D78" s="15"/>
      <c r="E78" s="3"/>
      <c r="F78" s="15"/>
      <c r="G78" s="15"/>
      <c r="H78" s="3"/>
    </row>
    <row r="79" spans="1:8">
      <c r="A79" s="9" t="s">
        <v>24</v>
      </c>
      <c r="B79" s="33" t="e">
        <f t="shared" si="1"/>
        <v>#REF!</v>
      </c>
      <c r="C79" s="33" t="e">
        <f>C13+C18+C42+C49+C56+C63+C77</f>
        <v>#REF!</v>
      </c>
      <c r="D79" s="33" t="e">
        <f>D13+D18+D42+D49+D56+D63+D77</f>
        <v>#REF!</v>
      </c>
      <c r="E79" s="3"/>
      <c r="F79" s="16" t="e">
        <f>F13+F18+F42+F49+F56+F63+F77</f>
        <v>#REF!</v>
      </c>
      <c r="G79" s="19" t="e">
        <f>G13+G18+G42+G49+G56+G63+G77</f>
        <v>#REF!</v>
      </c>
      <c r="H79" s="3"/>
    </row>
    <row r="80" spans="1:8">
      <c r="B80" s="32" t="s">
        <v>37</v>
      </c>
      <c r="C80" s="32" t="s">
        <v>37</v>
      </c>
      <c r="D80" s="32" t="s">
        <v>37</v>
      </c>
      <c r="E80" s="3"/>
      <c r="F80" s="9" t="s">
        <v>36</v>
      </c>
      <c r="G80" s="9" t="s">
        <v>36</v>
      </c>
      <c r="H80" s="3"/>
    </row>
    <row r="81" spans="1:8">
      <c r="E81" s="3"/>
      <c r="F81" s="3"/>
      <c r="G81" s="3"/>
      <c r="H81" s="3"/>
    </row>
    <row r="82" spans="1:8">
      <c r="E82" s="3"/>
      <c r="F82" s="3"/>
      <c r="G82" s="3"/>
      <c r="H82" s="3"/>
    </row>
    <row r="83" spans="1:8">
      <c r="E83" s="3"/>
      <c r="F83" s="3"/>
      <c r="G83" s="3"/>
      <c r="H83" s="3"/>
    </row>
    <row r="84" spans="1:8">
      <c r="E84" s="3"/>
      <c r="F84" s="3"/>
      <c r="G84" s="3"/>
      <c r="H84" s="3"/>
    </row>
    <row r="85" spans="1:8">
      <c r="E85" s="3"/>
      <c r="F85" s="3"/>
      <c r="G85" s="3"/>
      <c r="H85" s="3"/>
    </row>
    <row r="86" spans="1:8">
      <c r="E86" s="3"/>
      <c r="F86" s="3"/>
      <c r="G86" s="3"/>
      <c r="H86" s="3"/>
    </row>
    <row r="87" spans="1:8">
      <c r="E87" s="3"/>
      <c r="F87" s="3"/>
      <c r="G87" s="3"/>
      <c r="H87" s="3"/>
    </row>
    <row r="88" spans="1:8">
      <c r="A88" s="11" t="s">
        <v>22</v>
      </c>
      <c r="B88" s="9" t="e">
        <f>C79+D79</f>
        <v>#REF!</v>
      </c>
      <c r="E88" s="3"/>
      <c r="F88" s="3"/>
      <c r="G88" s="3"/>
      <c r="H88" s="3"/>
    </row>
    <row r="89" spans="1:8">
      <c r="E89" s="3"/>
      <c r="F89" s="3"/>
      <c r="G89" s="3"/>
      <c r="H89" s="3"/>
    </row>
    <row r="90" spans="1:8">
      <c r="E90" s="3"/>
      <c r="F90" s="3"/>
      <c r="G90" s="3"/>
      <c r="H90" s="3"/>
    </row>
    <row r="91" spans="1:8">
      <c r="E91" s="3"/>
      <c r="F91" s="3"/>
      <c r="G91" s="3"/>
      <c r="H91" s="3"/>
    </row>
    <row r="92" spans="1:8">
      <c r="E92" s="3"/>
      <c r="F92" s="3"/>
      <c r="G92" s="3"/>
      <c r="H92" s="3"/>
    </row>
    <row r="93" spans="1:8">
      <c r="E93" s="3"/>
      <c r="F93" s="3"/>
      <c r="G93" s="3"/>
      <c r="H93" s="3"/>
    </row>
    <row r="94" spans="1:8">
      <c r="E94" s="3"/>
      <c r="F94" s="3"/>
      <c r="G94" s="3"/>
      <c r="H94" s="3"/>
    </row>
    <row r="95" spans="1:8">
      <c r="E95" s="3"/>
      <c r="F95" s="3"/>
      <c r="G95" s="3"/>
      <c r="H95" s="3"/>
    </row>
    <row r="96" spans="1:8">
      <c r="E96" s="3"/>
      <c r="F96" s="3"/>
      <c r="G96" s="3"/>
      <c r="H96" s="3"/>
    </row>
    <row r="97" spans="5:8">
      <c r="E97" s="3"/>
      <c r="F97" s="3"/>
      <c r="G97" s="3"/>
      <c r="H97" s="3"/>
    </row>
    <row r="98" spans="5:8">
      <c r="E98" s="3"/>
      <c r="F98" s="3"/>
      <c r="G98" s="3"/>
      <c r="H98" s="3"/>
    </row>
    <row r="99" spans="5:8">
      <c r="E99" s="3"/>
      <c r="F99" s="3"/>
      <c r="G99" s="3"/>
      <c r="H99" s="3"/>
    </row>
    <row r="100" spans="5:8">
      <c r="E100" s="3"/>
      <c r="F100" s="3"/>
      <c r="G100" s="3"/>
      <c r="H100" s="3"/>
    </row>
    <row r="101" spans="5:8">
      <c r="E101" s="3"/>
      <c r="F101" s="3"/>
      <c r="G101" s="3"/>
      <c r="H101" s="3"/>
    </row>
    <row r="102" spans="5:8">
      <c r="E102" s="3"/>
      <c r="F102" s="3"/>
      <c r="G102" s="3"/>
      <c r="H102" s="3"/>
    </row>
    <row r="103" spans="5:8">
      <c r="E103" s="3"/>
      <c r="F103" s="3"/>
      <c r="G103" s="3"/>
      <c r="H103" s="3"/>
    </row>
    <row r="104" spans="5:8">
      <c r="E104" s="3"/>
      <c r="F104" s="3"/>
      <c r="G104" s="3"/>
      <c r="H104" s="3"/>
    </row>
    <row r="105" spans="5:8">
      <c r="E105" s="3"/>
      <c r="F105" s="3"/>
      <c r="G105" s="3"/>
      <c r="H105" s="3"/>
    </row>
    <row r="106" spans="5:8">
      <c r="E106" s="3"/>
      <c r="F106" s="3"/>
      <c r="G106" s="3"/>
      <c r="H106" s="3"/>
    </row>
    <row r="107" spans="5:8">
      <c r="E107" s="3"/>
      <c r="F107" s="3"/>
      <c r="G107" s="3"/>
      <c r="H107" s="3"/>
    </row>
    <row r="108" spans="5:8">
      <c r="E108" s="3"/>
      <c r="F108" s="3"/>
      <c r="G108" s="3"/>
      <c r="H108" s="3"/>
    </row>
    <row r="109" spans="5:8">
      <c r="E109" s="3"/>
      <c r="F109" s="3"/>
      <c r="G109" s="3"/>
      <c r="H109" s="3"/>
    </row>
    <row r="110" spans="5:8">
      <c r="E110" s="3"/>
      <c r="F110" s="3"/>
      <c r="G110" s="3"/>
      <c r="H110" s="3"/>
    </row>
    <row r="111" spans="5:8">
      <c r="E111" s="3"/>
      <c r="F111" s="3"/>
      <c r="G111" s="3"/>
      <c r="H111" s="3"/>
    </row>
    <row r="112" spans="5:8">
      <c r="E112" s="3"/>
      <c r="F112" s="3"/>
      <c r="G112" s="3"/>
      <c r="H112" s="3"/>
    </row>
    <row r="113" spans="5:8">
      <c r="E113" s="3"/>
      <c r="F113" s="3"/>
      <c r="G113" s="3"/>
      <c r="H113" s="3"/>
    </row>
    <row r="114" spans="5:8">
      <c r="E114" s="3"/>
      <c r="F114" s="3"/>
      <c r="G114" s="3"/>
      <c r="H114" s="3"/>
    </row>
    <row r="115" spans="5:8">
      <c r="E115" s="3"/>
      <c r="F115" s="3"/>
      <c r="G115" s="3"/>
      <c r="H115" s="3"/>
    </row>
    <row r="116" spans="5:8">
      <c r="E116" s="3"/>
      <c r="F116" s="3"/>
      <c r="G116" s="3"/>
      <c r="H116" s="3"/>
    </row>
    <row r="117" spans="5:8">
      <c r="E117" s="3"/>
      <c r="F117" s="3"/>
      <c r="G117" s="3"/>
      <c r="H117" s="3"/>
    </row>
    <row r="118" spans="5:8">
      <c r="E118" s="3"/>
      <c r="F118" s="3"/>
      <c r="G118" s="3"/>
      <c r="H118" s="3"/>
    </row>
    <row r="119" spans="5:8">
      <c r="E119" s="3"/>
      <c r="F119" s="3"/>
      <c r="G119" s="3"/>
      <c r="H119" s="3"/>
    </row>
    <row r="120" spans="5:8">
      <c r="E120" s="3"/>
      <c r="F120" s="3"/>
      <c r="G120" s="3"/>
      <c r="H120" s="3"/>
    </row>
    <row r="121" spans="5:8">
      <c r="E121" s="3"/>
      <c r="F121" s="3"/>
      <c r="G121" s="3"/>
      <c r="H121" s="3"/>
    </row>
    <row r="122" spans="5:8">
      <c r="E122" s="3"/>
      <c r="F122" s="3"/>
      <c r="G122" s="3"/>
      <c r="H122" s="3"/>
    </row>
    <row r="123" spans="5:8">
      <c r="E123" s="3"/>
      <c r="F123" s="3"/>
      <c r="G123" s="3"/>
      <c r="H123" s="3"/>
    </row>
    <row r="124" spans="5:8">
      <c r="E124" s="3"/>
      <c r="F124" s="3"/>
      <c r="G124" s="3"/>
      <c r="H124" s="3"/>
    </row>
    <row r="125" spans="5:8">
      <c r="E125" s="3"/>
      <c r="F125" s="3"/>
      <c r="G125" s="3"/>
      <c r="H125" s="3"/>
    </row>
    <row r="126" spans="5:8">
      <c r="E126" s="3"/>
      <c r="F126" s="3"/>
      <c r="G126" s="3"/>
      <c r="H126" s="3"/>
    </row>
    <row r="127" spans="5:8">
      <c r="E127" s="3"/>
      <c r="F127" s="3"/>
      <c r="G127" s="3"/>
      <c r="H127" s="3"/>
    </row>
    <row r="128" spans="5:8">
      <c r="E128" s="3"/>
      <c r="F128" s="3"/>
      <c r="G128" s="3"/>
      <c r="H128" s="3"/>
    </row>
    <row r="129" spans="6:7">
      <c r="F129" s="6"/>
      <c r="G129" s="6"/>
    </row>
    <row r="130" spans="6:7">
      <c r="F130" s="6"/>
      <c r="G130" s="6"/>
    </row>
    <row r="131" spans="6:7">
      <c r="F131" s="6"/>
      <c r="G131" s="6"/>
    </row>
    <row r="132" spans="6:7">
      <c r="F132" s="3"/>
      <c r="G132" s="6"/>
    </row>
  </sheetData>
  <phoneticPr fontId="0" type="noConversion"/>
  <pageMargins left="0.61" right="0.75" top="1" bottom="1" header="0.5" footer="0.5"/>
  <pageSetup scale="73" orientation="portrait" r:id="rId1"/>
  <headerFooter alignWithMargins="0">
    <oddHeader>&amp;RAdjustment No. _______
Workpaper Ref. &amp;A</oddHeader>
    <oddFooter>&amp;L&amp;F&amp;RPrep by: ____________     1st Review:__________
          Date:  &amp;D           Mgr. Review:__________</oddFooter>
  </headerFooter>
  <rowBreaks count="1" manualBreakCount="1">
    <brk id="4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80"/>
  <sheetViews>
    <sheetView view="pageBreakPreview" zoomScaleNormal="100" zoomScaleSheetLayoutView="100" workbookViewId="0">
      <selection sqref="A1:J58"/>
    </sheetView>
  </sheetViews>
  <sheetFormatPr defaultColWidth="9.33203125" defaultRowHeight="12.75"/>
  <cols>
    <col min="1" max="1" width="9.33203125" style="51"/>
    <col min="2" max="2" width="17.33203125" style="51" customWidth="1"/>
    <col min="3" max="3" width="10.5" style="51" customWidth="1"/>
    <col min="4" max="4" width="16.83203125" style="51" customWidth="1"/>
    <col min="5" max="5" width="12.1640625" style="51" customWidth="1"/>
    <col min="6" max="6" width="9.6640625" style="124" customWidth="1"/>
    <col min="7" max="7" width="17.83203125" style="51" customWidth="1"/>
    <col min="8" max="8" width="17.33203125" style="51" customWidth="1"/>
    <col min="9" max="9" width="19.33203125" style="51" customWidth="1"/>
    <col min="10" max="10" width="4.5" style="51" customWidth="1"/>
    <col min="11" max="11" width="9.33203125" style="51" hidden="1" customWidth="1"/>
    <col min="12" max="12" width="17.33203125" style="51" hidden="1" customWidth="1"/>
    <col min="13" max="13" width="10.5" style="51" hidden="1" customWidth="1"/>
    <col min="14" max="14" width="16.83203125" style="51" hidden="1" customWidth="1"/>
    <col min="15" max="15" width="12.1640625" style="51" hidden="1" customWidth="1"/>
    <col min="16" max="16" width="9.5" style="124" hidden="1" customWidth="1"/>
    <col min="17" max="17" width="17.83203125" style="51" hidden="1" customWidth="1"/>
    <col min="18" max="18" width="17.33203125" style="51" hidden="1" customWidth="1"/>
    <col min="19" max="19" width="19.33203125" style="51" hidden="1" customWidth="1"/>
    <col min="20" max="20" width="9.33203125" style="51" hidden="1" customWidth="1"/>
    <col min="21" max="16384" width="9.33203125" style="51"/>
  </cols>
  <sheetData>
    <row r="1" spans="1:20" ht="15.75">
      <c r="C1" s="123"/>
      <c r="G1" s="166" t="s">
        <v>136</v>
      </c>
      <c r="H1" s="166"/>
      <c r="I1" s="166"/>
      <c r="M1" s="123"/>
      <c r="Q1" s="166" t="s">
        <v>136</v>
      </c>
      <c r="R1" s="166"/>
      <c r="S1" s="166"/>
    </row>
    <row r="2" spans="1:20">
      <c r="A2" s="36"/>
      <c r="B2" s="36"/>
      <c r="C2" s="124" t="s">
        <v>114</v>
      </c>
      <c r="G2" s="166" t="s">
        <v>138</v>
      </c>
      <c r="H2" s="166"/>
      <c r="I2" s="166"/>
      <c r="K2" s="36"/>
      <c r="L2" s="36"/>
      <c r="M2" s="124" t="s">
        <v>114</v>
      </c>
      <c r="Q2" s="166" t="s">
        <v>139</v>
      </c>
      <c r="R2" s="166"/>
      <c r="S2" s="166"/>
    </row>
    <row r="3" spans="1:20">
      <c r="B3" s="17"/>
      <c r="G3" s="164"/>
      <c r="H3" s="143" t="s">
        <v>137</v>
      </c>
      <c r="I3" s="164"/>
      <c r="L3" s="17"/>
      <c r="Q3" s="164"/>
      <c r="R3" s="143" t="s">
        <v>137</v>
      </c>
      <c r="S3" s="164"/>
    </row>
    <row r="5" spans="1:20">
      <c r="C5" s="53"/>
      <c r="D5" s="53"/>
      <c r="E5" s="53"/>
      <c r="F5" s="35"/>
      <c r="G5" s="54" t="s">
        <v>47</v>
      </c>
      <c r="H5" s="54" t="s">
        <v>29</v>
      </c>
      <c r="I5" s="54" t="s">
        <v>13</v>
      </c>
      <c r="J5" s="55"/>
      <c r="M5" s="53"/>
      <c r="N5" s="53"/>
      <c r="O5" s="53"/>
      <c r="P5" s="35"/>
      <c r="Q5" s="54" t="s">
        <v>47</v>
      </c>
      <c r="R5" s="54" t="s">
        <v>29</v>
      </c>
      <c r="S5" s="54" t="s">
        <v>13</v>
      </c>
    </row>
    <row r="6" spans="1:20">
      <c r="B6" s="56" t="s">
        <v>54</v>
      </c>
      <c r="C6" s="53"/>
      <c r="D6" s="53"/>
      <c r="E6" s="53"/>
      <c r="F6" s="35" t="s">
        <v>30</v>
      </c>
      <c r="G6" s="57">
        <f>'Pro-Forma'!D25</f>
        <v>33553915</v>
      </c>
      <c r="H6" s="57">
        <f>'Pro-Forma'!D24</f>
        <v>33107000</v>
      </c>
      <c r="I6" s="57">
        <f>G6+H6</f>
        <v>66660915</v>
      </c>
      <c r="J6" s="58"/>
      <c r="L6" s="56" t="s">
        <v>54</v>
      </c>
      <c r="M6" s="53"/>
      <c r="N6" s="53"/>
      <c r="O6" s="53"/>
      <c r="P6" s="35" t="s">
        <v>30</v>
      </c>
      <c r="Q6" s="57">
        <f>G6</f>
        <v>33553915</v>
      </c>
      <c r="R6" s="57">
        <f>H6</f>
        <v>33107000</v>
      </c>
      <c r="S6" s="57">
        <f>Q6+R6</f>
        <v>66660915</v>
      </c>
    </row>
    <row r="7" spans="1:20">
      <c r="B7" s="56" t="s">
        <v>53</v>
      </c>
      <c r="C7" s="76">
        <v>42369</v>
      </c>
      <c r="D7" s="53"/>
      <c r="E7" s="53"/>
      <c r="F7" s="35"/>
      <c r="G7" s="59">
        <f>-'Pro-Forma'!C25</f>
        <v>-32588578</v>
      </c>
      <c r="H7" s="59">
        <f>-'Pro-Forma'!C24</f>
        <v>-30230585</v>
      </c>
      <c r="I7" s="59">
        <f>G7+H7</f>
        <v>-62819163</v>
      </c>
      <c r="J7" s="60"/>
      <c r="L7" s="56" t="s">
        <v>53</v>
      </c>
      <c r="M7" s="76">
        <v>42277</v>
      </c>
      <c r="N7" s="53"/>
      <c r="O7" s="53"/>
      <c r="P7" s="35"/>
      <c r="Q7" s="59">
        <f>-'Pro-Forma'!R25</f>
        <v>-29295623</v>
      </c>
      <c r="R7" s="59">
        <f>-'Pro-Forma'!R24</f>
        <v>-28606545</v>
      </c>
      <c r="S7" s="59">
        <f>Q7+R7</f>
        <v>-57902168</v>
      </c>
    </row>
    <row r="8" spans="1:20">
      <c r="B8" s="51" t="s">
        <v>55</v>
      </c>
      <c r="C8" s="53"/>
      <c r="D8" s="53"/>
      <c r="E8" s="53"/>
      <c r="F8" s="61">
        <v>2016</v>
      </c>
      <c r="G8" s="62">
        <f>SUM(G6:G7)</f>
        <v>965337</v>
      </c>
      <c r="H8" s="62">
        <f>SUM(H6:H7)</f>
        <v>2876415</v>
      </c>
      <c r="I8" s="62">
        <f>G8+H8</f>
        <v>3841752</v>
      </c>
      <c r="J8" s="140">
        <f>I8-'Pro-Forma'!C43</f>
        <v>0</v>
      </c>
      <c r="L8" s="51" t="s">
        <v>55</v>
      </c>
      <c r="M8" s="53"/>
      <c r="N8" s="53"/>
      <c r="O8" s="53"/>
      <c r="P8" s="61">
        <v>2016</v>
      </c>
      <c r="Q8" s="62">
        <f>SUM(Q6:Q7)</f>
        <v>4258292</v>
      </c>
      <c r="R8" s="62">
        <f>SUM(R6:R7)</f>
        <v>4500455</v>
      </c>
      <c r="S8" s="62">
        <f>Q8+R8</f>
        <v>8758747</v>
      </c>
      <c r="T8" s="53">
        <f>'Pro-Forma'!R43-S8</f>
        <v>0</v>
      </c>
    </row>
    <row r="9" spans="1:20">
      <c r="B9" s="51" t="s">
        <v>51</v>
      </c>
      <c r="C9" s="53"/>
      <c r="D9" s="53"/>
      <c r="E9" s="53"/>
      <c r="F9" s="35"/>
      <c r="G9" s="29">
        <f>'Non-Util Benefit Calc'!E9</f>
        <v>0.57030000000000003</v>
      </c>
      <c r="H9" s="29">
        <f>G9</f>
        <v>0.57030000000000003</v>
      </c>
      <c r="I9" s="29">
        <f>H9</f>
        <v>0.57030000000000003</v>
      </c>
      <c r="J9" s="56"/>
      <c r="L9" s="51" t="s">
        <v>51</v>
      </c>
      <c r="M9" s="53"/>
      <c r="N9" s="53"/>
      <c r="O9" s="53"/>
      <c r="P9" s="35"/>
      <c r="Q9" s="29">
        <v>0.57089999999999996</v>
      </c>
      <c r="R9" s="29">
        <f>Q9</f>
        <v>0.57089999999999996</v>
      </c>
      <c r="S9" s="29">
        <f>R9</f>
        <v>0.57089999999999996</v>
      </c>
    </row>
    <row r="10" spans="1:20">
      <c r="B10" s="51" t="s">
        <v>56</v>
      </c>
      <c r="G10" s="62">
        <f>G8*G9</f>
        <v>550532</v>
      </c>
      <c r="H10" s="62">
        <f>H8*H9</f>
        <v>1640419</v>
      </c>
      <c r="I10" s="62">
        <f>G10+H10</f>
        <v>2190951</v>
      </c>
      <c r="L10" s="51" t="s">
        <v>56</v>
      </c>
      <c r="Q10" s="62">
        <f>Q8*Q9</f>
        <v>2431059</v>
      </c>
      <c r="R10" s="62">
        <f>R8*R9</f>
        <v>2569310</v>
      </c>
      <c r="S10" s="62">
        <f>Q10+R10</f>
        <v>5000369</v>
      </c>
    </row>
    <row r="11" spans="1:20" s="64" customFormat="1">
      <c r="F11" s="65"/>
      <c r="P11" s="65"/>
    </row>
    <row r="12" spans="1:20" s="64" customFormat="1">
      <c r="A12" s="28"/>
      <c r="F12" s="65"/>
      <c r="J12" s="66"/>
      <c r="K12" s="28"/>
      <c r="P12" s="65"/>
    </row>
    <row r="13" spans="1:20" s="64" customFormat="1">
      <c r="A13" s="51" t="s">
        <v>31</v>
      </c>
      <c r="B13" s="12"/>
      <c r="C13" s="12"/>
      <c r="D13" s="77">
        <f>41269150+1789497</f>
        <v>43058647</v>
      </c>
      <c r="E13" s="71"/>
      <c r="F13" s="65"/>
      <c r="K13" s="51" t="s">
        <v>31</v>
      </c>
      <c r="L13" s="12"/>
      <c r="M13" s="12"/>
      <c r="N13" s="77">
        <v>41149150</v>
      </c>
      <c r="O13" s="71"/>
      <c r="P13" s="65"/>
    </row>
    <row r="14" spans="1:20" s="64" customFormat="1" ht="13.5" thickBot="1">
      <c r="A14" s="51" t="s">
        <v>44</v>
      </c>
      <c r="B14" s="51"/>
      <c r="C14" s="67"/>
      <c r="D14" s="68">
        <f>D13+D17+D21+D25+D29</f>
        <v>89042943</v>
      </c>
      <c r="E14" s="56"/>
      <c r="F14" s="65"/>
      <c r="G14" s="69"/>
      <c r="H14" s="63"/>
      <c r="I14" s="63"/>
      <c r="J14" s="69"/>
      <c r="K14" s="51" t="s">
        <v>44</v>
      </c>
      <c r="L14" s="51"/>
      <c r="M14" s="67"/>
      <c r="N14" s="68">
        <f>N13+N17+N21+N25+N29</f>
        <v>86319776</v>
      </c>
      <c r="O14" s="56"/>
      <c r="P14" s="65"/>
      <c r="Q14" s="69"/>
      <c r="R14" s="63"/>
      <c r="S14" s="63"/>
    </row>
    <row r="15" spans="1:20" ht="13.5" thickBot="1">
      <c r="A15" s="51" t="s">
        <v>14</v>
      </c>
      <c r="D15" s="56"/>
      <c r="E15" s="70">
        <f>D13/D14</f>
        <v>0.48357</v>
      </c>
      <c r="G15" s="137">
        <f>G10*E15</f>
        <v>266221</v>
      </c>
      <c r="H15" s="138">
        <f>H10*E15</f>
        <v>793257</v>
      </c>
      <c r="I15" s="139">
        <f>G15+H15</f>
        <v>1059478</v>
      </c>
      <c r="K15" s="51" t="s">
        <v>14</v>
      </c>
      <c r="N15" s="56"/>
      <c r="O15" s="70">
        <f>N13/N14</f>
        <v>0.47671000000000002</v>
      </c>
      <c r="P15" s="163"/>
      <c r="Q15" s="137">
        <f>Q10*O15</f>
        <v>1158910</v>
      </c>
      <c r="R15" s="138">
        <f>R10*O15</f>
        <v>1224816</v>
      </c>
      <c r="S15" s="139">
        <f>Q15+R15</f>
        <v>2383726</v>
      </c>
    </row>
    <row r="16" spans="1:20">
      <c r="D16" s="56"/>
      <c r="E16" s="56"/>
      <c r="N16" s="56"/>
      <c r="O16" s="56"/>
    </row>
    <row r="17" spans="1:19" s="64" customFormat="1">
      <c r="A17" s="51" t="s">
        <v>32</v>
      </c>
      <c r="B17" s="12"/>
      <c r="C17" s="12"/>
      <c r="D17" s="77">
        <f>823666+19769638</f>
        <v>20593304</v>
      </c>
      <c r="E17" s="71"/>
      <c r="F17" s="65"/>
      <c r="K17" s="51" t="s">
        <v>32</v>
      </c>
      <c r="L17" s="12"/>
      <c r="M17" s="12"/>
      <c r="N17" s="77">
        <v>20192471</v>
      </c>
      <c r="O17" s="71"/>
      <c r="P17" s="65"/>
    </row>
    <row r="18" spans="1:19" s="64" customFormat="1">
      <c r="A18" s="51" t="str">
        <f>A14</f>
        <v>Total OPER Labor</v>
      </c>
      <c r="B18" s="51"/>
      <c r="C18" s="51"/>
      <c r="D18" s="68">
        <f>$D$14</f>
        <v>89042943</v>
      </c>
      <c r="E18" s="56"/>
      <c r="F18" s="65"/>
      <c r="K18" s="51" t="str">
        <f>K14</f>
        <v>Total OPER Labor</v>
      </c>
      <c r="L18" s="51"/>
      <c r="M18" s="51"/>
      <c r="N18" s="68">
        <f>N14</f>
        <v>86319776</v>
      </c>
      <c r="O18" s="56"/>
      <c r="P18" s="65"/>
    </row>
    <row r="19" spans="1:19">
      <c r="A19" s="51" t="s">
        <v>14</v>
      </c>
      <c r="D19" s="56"/>
      <c r="E19" s="70">
        <f>D17/D18</f>
        <v>0.23127</v>
      </c>
      <c r="G19" s="140">
        <f>G10*E19</f>
        <v>127322</v>
      </c>
      <c r="H19" s="140">
        <f>H10*E19</f>
        <v>379380</v>
      </c>
      <c r="I19" s="140">
        <f>G19+H19</f>
        <v>506702</v>
      </c>
      <c r="K19" s="51" t="s">
        <v>14</v>
      </c>
      <c r="N19" s="56"/>
      <c r="O19" s="70">
        <f>N17/N18</f>
        <v>0.23393</v>
      </c>
      <c r="Q19" s="140">
        <f>Q10*O19</f>
        <v>568698</v>
      </c>
      <c r="R19" s="140">
        <f>R10*O19</f>
        <v>601039</v>
      </c>
      <c r="S19" s="140">
        <f>Q19+R19</f>
        <v>1169737</v>
      </c>
    </row>
    <row r="20" spans="1:19">
      <c r="D20" s="56"/>
      <c r="E20" s="56"/>
      <c r="N20" s="56"/>
      <c r="O20" s="56"/>
    </row>
    <row r="21" spans="1:19" s="64" customFormat="1">
      <c r="A21" s="51" t="s">
        <v>33</v>
      </c>
      <c r="B21" s="12"/>
      <c r="C21" s="12"/>
      <c r="D21" s="77">
        <f>542643+12115313</f>
        <v>12657956</v>
      </c>
      <c r="E21" s="71"/>
      <c r="F21" s="65"/>
      <c r="K21" s="51" t="s">
        <v>33</v>
      </c>
      <c r="L21" s="12"/>
      <c r="M21" s="12"/>
      <c r="N21" s="77">
        <v>12319220</v>
      </c>
      <c r="O21" s="71"/>
      <c r="P21" s="65"/>
    </row>
    <row r="22" spans="1:19" s="64" customFormat="1" ht="13.5" thickBot="1">
      <c r="A22" s="51" t="str">
        <f>A18</f>
        <v>Total OPER Labor</v>
      </c>
      <c r="B22" s="51"/>
      <c r="C22" s="51"/>
      <c r="D22" s="68">
        <f>$D$14</f>
        <v>89042943</v>
      </c>
      <c r="E22" s="56"/>
      <c r="F22" s="65"/>
      <c r="K22" s="51" t="str">
        <f>K18</f>
        <v>Total OPER Labor</v>
      </c>
      <c r="L22" s="51"/>
      <c r="M22" s="51"/>
      <c r="N22" s="68">
        <f>N18</f>
        <v>86319776</v>
      </c>
      <c r="O22" s="56"/>
      <c r="P22" s="65"/>
    </row>
    <row r="23" spans="1:19" ht="13.5" thickBot="1">
      <c r="A23" s="51" t="s">
        <v>14</v>
      </c>
      <c r="D23" s="56"/>
      <c r="E23" s="70">
        <f>D21/D22</f>
        <v>0.14216000000000001</v>
      </c>
      <c r="G23" s="137">
        <f>G10*E23</f>
        <v>78264</v>
      </c>
      <c r="H23" s="138">
        <f>H10*E23</f>
        <v>233202</v>
      </c>
      <c r="I23" s="139">
        <f>G23+H23</f>
        <v>311466</v>
      </c>
      <c r="K23" s="51" t="s">
        <v>14</v>
      </c>
      <c r="N23" s="56"/>
      <c r="O23" s="70">
        <f>N21/N22</f>
        <v>0.14272000000000001</v>
      </c>
      <c r="Q23" s="137">
        <f>Q10*O23</f>
        <v>346961</v>
      </c>
      <c r="R23" s="138">
        <f>R10*O23</f>
        <v>366692</v>
      </c>
      <c r="S23" s="139">
        <f>Q23+R23</f>
        <v>713653</v>
      </c>
    </row>
    <row r="24" spans="1:19">
      <c r="D24" s="56"/>
      <c r="E24" s="56"/>
      <c r="N24" s="56"/>
      <c r="O24" s="56"/>
    </row>
    <row r="25" spans="1:19" s="64" customFormat="1">
      <c r="A25" s="51" t="s">
        <v>34</v>
      </c>
      <c r="B25" s="12"/>
      <c r="C25" s="12"/>
      <c r="D25" s="77">
        <f>205700+5055711</f>
        <v>5261411</v>
      </c>
      <c r="E25" s="71"/>
      <c r="F25" s="65"/>
      <c r="K25" s="51" t="s">
        <v>34</v>
      </c>
      <c r="L25" s="12"/>
      <c r="M25" s="12"/>
      <c r="N25" s="77">
        <v>5146170</v>
      </c>
      <c r="O25" s="71"/>
      <c r="P25" s="65"/>
    </row>
    <row r="26" spans="1:19" s="64" customFormat="1">
      <c r="A26" s="51" t="str">
        <f>A22</f>
        <v>Total OPER Labor</v>
      </c>
      <c r="B26" s="51"/>
      <c r="C26" s="51"/>
      <c r="D26" s="68">
        <f>$D$14</f>
        <v>89042943</v>
      </c>
      <c r="E26" s="56"/>
      <c r="F26" s="65"/>
      <c r="K26" s="51" t="str">
        <f>K22</f>
        <v>Total OPER Labor</v>
      </c>
      <c r="L26" s="51"/>
      <c r="M26" s="51"/>
      <c r="N26" s="68">
        <f>N22</f>
        <v>86319776</v>
      </c>
      <c r="O26" s="56"/>
      <c r="P26" s="65"/>
    </row>
    <row r="27" spans="1:19">
      <c r="A27" s="51" t="s">
        <v>14</v>
      </c>
      <c r="D27" s="56"/>
      <c r="E27" s="70">
        <f>D25/D26</f>
        <v>5.9089999999999997E-2</v>
      </c>
      <c r="G27" s="140">
        <f>G10*E27</f>
        <v>32531</v>
      </c>
      <c r="H27" s="140">
        <f>H10*E27</f>
        <v>96932</v>
      </c>
      <c r="I27" s="140">
        <f>G27+H27</f>
        <v>129463</v>
      </c>
      <c r="K27" s="51" t="s">
        <v>14</v>
      </c>
      <c r="N27" s="56"/>
      <c r="O27" s="70">
        <f>N25/N26</f>
        <v>5.9619999999999999E-2</v>
      </c>
      <c r="Q27" s="140">
        <f>Q10*O27</f>
        <v>144940</v>
      </c>
      <c r="R27" s="140">
        <f>R10*O27</f>
        <v>153182</v>
      </c>
      <c r="S27" s="140">
        <f>Q27+R27</f>
        <v>298122</v>
      </c>
    </row>
    <row r="28" spans="1:19" s="64" customFormat="1">
      <c r="D28" s="63"/>
      <c r="E28" s="63"/>
      <c r="F28" s="65"/>
      <c r="N28" s="63"/>
      <c r="O28" s="63"/>
      <c r="P28" s="65"/>
    </row>
    <row r="29" spans="1:19">
      <c r="A29" s="51" t="s">
        <v>35</v>
      </c>
      <c r="B29" s="12"/>
      <c r="C29" s="12"/>
      <c r="D29" s="77">
        <v>7471625</v>
      </c>
      <c r="E29" s="71"/>
      <c r="F29" s="65"/>
      <c r="G29" s="64"/>
      <c r="K29" s="51" t="s">
        <v>35</v>
      </c>
      <c r="L29" s="12"/>
      <c r="M29" s="12"/>
      <c r="N29" s="77">
        <v>7512765</v>
      </c>
      <c r="O29" s="71"/>
      <c r="P29" s="65"/>
      <c r="Q29" s="64"/>
    </row>
    <row r="30" spans="1:19">
      <c r="A30" s="51" t="str">
        <f>A26</f>
        <v>Total OPER Labor</v>
      </c>
      <c r="D30" s="68">
        <f>$D$14</f>
        <v>89042943</v>
      </c>
      <c r="E30" s="56"/>
      <c r="F30" s="65"/>
      <c r="G30" s="64"/>
      <c r="K30" s="51" t="str">
        <f>K26</f>
        <v>Total OPER Labor</v>
      </c>
      <c r="N30" s="68">
        <f>N26</f>
        <v>86319776</v>
      </c>
      <c r="O30" s="56"/>
      <c r="P30" s="65"/>
      <c r="Q30" s="64"/>
    </row>
    <row r="31" spans="1:19" ht="13.5" thickBot="1">
      <c r="A31" s="51" t="s">
        <v>14</v>
      </c>
      <c r="D31" s="56"/>
      <c r="E31" s="70">
        <f>D29/D30</f>
        <v>8.3909999999999998E-2</v>
      </c>
      <c r="G31" s="125">
        <f>E31*G10</f>
        <v>46195</v>
      </c>
      <c r="H31" s="125">
        <f>H10*E31</f>
        <v>137648</v>
      </c>
      <c r="I31" s="125">
        <f>G31+H31</f>
        <v>183843</v>
      </c>
      <c r="K31" s="51" t="s">
        <v>14</v>
      </c>
      <c r="N31" s="56"/>
      <c r="O31" s="70">
        <f>N29/N30</f>
        <v>8.7029999999999996E-2</v>
      </c>
      <c r="Q31" s="125">
        <f>O31*Q10</f>
        <v>211575</v>
      </c>
      <c r="R31" s="125">
        <f>R10*O31</f>
        <v>223607</v>
      </c>
      <c r="S31" s="125">
        <f>Q31+R31</f>
        <v>435182</v>
      </c>
    </row>
    <row r="32" spans="1:19" ht="13.5" thickTop="1">
      <c r="D32" s="56"/>
      <c r="E32" s="56"/>
      <c r="N32" s="56"/>
      <c r="O32" s="56"/>
    </row>
    <row r="33" spans="4:19">
      <c r="D33" s="56"/>
      <c r="E33" s="72">
        <f>SUM(E15:E31)</f>
        <v>1</v>
      </c>
      <c r="G33" s="73">
        <f>G15+G19+G23+G27+G31</f>
        <v>550533</v>
      </c>
      <c r="H33" s="73">
        <f>H15+H19+H23+H27+H31</f>
        <v>1640419</v>
      </c>
      <c r="I33" s="73">
        <f>I15+I19+I23+I27+I31</f>
        <v>2190952</v>
      </c>
      <c r="N33" s="56"/>
      <c r="O33" s="72">
        <f>SUM(O15:O31)</f>
        <v>1</v>
      </c>
      <c r="Q33" s="73">
        <f>Q15+Q19+Q23+Q27+Q31</f>
        <v>2431084</v>
      </c>
      <c r="R33" s="73">
        <f>R15+R19+R23+R27+R31</f>
        <v>2569336</v>
      </c>
      <c r="S33" s="73">
        <f>S15+S19+S23+S27+S31</f>
        <v>5000420</v>
      </c>
    </row>
    <row r="34" spans="4:19">
      <c r="D34" s="56"/>
      <c r="E34" s="167"/>
      <c r="F34" s="167"/>
      <c r="G34" s="74"/>
      <c r="H34" s="74"/>
      <c r="I34" s="74"/>
      <c r="N34" s="56"/>
      <c r="O34" s="167"/>
      <c r="P34" s="167"/>
      <c r="Q34" s="74"/>
      <c r="R34" s="74"/>
      <c r="S34" s="74"/>
    </row>
    <row r="35" spans="4:19">
      <c r="D35" s="56"/>
      <c r="E35" s="142"/>
      <c r="F35" s="142"/>
      <c r="G35" s="74"/>
      <c r="H35" s="74"/>
      <c r="I35" s="74"/>
      <c r="N35" s="56"/>
      <c r="O35" s="142"/>
      <c r="P35" s="142"/>
      <c r="Q35" s="74"/>
      <c r="R35" s="74"/>
      <c r="S35" s="74"/>
    </row>
    <row r="36" spans="4:19">
      <c r="D36" s="56"/>
      <c r="E36" s="142"/>
      <c r="F36" s="142"/>
      <c r="G36" s="74"/>
      <c r="H36" s="74"/>
      <c r="I36" s="74"/>
      <c r="N36" s="56"/>
      <c r="O36" s="142"/>
      <c r="P36" s="142"/>
      <c r="Q36" s="74"/>
      <c r="R36" s="74"/>
      <c r="S36" s="74"/>
    </row>
    <row r="37" spans="4:19">
      <c r="D37" s="56"/>
      <c r="E37" s="142"/>
      <c r="F37" s="142"/>
      <c r="G37" s="74"/>
      <c r="H37" s="74"/>
      <c r="I37" s="74"/>
      <c r="N37" s="56"/>
      <c r="O37" s="142"/>
      <c r="P37" s="142"/>
      <c r="Q37" s="74"/>
      <c r="R37" s="74"/>
      <c r="S37" s="74"/>
    </row>
    <row r="38" spans="4:19">
      <c r="D38" s="56"/>
      <c r="E38" s="142"/>
      <c r="F38" s="142"/>
      <c r="G38" s="74"/>
      <c r="H38" s="74"/>
      <c r="I38" s="74"/>
      <c r="N38" s="56"/>
      <c r="O38" s="142"/>
      <c r="P38" s="142"/>
      <c r="Q38" s="74"/>
      <c r="R38" s="74"/>
      <c r="S38" s="74"/>
    </row>
    <row r="39" spans="4:19">
      <c r="D39" s="165" t="s">
        <v>134</v>
      </c>
      <c r="E39" s="165"/>
      <c r="F39" s="165"/>
      <c r="G39" s="165"/>
      <c r="H39" s="165"/>
      <c r="I39" s="165"/>
      <c r="N39" s="165" t="s">
        <v>134</v>
      </c>
      <c r="O39" s="165"/>
      <c r="P39" s="165"/>
      <c r="Q39" s="165"/>
      <c r="R39" s="165"/>
      <c r="S39" s="165"/>
    </row>
    <row r="40" spans="4:19">
      <c r="D40" s="56"/>
      <c r="E40" s="142"/>
      <c r="F40" s="142"/>
      <c r="G40" s="74"/>
      <c r="H40" s="74"/>
      <c r="I40" s="74"/>
      <c r="N40" s="56"/>
      <c r="O40" s="142"/>
      <c r="P40" s="142"/>
      <c r="Q40" s="74"/>
      <c r="R40" s="74"/>
      <c r="S40" s="74"/>
    </row>
    <row r="41" spans="4:19">
      <c r="D41" s="158" t="s">
        <v>122</v>
      </c>
      <c r="E41" s="142"/>
      <c r="F41" s="142"/>
      <c r="G41" s="74"/>
      <c r="H41" s="74"/>
      <c r="I41" s="74"/>
      <c r="N41" s="158" t="s">
        <v>122</v>
      </c>
      <c r="O41" s="142"/>
      <c r="P41" s="142"/>
      <c r="Q41" s="74"/>
      <c r="R41" s="74"/>
      <c r="S41" s="74"/>
    </row>
    <row r="42" spans="4:19">
      <c r="D42" s="56" t="s">
        <v>131</v>
      </c>
      <c r="E42" s="142"/>
      <c r="F42" s="159">
        <f>0.2813+0.0842</f>
        <v>0.36549999999999999</v>
      </c>
      <c r="G42" s="75">
        <f>$G$15*F42</f>
        <v>97304</v>
      </c>
      <c r="H42" s="75">
        <f>$H$15*F42</f>
        <v>289935</v>
      </c>
      <c r="I42" s="75">
        <f>H42+G42</f>
        <v>387239</v>
      </c>
      <c r="N42" s="56" t="s">
        <v>131</v>
      </c>
      <c r="O42" s="142"/>
      <c r="P42" s="159">
        <f>0.2556+0.0778</f>
        <v>0.33339999999999997</v>
      </c>
      <c r="Q42" s="75">
        <f>$Q$15*P42</f>
        <v>386381</v>
      </c>
      <c r="R42" s="75">
        <f>$R$15*P42</f>
        <v>408354</v>
      </c>
      <c r="S42" s="75">
        <f>R42+Q42</f>
        <v>794735</v>
      </c>
    </row>
    <row r="43" spans="4:19">
      <c r="D43" s="56" t="s">
        <v>2</v>
      </c>
      <c r="E43" s="142"/>
      <c r="F43" s="159">
        <v>0.246</v>
      </c>
      <c r="G43" s="75">
        <f t="shared" ref="G43:G45" si="0">$G$15*F43</f>
        <v>65490</v>
      </c>
      <c r="H43" s="75">
        <f t="shared" ref="H43:H45" si="1">$H$15*F43</f>
        <v>195141</v>
      </c>
      <c r="I43" s="75">
        <f t="shared" ref="I43:I45" si="2">H43+G43</f>
        <v>260631</v>
      </c>
      <c r="N43" s="56" t="s">
        <v>2</v>
      </c>
      <c r="O43" s="142"/>
      <c r="P43" s="159">
        <v>0.23119999999999999</v>
      </c>
      <c r="Q43" s="75">
        <f t="shared" ref="Q43:Q45" si="3">$Q$15*P43</f>
        <v>267940</v>
      </c>
      <c r="R43" s="75">
        <f t="shared" ref="R43:R45" si="4">$R$15*P43</f>
        <v>283177</v>
      </c>
      <c r="S43" s="75">
        <f t="shared" ref="S43:S45" si="5">R43+Q43</f>
        <v>551117</v>
      </c>
    </row>
    <row r="44" spans="4:19">
      <c r="D44" s="56" t="s">
        <v>132</v>
      </c>
      <c r="E44" s="142"/>
      <c r="F44" s="159">
        <f>0.0934+0.0103</f>
        <v>0.1037</v>
      </c>
      <c r="G44" s="75">
        <f t="shared" si="0"/>
        <v>27607</v>
      </c>
      <c r="H44" s="75">
        <f t="shared" si="1"/>
        <v>82261</v>
      </c>
      <c r="I44" s="75">
        <f t="shared" si="2"/>
        <v>109868</v>
      </c>
      <c r="N44" s="56" t="s">
        <v>132</v>
      </c>
      <c r="O44" s="142"/>
      <c r="P44" s="159">
        <f>0.1129+0.0107</f>
        <v>0.1236</v>
      </c>
      <c r="Q44" s="75">
        <f t="shared" si="3"/>
        <v>143241</v>
      </c>
      <c r="R44" s="75">
        <f t="shared" si="4"/>
        <v>151387</v>
      </c>
      <c r="S44" s="75">
        <f t="shared" si="5"/>
        <v>294628</v>
      </c>
    </row>
    <row r="45" spans="4:19">
      <c r="D45" s="56" t="s">
        <v>133</v>
      </c>
      <c r="E45" s="142"/>
      <c r="F45" s="162">
        <f>0.2848</f>
        <v>0.2848</v>
      </c>
      <c r="G45" s="132">
        <f t="shared" si="0"/>
        <v>75820</v>
      </c>
      <c r="H45" s="132">
        <f t="shared" si="1"/>
        <v>225920</v>
      </c>
      <c r="I45" s="132">
        <f t="shared" si="2"/>
        <v>301740</v>
      </c>
      <c r="N45" s="56" t="s">
        <v>133</v>
      </c>
      <c r="O45" s="142"/>
      <c r="P45" s="162">
        <v>0.31180000000000002</v>
      </c>
      <c r="Q45" s="132">
        <f t="shared" si="3"/>
        <v>361348</v>
      </c>
      <c r="R45" s="132">
        <f t="shared" si="4"/>
        <v>381898</v>
      </c>
      <c r="S45" s="132">
        <f t="shared" si="5"/>
        <v>743246</v>
      </c>
    </row>
    <row r="46" spans="4:19">
      <c r="D46" s="56" t="s">
        <v>0</v>
      </c>
      <c r="E46" s="142"/>
      <c r="F46" s="159">
        <f>SUM(F42:F45)</f>
        <v>1</v>
      </c>
      <c r="G46" s="75">
        <f>SUM(G42:G45)</f>
        <v>266221</v>
      </c>
      <c r="H46" s="75">
        <f>SUM(H42:H45)</f>
        <v>793257</v>
      </c>
      <c r="I46" s="75">
        <f>SUM(I42:I45)</f>
        <v>1059478</v>
      </c>
      <c r="N46" s="56" t="s">
        <v>0</v>
      </c>
      <c r="O46" s="142"/>
      <c r="P46" s="159">
        <f>SUM(P42:P45)</f>
        <v>1</v>
      </c>
      <c r="Q46" s="75">
        <f>SUM(Q42:Q45)</f>
        <v>1158910</v>
      </c>
      <c r="R46" s="75">
        <f>SUM(R42:R45)</f>
        <v>1224816</v>
      </c>
      <c r="S46" s="75">
        <f>SUM(S42:S45)</f>
        <v>2383726</v>
      </c>
    </row>
    <row r="47" spans="4:19">
      <c r="D47" s="56"/>
      <c r="E47" s="142"/>
      <c r="F47" s="160"/>
      <c r="G47" s="75"/>
      <c r="H47" s="75"/>
      <c r="I47" s="75"/>
      <c r="N47" s="56"/>
      <c r="O47" s="142"/>
      <c r="P47" s="160"/>
      <c r="Q47" s="75"/>
      <c r="R47" s="75"/>
      <c r="S47" s="75"/>
    </row>
    <row r="48" spans="4:19">
      <c r="D48" s="56"/>
      <c r="E48" s="142"/>
      <c r="F48" s="161"/>
      <c r="G48" s="74"/>
      <c r="H48" s="74"/>
      <c r="I48" s="74"/>
      <c r="N48" s="56"/>
      <c r="O48" s="142"/>
      <c r="P48" s="161"/>
      <c r="Q48" s="74"/>
      <c r="R48" s="74"/>
      <c r="S48" s="74"/>
    </row>
    <row r="49" spans="1:19">
      <c r="D49" s="158" t="s">
        <v>123</v>
      </c>
      <c r="E49" s="142"/>
      <c r="F49" s="142"/>
      <c r="G49" s="74"/>
      <c r="H49" s="74"/>
      <c r="I49" s="74"/>
      <c r="N49" s="158" t="s">
        <v>123</v>
      </c>
      <c r="O49" s="142"/>
      <c r="P49" s="142"/>
      <c r="Q49" s="74"/>
      <c r="R49" s="74"/>
      <c r="S49" s="74"/>
    </row>
    <row r="50" spans="1:19">
      <c r="D50" s="56" t="s">
        <v>19</v>
      </c>
      <c r="E50" s="142"/>
      <c r="F50" s="159">
        <v>3.6299999999999999E-2</v>
      </c>
      <c r="G50" s="75">
        <f>$G$23*F50</f>
        <v>2841</v>
      </c>
      <c r="H50" s="75">
        <f>$H$23*F50</f>
        <v>8465</v>
      </c>
      <c r="I50" s="75">
        <f>H50+G50</f>
        <v>11306</v>
      </c>
      <c r="N50" s="56" t="s">
        <v>19</v>
      </c>
      <c r="O50" s="142"/>
      <c r="P50" s="159">
        <v>3.4799999999999998E-2</v>
      </c>
      <c r="Q50" s="75">
        <f>$Q$23*P50</f>
        <v>12074</v>
      </c>
      <c r="R50" s="75">
        <f>$R$23*P50</f>
        <v>12761</v>
      </c>
      <c r="S50" s="75">
        <f>R50+Q50</f>
        <v>24835</v>
      </c>
    </row>
    <row r="51" spans="1:19">
      <c r="D51" s="56" t="s">
        <v>20</v>
      </c>
      <c r="E51" s="142"/>
      <c r="F51" s="159">
        <v>4.0000000000000002E-4</v>
      </c>
      <c r="G51" s="75">
        <f t="shared" ref="G51:G54" si="6">$G$23*F51</f>
        <v>31</v>
      </c>
      <c r="H51" s="75">
        <f t="shared" ref="H51:H54" si="7">$H$23*F51</f>
        <v>93</v>
      </c>
      <c r="I51" s="75">
        <f t="shared" ref="I51:I54" si="8">H51+G51</f>
        <v>124</v>
      </c>
      <c r="N51" s="56" t="s">
        <v>20</v>
      </c>
      <c r="O51" s="142"/>
      <c r="P51" s="159">
        <v>2.9999999999999997E-4</v>
      </c>
      <c r="Q51" s="75">
        <f t="shared" ref="Q51:Q54" si="9">$Q$23*P51</f>
        <v>104</v>
      </c>
      <c r="R51" s="75">
        <f t="shared" ref="R51:R54" si="10">$R$23*P51</f>
        <v>110</v>
      </c>
      <c r="S51" s="75">
        <f t="shared" ref="S51:S54" si="11">R51+Q51</f>
        <v>214</v>
      </c>
    </row>
    <row r="52" spans="1:19">
      <c r="D52" s="56" t="s">
        <v>2</v>
      </c>
      <c r="E52" s="142"/>
      <c r="F52" s="159">
        <v>0.46229999999999999</v>
      </c>
      <c r="G52" s="75">
        <f t="shared" si="6"/>
        <v>36181</v>
      </c>
      <c r="H52" s="75">
        <f t="shared" si="7"/>
        <v>107809</v>
      </c>
      <c r="I52" s="75">
        <f t="shared" si="8"/>
        <v>143990</v>
      </c>
      <c r="N52" s="56" t="s">
        <v>2</v>
      </c>
      <c r="O52" s="142"/>
      <c r="P52" s="159">
        <v>0.41699999999999998</v>
      </c>
      <c r="Q52" s="75">
        <f t="shared" si="9"/>
        <v>144683</v>
      </c>
      <c r="R52" s="75">
        <f t="shared" si="10"/>
        <v>152911</v>
      </c>
      <c r="S52" s="75">
        <f t="shared" si="11"/>
        <v>297594</v>
      </c>
    </row>
    <row r="53" spans="1:19">
      <c r="D53" s="56" t="s">
        <v>132</v>
      </c>
      <c r="E53" s="142"/>
      <c r="F53" s="159">
        <f>0.2223+0.0221</f>
        <v>0.24440000000000001</v>
      </c>
      <c r="G53" s="75">
        <f t="shared" si="6"/>
        <v>19128</v>
      </c>
      <c r="H53" s="75">
        <f t="shared" si="7"/>
        <v>56995</v>
      </c>
      <c r="I53" s="75">
        <f t="shared" si="8"/>
        <v>76123</v>
      </c>
      <c r="N53" s="56" t="s">
        <v>132</v>
      </c>
      <c r="O53" s="142"/>
      <c r="P53" s="159">
        <f>0.2374+0.0194</f>
        <v>0.25679999999999997</v>
      </c>
      <c r="Q53" s="75">
        <f t="shared" si="9"/>
        <v>89100</v>
      </c>
      <c r="R53" s="75">
        <f t="shared" si="10"/>
        <v>94167</v>
      </c>
      <c r="S53" s="75">
        <f t="shared" si="11"/>
        <v>183267</v>
      </c>
    </row>
    <row r="54" spans="1:19">
      <c r="D54" s="56" t="s">
        <v>133</v>
      </c>
      <c r="E54" s="142"/>
      <c r="F54" s="162">
        <v>0.25659999999999999</v>
      </c>
      <c r="G54" s="132">
        <f t="shared" si="6"/>
        <v>20083</v>
      </c>
      <c r="H54" s="132">
        <f t="shared" si="7"/>
        <v>59840</v>
      </c>
      <c r="I54" s="132">
        <f t="shared" si="8"/>
        <v>79923</v>
      </c>
      <c r="N54" s="56" t="s">
        <v>133</v>
      </c>
      <c r="O54" s="142"/>
      <c r="P54" s="162">
        <v>0.29110000000000003</v>
      </c>
      <c r="Q54" s="132">
        <f t="shared" si="9"/>
        <v>101000</v>
      </c>
      <c r="R54" s="132">
        <f t="shared" si="10"/>
        <v>106744</v>
      </c>
      <c r="S54" s="132">
        <f t="shared" si="11"/>
        <v>207744</v>
      </c>
    </row>
    <row r="55" spans="1:19">
      <c r="D55" s="56" t="s">
        <v>0</v>
      </c>
      <c r="E55" s="142"/>
      <c r="F55" s="159">
        <f>SUM(F50:F54)</f>
        <v>1</v>
      </c>
      <c r="G55" s="75">
        <f>SUM(G50:G54)</f>
        <v>78264</v>
      </c>
      <c r="H55" s="75">
        <f>SUM(H50:H54)</f>
        <v>233202</v>
      </c>
      <c r="I55" s="75">
        <f>SUM(I50:I54)</f>
        <v>311466</v>
      </c>
      <c r="N55" s="56" t="s">
        <v>0</v>
      </c>
      <c r="O55" s="142"/>
      <c r="P55" s="159">
        <f>SUM(P50:P54)</f>
        <v>1</v>
      </c>
      <c r="Q55" s="75">
        <f>SUM(Q50:Q54)</f>
        <v>346961</v>
      </c>
      <c r="R55" s="75">
        <f>SUM(R50:R54)</f>
        <v>366693</v>
      </c>
      <c r="S55" s="75">
        <f>SUM(S50:S54)</f>
        <v>713654</v>
      </c>
    </row>
    <row r="57" spans="1:19">
      <c r="A57" s="51" t="s">
        <v>135</v>
      </c>
      <c r="K57" s="51" t="s">
        <v>135</v>
      </c>
    </row>
    <row r="58" spans="1:19">
      <c r="A58" s="51" t="s">
        <v>52</v>
      </c>
      <c r="K58" s="51" t="s">
        <v>52</v>
      </c>
    </row>
    <row r="59" spans="1:19" ht="35.25" customHeight="1"/>
    <row r="60" spans="1:19">
      <c r="C60" s="75"/>
      <c r="D60" s="75"/>
      <c r="E60" s="75"/>
      <c r="M60" s="75"/>
      <c r="N60" s="75"/>
      <c r="O60" s="75"/>
    </row>
    <row r="61" spans="1:19">
      <c r="C61" s="75"/>
      <c r="D61" s="75"/>
      <c r="E61" s="75"/>
      <c r="M61" s="75"/>
      <c r="N61" s="75"/>
      <c r="O61" s="75"/>
    </row>
    <row r="62" spans="1:19">
      <c r="C62" s="75"/>
      <c r="D62" s="75"/>
      <c r="E62" s="75"/>
      <c r="M62" s="75"/>
      <c r="N62" s="75"/>
      <c r="O62" s="75"/>
    </row>
    <row r="63" spans="1:19">
      <c r="C63" s="75"/>
      <c r="D63" s="75"/>
      <c r="E63" s="75"/>
      <c r="M63" s="75"/>
      <c r="N63" s="75"/>
      <c r="O63" s="75"/>
    </row>
    <row r="64" spans="1:19" ht="25.5" customHeight="1">
      <c r="C64" s="75"/>
      <c r="D64" s="75"/>
      <c r="E64" s="75"/>
      <c r="M64" s="75"/>
      <c r="N64" s="75"/>
      <c r="O64" s="75"/>
    </row>
    <row r="68" spans="6:16">
      <c r="F68" s="51"/>
      <c r="P68" s="51"/>
    </row>
    <row r="69" spans="6:16">
      <c r="F69" s="51"/>
      <c r="P69" s="51"/>
    </row>
    <row r="70" spans="6:16">
      <c r="F70" s="51"/>
      <c r="P70" s="51"/>
    </row>
    <row r="71" spans="6:16" ht="27" customHeight="1">
      <c r="F71" s="51"/>
      <c r="P71" s="51"/>
    </row>
    <row r="72" spans="6:16">
      <c r="F72" s="51"/>
      <c r="P72" s="51"/>
    </row>
    <row r="73" spans="6:16">
      <c r="F73" s="51"/>
      <c r="P73" s="51"/>
    </row>
    <row r="74" spans="6:16">
      <c r="F74" s="51"/>
      <c r="P74" s="51"/>
    </row>
    <row r="75" spans="6:16">
      <c r="F75" s="51"/>
      <c r="P75" s="51"/>
    </row>
    <row r="76" spans="6:16">
      <c r="F76" s="51"/>
      <c r="P76" s="51"/>
    </row>
    <row r="77" spans="6:16">
      <c r="F77" s="51"/>
      <c r="P77" s="51"/>
    </row>
    <row r="78" spans="6:16">
      <c r="F78" s="51"/>
      <c r="P78" s="51"/>
    </row>
    <row r="79" spans="6:16">
      <c r="F79" s="51"/>
      <c r="P79" s="51"/>
    </row>
    <row r="80" spans="6:16">
      <c r="F80" s="51"/>
      <c r="P80" s="51"/>
    </row>
  </sheetData>
  <mergeCells count="8">
    <mergeCell ref="D39:I39"/>
    <mergeCell ref="N39:S39"/>
    <mergeCell ref="G1:I1"/>
    <mergeCell ref="Q1:S1"/>
    <mergeCell ref="G2:I2"/>
    <mergeCell ref="Q2:S2"/>
    <mergeCell ref="E34:F34"/>
    <mergeCell ref="O34:P34"/>
  </mergeCells>
  <pageMargins left="0.61" right="0.75" top="1" bottom="1" header="0.5" footer="0.5"/>
  <pageSetup scale="73" orientation="portrait" r:id="rId1"/>
  <headerFooter alignWithMargins="0">
    <oddHeader>&amp;RExhibit No. MC-11
Dockets UE-160228/229
Page &amp;P of &amp;N</oddHeader>
  </headerFooter>
  <colBreaks count="1" manualBreakCount="1">
    <brk id="10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T80"/>
  <sheetViews>
    <sheetView tabSelected="1" view="pageBreakPreview" topLeftCell="K1" zoomScaleNormal="100" zoomScaleSheetLayoutView="100" workbookViewId="0">
      <selection activeCell="S8" sqref="S8"/>
    </sheetView>
  </sheetViews>
  <sheetFormatPr defaultColWidth="9.33203125" defaultRowHeight="12.75"/>
  <cols>
    <col min="1" max="1" width="9.33203125" style="51" hidden="1" customWidth="1"/>
    <col min="2" max="2" width="17.33203125" style="51" hidden="1" customWidth="1"/>
    <col min="3" max="3" width="10.5" style="51" hidden="1" customWidth="1"/>
    <col min="4" max="4" width="16.83203125" style="51" hidden="1" customWidth="1"/>
    <col min="5" max="5" width="12.1640625" style="51" hidden="1" customWidth="1"/>
    <col min="6" max="6" width="9.6640625" style="52" hidden="1" customWidth="1"/>
    <col min="7" max="7" width="17.83203125" style="51" hidden="1" customWidth="1"/>
    <col min="8" max="8" width="17.33203125" style="51" hidden="1" customWidth="1"/>
    <col min="9" max="9" width="19.33203125" style="51" hidden="1" customWidth="1"/>
    <col min="10" max="10" width="4.83203125" style="51" hidden="1" customWidth="1"/>
    <col min="11" max="11" width="9.33203125" style="51"/>
    <col min="12" max="12" width="17.33203125" style="51" customWidth="1"/>
    <col min="13" max="13" width="10.5" style="51" customWidth="1"/>
    <col min="14" max="14" width="16.83203125" style="51" customWidth="1"/>
    <col min="15" max="15" width="12.1640625" style="51" customWidth="1"/>
    <col min="16" max="16" width="9.5" style="124" customWidth="1"/>
    <col min="17" max="17" width="17.83203125" style="51" customWidth="1"/>
    <col min="18" max="18" width="17.33203125" style="51" customWidth="1"/>
    <col min="19" max="19" width="19.33203125" style="51" customWidth="1"/>
    <col min="20" max="20" width="4.33203125" style="51" bestFit="1" customWidth="1"/>
    <col min="21" max="16384" width="9.33203125" style="51"/>
  </cols>
  <sheetData>
    <row r="1" spans="1:20" ht="15.75">
      <c r="C1" s="123"/>
      <c r="G1" s="166" t="s">
        <v>136</v>
      </c>
      <c r="H1" s="166"/>
      <c r="I1" s="166"/>
      <c r="M1" s="123"/>
      <c r="Q1" s="166" t="s">
        <v>136</v>
      </c>
      <c r="R1" s="166"/>
      <c r="S1" s="166"/>
    </row>
    <row r="2" spans="1:20">
      <c r="A2" s="36"/>
      <c r="B2" s="36"/>
      <c r="C2" s="124" t="s">
        <v>114</v>
      </c>
      <c r="G2" s="166" t="s">
        <v>138</v>
      </c>
      <c r="H2" s="166"/>
      <c r="I2" s="166"/>
      <c r="K2" s="36"/>
      <c r="L2" s="36"/>
      <c r="M2" s="124" t="s">
        <v>114</v>
      </c>
      <c r="Q2" s="166" t="s">
        <v>139</v>
      </c>
      <c r="R2" s="166"/>
      <c r="S2" s="166"/>
    </row>
    <row r="3" spans="1:20">
      <c r="B3" s="17"/>
      <c r="G3" s="164"/>
      <c r="H3" s="143" t="s">
        <v>137</v>
      </c>
      <c r="I3" s="164"/>
      <c r="L3" s="17"/>
      <c r="Q3" s="164"/>
      <c r="R3" s="143" t="s">
        <v>137</v>
      </c>
      <c r="S3" s="164"/>
    </row>
    <row r="5" spans="1:20">
      <c r="C5" s="53"/>
      <c r="D5" s="53"/>
      <c r="E5" s="53"/>
      <c r="F5" s="35"/>
      <c r="G5" s="54" t="s">
        <v>47</v>
      </c>
      <c r="H5" s="54" t="s">
        <v>29</v>
      </c>
      <c r="I5" s="54" t="s">
        <v>13</v>
      </c>
      <c r="J5" s="55"/>
      <c r="M5" s="53"/>
      <c r="N5" s="53"/>
      <c r="O5" s="53"/>
      <c r="P5" s="35"/>
      <c r="Q5" s="54" t="s">
        <v>47</v>
      </c>
      <c r="R5" s="54" t="s">
        <v>29</v>
      </c>
      <c r="S5" s="54" t="s">
        <v>13</v>
      </c>
    </row>
    <row r="6" spans="1:20">
      <c r="B6" s="56" t="s">
        <v>54</v>
      </c>
      <c r="C6" s="53"/>
      <c r="D6" s="53"/>
      <c r="E6" s="53"/>
      <c r="F6" s="35" t="s">
        <v>30</v>
      </c>
      <c r="G6" s="57">
        <f>'Pro-Forma'!D25</f>
        <v>33553915</v>
      </c>
      <c r="H6" s="57">
        <f>'Pro-Forma'!D24</f>
        <v>33107000</v>
      </c>
      <c r="I6" s="57">
        <f>G6+H6</f>
        <v>66660915</v>
      </c>
      <c r="J6" s="58"/>
      <c r="L6" s="56" t="s">
        <v>54</v>
      </c>
      <c r="M6" s="53"/>
      <c r="N6" s="53"/>
      <c r="O6" s="53"/>
      <c r="P6" s="35" t="s">
        <v>30</v>
      </c>
      <c r="Q6" s="57">
        <f>G6</f>
        <v>33553915</v>
      </c>
      <c r="R6" s="57">
        <f>H6</f>
        <v>33107000</v>
      </c>
      <c r="S6" s="57">
        <f>Q6+R6</f>
        <v>66660915</v>
      </c>
    </row>
    <row r="7" spans="1:20">
      <c r="B7" s="56" t="s">
        <v>53</v>
      </c>
      <c r="C7" s="76">
        <v>42369</v>
      </c>
      <c r="D7" s="53"/>
      <c r="E7" s="53"/>
      <c r="F7" s="35"/>
      <c r="G7" s="59">
        <f>-'Pro-Forma'!C25</f>
        <v>-32588578</v>
      </c>
      <c r="H7" s="59">
        <f>-'Pro-Forma'!C24</f>
        <v>-30230585</v>
      </c>
      <c r="I7" s="59">
        <f>G7+H7</f>
        <v>-62819163</v>
      </c>
      <c r="J7" s="60"/>
      <c r="L7" s="56" t="s">
        <v>53</v>
      </c>
      <c r="M7" s="76">
        <v>42277</v>
      </c>
      <c r="N7" s="53"/>
      <c r="O7" s="53"/>
      <c r="P7" s="35"/>
      <c r="Q7" s="59">
        <f>-'Pro-Forma'!R25</f>
        <v>-29295623</v>
      </c>
      <c r="R7" s="59">
        <f>-'Pro-Forma'!R24</f>
        <v>-28606545</v>
      </c>
      <c r="S7" s="59">
        <f>Q7+R7</f>
        <v>-57902168</v>
      </c>
    </row>
    <row r="8" spans="1:20">
      <c r="B8" s="51" t="s">
        <v>55</v>
      </c>
      <c r="C8" s="53"/>
      <c r="D8" s="53"/>
      <c r="E8" s="53"/>
      <c r="F8" s="61">
        <v>2016</v>
      </c>
      <c r="G8" s="62">
        <f>SUM(G6:G7)</f>
        <v>965337</v>
      </c>
      <c r="H8" s="62">
        <f>SUM(H6:H7)</f>
        <v>2876415</v>
      </c>
      <c r="I8" s="62">
        <f>G8+H8</f>
        <v>3841752</v>
      </c>
      <c r="J8" s="140">
        <f>I8-'Pro-Forma'!C43</f>
        <v>0</v>
      </c>
      <c r="L8" s="51" t="s">
        <v>55</v>
      </c>
      <c r="M8" s="53"/>
      <c r="N8" s="53"/>
      <c r="O8" s="53"/>
      <c r="P8" s="61">
        <v>2016</v>
      </c>
      <c r="Q8" s="62">
        <f>SUM(Q6:Q7)</f>
        <v>4258292</v>
      </c>
      <c r="R8" s="62">
        <f>SUM(R6:R7)</f>
        <v>4500455</v>
      </c>
      <c r="S8" s="62">
        <f>Q8+R8</f>
        <v>8758747</v>
      </c>
      <c r="T8" s="53">
        <f>'Pro-Forma'!R43-S8</f>
        <v>0</v>
      </c>
    </row>
    <row r="9" spans="1:20">
      <c r="B9" s="51" t="s">
        <v>51</v>
      </c>
      <c r="C9" s="53"/>
      <c r="D9" s="53"/>
      <c r="E9" s="53"/>
      <c r="F9" s="35"/>
      <c r="G9" s="29">
        <f>'Non-Util Benefit Calc'!E9</f>
        <v>0.57030000000000003</v>
      </c>
      <c r="H9" s="29">
        <f>G9</f>
        <v>0.57030000000000003</v>
      </c>
      <c r="I9" s="29">
        <f>H9</f>
        <v>0.57030000000000003</v>
      </c>
      <c r="J9" s="56"/>
      <c r="L9" s="51" t="s">
        <v>51</v>
      </c>
      <c r="M9" s="53"/>
      <c r="N9" s="53"/>
      <c r="O9" s="53"/>
      <c r="P9" s="35"/>
      <c r="Q9" s="29">
        <v>0.57089999999999996</v>
      </c>
      <c r="R9" s="29">
        <f>Q9</f>
        <v>0.57089999999999996</v>
      </c>
      <c r="S9" s="29">
        <f>R9</f>
        <v>0.57089999999999996</v>
      </c>
    </row>
    <row r="10" spans="1:20">
      <c r="B10" s="51" t="s">
        <v>56</v>
      </c>
      <c r="G10" s="62">
        <f>G8*G9</f>
        <v>550532</v>
      </c>
      <c r="H10" s="62">
        <f>H8*H9</f>
        <v>1640419</v>
      </c>
      <c r="I10" s="62">
        <f>G10+H10</f>
        <v>2190951</v>
      </c>
      <c r="L10" s="51" t="s">
        <v>56</v>
      </c>
      <c r="Q10" s="62">
        <f>Q8*Q9</f>
        <v>2431059</v>
      </c>
      <c r="R10" s="62">
        <f>R8*R9</f>
        <v>2569310</v>
      </c>
      <c r="S10" s="62">
        <f>Q10+R10</f>
        <v>5000369</v>
      </c>
    </row>
    <row r="11" spans="1:20" s="64" customFormat="1">
      <c r="F11" s="65"/>
      <c r="P11" s="65"/>
    </row>
    <row r="12" spans="1:20" s="64" customFormat="1">
      <c r="A12" s="28"/>
      <c r="F12" s="65"/>
      <c r="J12" s="66"/>
      <c r="K12" s="28"/>
      <c r="P12" s="65"/>
    </row>
    <row r="13" spans="1:20" s="64" customFormat="1">
      <c r="A13" s="51" t="s">
        <v>31</v>
      </c>
      <c r="B13" s="12"/>
      <c r="C13" s="12"/>
      <c r="D13" s="77">
        <f>41269150+1789497</f>
        <v>43058647</v>
      </c>
      <c r="E13" s="71"/>
      <c r="F13" s="65"/>
      <c r="K13" s="51" t="s">
        <v>31</v>
      </c>
      <c r="L13" s="12"/>
      <c r="M13" s="12"/>
      <c r="N13" s="77">
        <v>41149150</v>
      </c>
      <c r="O13" s="71"/>
      <c r="P13" s="65"/>
    </row>
    <row r="14" spans="1:20" s="64" customFormat="1" ht="13.5" thickBot="1">
      <c r="A14" s="51" t="s">
        <v>44</v>
      </c>
      <c r="B14" s="51"/>
      <c r="C14" s="67"/>
      <c r="D14" s="68">
        <f>D13+D17+D21+D25+D29</f>
        <v>89042943</v>
      </c>
      <c r="E14" s="56"/>
      <c r="F14" s="65"/>
      <c r="G14" s="69"/>
      <c r="H14" s="63"/>
      <c r="I14" s="63"/>
      <c r="J14" s="69"/>
      <c r="K14" s="51" t="s">
        <v>44</v>
      </c>
      <c r="L14" s="51"/>
      <c r="M14" s="67"/>
      <c r="N14" s="68">
        <f>N13+N17+N21+N25+N29</f>
        <v>86319776</v>
      </c>
      <c r="O14" s="56"/>
      <c r="P14" s="65"/>
      <c r="Q14" s="69"/>
      <c r="R14" s="63"/>
      <c r="S14" s="63"/>
    </row>
    <row r="15" spans="1:20" ht="13.5" thickBot="1">
      <c r="A15" s="51" t="s">
        <v>14</v>
      </c>
      <c r="D15" s="56"/>
      <c r="E15" s="70">
        <f>D13/D14</f>
        <v>0.48357</v>
      </c>
      <c r="G15" s="137">
        <f>G10*E15</f>
        <v>266221</v>
      </c>
      <c r="H15" s="138">
        <f>H10*E15</f>
        <v>793257</v>
      </c>
      <c r="I15" s="139">
        <f>G15+H15</f>
        <v>1059478</v>
      </c>
      <c r="K15" s="51" t="s">
        <v>14</v>
      </c>
      <c r="N15" s="56"/>
      <c r="O15" s="70">
        <f>N13/N14</f>
        <v>0.47671000000000002</v>
      </c>
      <c r="P15" s="163"/>
      <c r="Q15" s="137">
        <f>Q10*O15</f>
        <v>1158910</v>
      </c>
      <c r="R15" s="138">
        <f>R10*O15</f>
        <v>1224816</v>
      </c>
      <c r="S15" s="139">
        <f>Q15+R15</f>
        <v>2383726</v>
      </c>
    </row>
    <row r="16" spans="1:20">
      <c r="D16" s="56"/>
      <c r="E16" s="56"/>
      <c r="N16" s="56"/>
      <c r="O16" s="56"/>
    </row>
    <row r="17" spans="1:19" s="64" customFormat="1">
      <c r="A17" s="51" t="s">
        <v>32</v>
      </c>
      <c r="B17" s="12"/>
      <c r="C17" s="12"/>
      <c r="D17" s="77">
        <f>823666+19769638</f>
        <v>20593304</v>
      </c>
      <c r="E17" s="71"/>
      <c r="F17" s="65"/>
      <c r="K17" s="51" t="s">
        <v>32</v>
      </c>
      <c r="L17" s="12"/>
      <c r="M17" s="12"/>
      <c r="N17" s="77">
        <v>20192471</v>
      </c>
      <c r="O17" s="71"/>
      <c r="P17" s="65"/>
    </row>
    <row r="18" spans="1:19" s="64" customFormat="1">
      <c r="A18" s="51" t="str">
        <f>A14</f>
        <v>Total OPER Labor</v>
      </c>
      <c r="B18" s="51"/>
      <c r="C18" s="51"/>
      <c r="D18" s="68">
        <f>$D$14</f>
        <v>89042943</v>
      </c>
      <c r="E18" s="56"/>
      <c r="F18" s="65"/>
      <c r="K18" s="51" t="str">
        <f>K14</f>
        <v>Total OPER Labor</v>
      </c>
      <c r="L18" s="51"/>
      <c r="M18" s="51"/>
      <c r="N18" s="68">
        <f>N14</f>
        <v>86319776</v>
      </c>
      <c r="O18" s="56"/>
      <c r="P18" s="65"/>
    </row>
    <row r="19" spans="1:19">
      <c r="A19" s="51" t="s">
        <v>14</v>
      </c>
      <c r="D19" s="56"/>
      <c r="E19" s="70">
        <f>D17/D18</f>
        <v>0.23127</v>
      </c>
      <c r="G19" s="140">
        <f>G10*E19</f>
        <v>127322</v>
      </c>
      <c r="H19" s="140">
        <f>H10*E19</f>
        <v>379380</v>
      </c>
      <c r="I19" s="140">
        <f>G19+H19</f>
        <v>506702</v>
      </c>
      <c r="K19" s="51" t="s">
        <v>14</v>
      </c>
      <c r="N19" s="56"/>
      <c r="O19" s="70">
        <f>N17/N18</f>
        <v>0.23393</v>
      </c>
      <c r="Q19" s="140">
        <f>Q10*O19</f>
        <v>568698</v>
      </c>
      <c r="R19" s="140">
        <f>R10*O19</f>
        <v>601039</v>
      </c>
      <c r="S19" s="140">
        <f>Q19+R19</f>
        <v>1169737</v>
      </c>
    </row>
    <row r="20" spans="1:19">
      <c r="D20" s="56"/>
      <c r="E20" s="56"/>
      <c r="N20" s="56"/>
      <c r="O20" s="56"/>
    </row>
    <row r="21" spans="1:19" s="64" customFormat="1">
      <c r="A21" s="51" t="s">
        <v>33</v>
      </c>
      <c r="B21" s="12"/>
      <c r="C21" s="12"/>
      <c r="D21" s="77">
        <f>542643+12115313</f>
        <v>12657956</v>
      </c>
      <c r="E21" s="71"/>
      <c r="F21" s="65"/>
      <c r="K21" s="51" t="s">
        <v>33</v>
      </c>
      <c r="L21" s="12"/>
      <c r="M21" s="12"/>
      <c r="N21" s="77">
        <v>12319220</v>
      </c>
      <c r="O21" s="71"/>
      <c r="P21" s="65"/>
    </row>
    <row r="22" spans="1:19" s="64" customFormat="1" ht="13.5" thickBot="1">
      <c r="A22" s="51" t="str">
        <f>A18</f>
        <v>Total OPER Labor</v>
      </c>
      <c r="B22" s="51"/>
      <c r="C22" s="51"/>
      <c r="D22" s="68">
        <f>$D$14</f>
        <v>89042943</v>
      </c>
      <c r="E22" s="56"/>
      <c r="F22" s="65"/>
      <c r="K22" s="51" t="str">
        <f>K18</f>
        <v>Total OPER Labor</v>
      </c>
      <c r="L22" s="51"/>
      <c r="M22" s="51"/>
      <c r="N22" s="68">
        <f>N18</f>
        <v>86319776</v>
      </c>
      <c r="O22" s="56"/>
      <c r="P22" s="65"/>
    </row>
    <row r="23" spans="1:19" ht="13.5" thickBot="1">
      <c r="A23" s="51" t="s">
        <v>14</v>
      </c>
      <c r="D23" s="56"/>
      <c r="E23" s="70">
        <f>D21/D22</f>
        <v>0.14216000000000001</v>
      </c>
      <c r="G23" s="137">
        <f>G10*E23</f>
        <v>78264</v>
      </c>
      <c r="H23" s="138">
        <f>H10*E23</f>
        <v>233202</v>
      </c>
      <c r="I23" s="139">
        <f>G23+H23</f>
        <v>311466</v>
      </c>
      <c r="K23" s="51" t="s">
        <v>14</v>
      </c>
      <c r="N23" s="56"/>
      <c r="O23" s="70">
        <f>N21/N22</f>
        <v>0.14272000000000001</v>
      </c>
      <c r="Q23" s="137">
        <f>Q10*O23</f>
        <v>346961</v>
      </c>
      <c r="R23" s="138">
        <f>R10*O23</f>
        <v>366692</v>
      </c>
      <c r="S23" s="139">
        <f>Q23+R23</f>
        <v>713653</v>
      </c>
    </row>
    <row r="24" spans="1:19">
      <c r="D24" s="56"/>
      <c r="E24" s="56"/>
      <c r="N24" s="56"/>
      <c r="O24" s="56"/>
    </row>
    <row r="25" spans="1:19" s="64" customFormat="1">
      <c r="A25" s="51" t="s">
        <v>34</v>
      </c>
      <c r="B25" s="12"/>
      <c r="C25" s="12"/>
      <c r="D25" s="77">
        <f>205700+5055711</f>
        <v>5261411</v>
      </c>
      <c r="E25" s="71"/>
      <c r="F25" s="65"/>
      <c r="K25" s="51" t="s">
        <v>34</v>
      </c>
      <c r="L25" s="12"/>
      <c r="M25" s="12"/>
      <c r="N25" s="77">
        <v>5146170</v>
      </c>
      <c r="O25" s="71"/>
      <c r="P25" s="65"/>
    </row>
    <row r="26" spans="1:19" s="64" customFormat="1">
      <c r="A26" s="51" t="str">
        <f>A22</f>
        <v>Total OPER Labor</v>
      </c>
      <c r="B26" s="51"/>
      <c r="C26" s="51"/>
      <c r="D26" s="68">
        <f>$D$14</f>
        <v>89042943</v>
      </c>
      <c r="E26" s="56"/>
      <c r="F26" s="65"/>
      <c r="K26" s="51" t="str">
        <f>K22</f>
        <v>Total OPER Labor</v>
      </c>
      <c r="L26" s="51"/>
      <c r="M26" s="51"/>
      <c r="N26" s="68">
        <f>N22</f>
        <v>86319776</v>
      </c>
      <c r="O26" s="56"/>
      <c r="P26" s="65"/>
    </row>
    <row r="27" spans="1:19">
      <c r="A27" s="51" t="s">
        <v>14</v>
      </c>
      <c r="D27" s="56"/>
      <c r="E27" s="70">
        <f>D25/D26</f>
        <v>5.9089999999999997E-2</v>
      </c>
      <c r="G27" s="140">
        <f>G10*E27</f>
        <v>32531</v>
      </c>
      <c r="H27" s="140">
        <f>H10*E27</f>
        <v>96932</v>
      </c>
      <c r="I27" s="140">
        <f>G27+H27</f>
        <v>129463</v>
      </c>
      <c r="K27" s="51" t="s">
        <v>14</v>
      </c>
      <c r="N27" s="56"/>
      <c r="O27" s="70">
        <f>N25/N26</f>
        <v>5.9619999999999999E-2</v>
      </c>
      <c r="Q27" s="140">
        <f>Q10*O27</f>
        <v>144940</v>
      </c>
      <c r="R27" s="140">
        <f>R10*O27</f>
        <v>153182</v>
      </c>
      <c r="S27" s="140">
        <f>Q27+R27</f>
        <v>298122</v>
      </c>
    </row>
    <row r="28" spans="1:19" s="64" customFormat="1">
      <c r="D28" s="63"/>
      <c r="E28" s="63"/>
      <c r="F28" s="65"/>
      <c r="N28" s="63"/>
      <c r="O28" s="63"/>
      <c r="P28" s="65"/>
    </row>
    <row r="29" spans="1:19">
      <c r="A29" s="51" t="s">
        <v>35</v>
      </c>
      <c r="B29" s="12"/>
      <c r="C29" s="12"/>
      <c r="D29" s="77">
        <v>7471625</v>
      </c>
      <c r="E29" s="71"/>
      <c r="F29" s="65"/>
      <c r="G29" s="64"/>
      <c r="K29" s="51" t="s">
        <v>35</v>
      </c>
      <c r="L29" s="12"/>
      <c r="M29" s="12"/>
      <c r="N29" s="77">
        <v>7512765</v>
      </c>
      <c r="O29" s="71"/>
      <c r="P29" s="65"/>
      <c r="Q29" s="64"/>
    </row>
    <row r="30" spans="1:19">
      <c r="A30" s="51" t="str">
        <f>A26</f>
        <v>Total OPER Labor</v>
      </c>
      <c r="D30" s="68">
        <f>$D$14</f>
        <v>89042943</v>
      </c>
      <c r="E30" s="56"/>
      <c r="F30" s="65"/>
      <c r="G30" s="64"/>
      <c r="K30" s="51" t="str">
        <f>K26</f>
        <v>Total OPER Labor</v>
      </c>
      <c r="N30" s="68">
        <f>N26</f>
        <v>86319776</v>
      </c>
      <c r="O30" s="56"/>
      <c r="P30" s="65"/>
      <c r="Q30" s="64"/>
    </row>
    <row r="31" spans="1:19" ht="13.5" thickBot="1">
      <c r="A31" s="51" t="s">
        <v>14</v>
      </c>
      <c r="D31" s="56"/>
      <c r="E31" s="70">
        <f>D29/D30</f>
        <v>8.3909999999999998E-2</v>
      </c>
      <c r="G31" s="125">
        <f>E31*G10</f>
        <v>46195</v>
      </c>
      <c r="H31" s="125">
        <f>H10*E31</f>
        <v>137648</v>
      </c>
      <c r="I31" s="125">
        <f>G31+H31</f>
        <v>183843</v>
      </c>
      <c r="K31" s="51" t="s">
        <v>14</v>
      </c>
      <c r="N31" s="56"/>
      <c r="O31" s="70">
        <f>N29/N30</f>
        <v>8.7029999999999996E-2</v>
      </c>
      <c r="Q31" s="125">
        <f>O31*Q10</f>
        <v>211575</v>
      </c>
      <c r="R31" s="125">
        <f>R10*O31</f>
        <v>223607</v>
      </c>
      <c r="S31" s="125">
        <f>Q31+R31</f>
        <v>435182</v>
      </c>
    </row>
    <row r="32" spans="1:19" ht="13.5" thickTop="1">
      <c r="D32" s="56"/>
      <c r="E32" s="56"/>
      <c r="N32" s="56"/>
      <c r="O32" s="56"/>
    </row>
    <row r="33" spans="4:19">
      <c r="D33" s="56"/>
      <c r="E33" s="72">
        <f>SUM(E15:E31)</f>
        <v>1</v>
      </c>
      <c r="G33" s="73">
        <f>G15+G19+G23+G27+G31</f>
        <v>550533</v>
      </c>
      <c r="H33" s="73">
        <f>H15+H19+H23+H27+H31</f>
        <v>1640419</v>
      </c>
      <c r="I33" s="73">
        <f>I15+I19+I23+I27+I31</f>
        <v>2190952</v>
      </c>
      <c r="N33" s="56"/>
      <c r="O33" s="72">
        <f>SUM(O15:O31)</f>
        <v>1</v>
      </c>
      <c r="Q33" s="73">
        <f>Q15+Q19+Q23+Q27+Q31</f>
        <v>2431084</v>
      </c>
      <c r="R33" s="73">
        <f>R15+R19+R23+R27+R31</f>
        <v>2569336</v>
      </c>
      <c r="S33" s="73">
        <f>S15+S19+S23+S27+S31</f>
        <v>5000420</v>
      </c>
    </row>
    <row r="34" spans="4:19">
      <c r="D34" s="56"/>
      <c r="E34" s="167"/>
      <c r="F34" s="167"/>
      <c r="G34" s="74"/>
      <c r="H34" s="74"/>
      <c r="I34" s="74"/>
      <c r="N34" s="56"/>
      <c r="O34" s="167"/>
      <c r="P34" s="167"/>
      <c r="Q34" s="74"/>
      <c r="R34" s="74"/>
      <c r="S34" s="74"/>
    </row>
    <row r="35" spans="4:19">
      <c r="D35" s="56"/>
      <c r="E35" s="141"/>
      <c r="F35" s="141"/>
      <c r="G35" s="74"/>
      <c r="H35" s="74"/>
      <c r="I35" s="74"/>
      <c r="N35" s="56"/>
      <c r="O35" s="141"/>
      <c r="P35" s="141"/>
      <c r="Q35" s="74"/>
      <c r="R35" s="74"/>
      <c r="S35" s="74"/>
    </row>
    <row r="36" spans="4:19">
      <c r="D36" s="56"/>
      <c r="E36" s="141"/>
      <c r="F36" s="141"/>
      <c r="G36" s="74"/>
      <c r="H36" s="74"/>
      <c r="I36" s="74"/>
      <c r="N36" s="56"/>
      <c r="O36" s="141"/>
      <c r="P36" s="141"/>
      <c r="Q36" s="74"/>
      <c r="R36" s="74"/>
      <c r="S36" s="74"/>
    </row>
    <row r="37" spans="4:19">
      <c r="D37" s="56"/>
      <c r="E37" s="141"/>
      <c r="F37" s="141"/>
      <c r="G37" s="74"/>
      <c r="H37" s="74"/>
      <c r="I37" s="74"/>
      <c r="N37" s="56"/>
      <c r="O37" s="141"/>
      <c r="P37" s="141"/>
      <c r="Q37" s="74"/>
      <c r="R37" s="74"/>
      <c r="S37" s="74"/>
    </row>
    <row r="38" spans="4:19">
      <c r="D38" s="56"/>
      <c r="E38" s="141"/>
      <c r="F38" s="141"/>
      <c r="G38" s="74"/>
      <c r="H38" s="74"/>
      <c r="I38" s="74"/>
      <c r="N38" s="56"/>
      <c r="O38" s="141"/>
      <c r="P38" s="141"/>
      <c r="Q38" s="74"/>
      <c r="R38" s="74"/>
      <c r="S38" s="74"/>
    </row>
    <row r="39" spans="4:19">
      <c r="D39" s="165" t="s">
        <v>134</v>
      </c>
      <c r="E39" s="165"/>
      <c r="F39" s="165"/>
      <c r="G39" s="165"/>
      <c r="H39" s="165"/>
      <c r="I39" s="165"/>
      <c r="N39" s="165" t="s">
        <v>134</v>
      </c>
      <c r="O39" s="165"/>
      <c r="P39" s="165"/>
      <c r="Q39" s="165"/>
      <c r="R39" s="165"/>
      <c r="S39" s="165"/>
    </row>
    <row r="40" spans="4:19">
      <c r="D40" s="56"/>
      <c r="E40" s="141"/>
      <c r="F40" s="141"/>
      <c r="G40" s="74"/>
      <c r="H40" s="74"/>
      <c r="I40" s="74"/>
      <c r="N40" s="56"/>
      <c r="O40" s="141"/>
      <c r="P40" s="141"/>
      <c r="Q40" s="74"/>
      <c r="R40" s="74"/>
      <c r="S40" s="74"/>
    </row>
    <row r="41" spans="4:19">
      <c r="D41" s="158" t="s">
        <v>122</v>
      </c>
      <c r="E41" s="141"/>
      <c r="F41" s="141"/>
      <c r="G41" s="74"/>
      <c r="H41" s="74"/>
      <c r="I41" s="74"/>
      <c r="N41" s="158" t="s">
        <v>122</v>
      </c>
      <c r="O41" s="141"/>
      <c r="P41" s="141"/>
      <c r="Q41" s="74"/>
      <c r="R41" s="74"/>
      <c r="S41" s="74"/>
    </row>
    <row r="42" spans="4:19">
      <c r="D42" s="56" t="s">
        <v>131</v>
      </c>
      <c r="E42" s="141"/>
      <c r="F42" s="159">
        <f>0.2813+0.0842</f>
        <v>0.36549999999999999</v>
      </c>
      <c r="G42" s="75">
        <f>$G$15*F42</f>
        <v>97304</v>
      </c>
      <c r="H42" s="75">
        <f>$H$15*F42</f>
        <v>289935</v>
      </c>
      <c r="I42" s="75">
        <f>H42+G42</f>
        <v>387239</v>
      </c>
      <c r="N42" s="56" t="s">
        <v>131</v>
      </c>
      <c r="O42" s="141"/>
      <c r="P42" s="159">
        <f>0.2556+0.0778</f>
        <v>0.33339999999999997</v>
      </c>
      <c r="Q42" s="75">
        <f>$Q$15*P42</f>
        <v>386381</v>
      </c>
      <c r="R42" s="75">
        <f>$R$15*P42</f>
        <v>408354</v>
      </c>
      <c r="S42" s="75">
        <f>R42+Q42</f>
        <v>794735</v>
      </c>
    </row>
    <row r="43" spans="4:19">
      <c r="D43" s="56" t="s">
        <v>2</v>
      </c>
      <c r="E43" s="141"/>
      <c r="F43" s="159">
        <v>0.246</v>
      </c>
      <c r="G43" s="75">
        <f t="shared" ref="G43:G45" si="0">$G$15*F43</f>
        <v>65490</v>
      </c>
      <c r="H43" s="75">
        <f t="shared" ref="H43:H45" si="1">$H$15*F43</f>
        <v>195141</v>
      </c>
      <c r="I43" s="75">
        <f t="shared" ref="I43:I45" si="2">H43+G43</f>
        <v>260631</v>
      </c>
      <c r="N43" s="56" t="s">
        <v>2</v>
      </c>
      <c r="O43" s="141"/>
      <c r="P43" s="159">
        <v>0.23119999999999999</v>
      </c>
      <c r="Q43" s="75">
        <f t="shared" ref="Q43:Q45" si="3">$Q$15*P43</f>
        <v>267940</v>
      </c>
      <c r="R43" s="75">
        <f t="shared" ref="R43:R45" si="4">$R$15*P43</f>
        <v>283177</v>
      </c>
      <c r="S43" s="75">
        <f t="shared" ref="S43:S45" si="5">R43+Q43</f>
        <v>551117</v>
      </c>
    </row>
    <row r="44" spans="4:19">
      <c r="D44" s="56" t="s">
        <v>132</v>
      </c>
      <c r="E44" s="141"/>
      <c r="F44" s="159">
        <f>0.0934+0.0103</f>
        <v>0.1037</v>
      </c>
      <c r="G44" s="75">
        <f t="shared" si="0"/>
        <v>27607</v>
      </c>
      <c r="H44" s="75">
        <f t="shared" si="1"/>
        <v>82261</v>
      </c>
      <c r="I44" s="75">
        <f t="shared" si="2"/>
        <v>109868</v>
      </c>
      <c r="N44" s="56" t="s">
        <v>132</v>
      </c>
      <c r="O44" s="141"/>
      <c r="P44" s="159">
        <f>0.1129+0.0107</f>
        <v>0.1236</v>
      </c>
      <c r="Q44" s="75">
        <f t="shared" si="3"/>
        <v>143241</v>
      </c>
      <c r="R44" s="75">
        <f t="shared" si="4"/>
        <v>151387</v>
      </c>
      <c r="S44" s="75">
        <f t="shared" si="5"/>
        <v>294628</v>
      </c>
    </row>
    <row r="45" spans="4:19">
      <c r="D45" s="56" t="s">
        <v>133</v>
      </c>
      <c r="E45" s="141"/>
      <c r="F45" s="162">
        <f>0.2848</f>
        <v>0.2848</v>
      </c>
      <c r="G45" s="132">
        <f t="shared" si="0"/>
        <v>75820</v>
      </c>
      <c r="H45" s="132">
        <f t="shared" si="1"/>
        <v>225920</v>
      </c>
      <c r="I45" s="132">
        <f t="shared" si="2"/>
        <v>301740</v>
      </c>
      <c r="N45" s="56" t="s">
        <v>133</v>
      </c>
      <c r="O45" s="141"/>
      <c r="P45" s="162">
        <v>0.31180000000000002</v>
      </c>
      <c r="Q45" s="132">
        <f t="shared" si="3"/>
        <v>361348</v>
      </c>
      <c r="R45" s="132">
        <f t="shared" si="4"/>
        <v>381898</v>
      </c>
      <c r="S45" s="132">
        <f t="shared" si="5"/>
        <v>743246</v>
      </c>
    </row>
    <row r="46" spans="4:19">
      <c r="D46" s="56" t="s">
        <v>0</v>
      </c>
      <c r="E46" s="141"/>
      <c r="F46" s="159">
        <f>SUM(F42:F45)</f>
        <v>1</v>
      </c>
      <c r="G46" s="75">
        <f>SUM(G42:G45)</f>
        <v>266221</v>
      </c>
      <c r="H46" s="75">
        <f>SUM(H42:H45)</f>
        <v>793257</v>
      </c>
      <c r="I46" s="75">
        <f>SUM(I42:I45)</f>
        <v>1059478</v>
      </c>
      <c r="N46" s="56" t="s">
        <v>0</v>
      </c>
      <c r="O46" s="141"/>
      <c r="P46" s="159">
        <f>SUM(P42:P45)</f>
        <v>1</v>
      </c>
      <c r="Q46" s="75">
        <f>SUM(Q42:Q45)</f>
        <v>1158910</v>
      </c>
      <c r="R46" s="75">
        <f>SUM(R42:R45)</f>
        <v>1224816</v>
      </c>
      <c r="S46" s="75">
        <f>SUM(S42:S45)</f>
        <v>2383726</v>
      </c>
    </row>
    <row r="47" spans="4:19">
      <c r="D47" s="56"/>
      <c r="E47" s="141"/>
      <c r="F47" s="160"/>
      <c r="G47" s="75"/>
      <c r="H47" s="75"/>
      <c r="I47" s="75"/>
      <c r="N47" s="56"/>
      <c r="O47" s="141"/>
      <c r="P47" s="160"/>
      <c r="Q47" s="75"/>
      <c r="R47" s="75"/>
      <c r="S47" s="75"/>
    </row>
    <row r="48" spans="4:19">
      <c r="D48" s="56"/>
      <c r="E48" s="141"/>
      <c r="F48" s="161"/>
      <c r="G48" s="74"/>
      <c r="H48" s="74"/>
      <c r="I48" s="74"/>
      <c r="N48" s="56"/>
      <c r="O48" s="141"/>
      <c r="P48" s="161"/>
      <c r="Q48" s="74"/>
      <c r="R48" s="74"/>
      <c r="S48" s="74"/>
    </row>
    <row r="49" spans="1:19">
      <c r="D49" s="158" t="s">
        <v>123</v>
      </c>
      <c r="E49" s="141"/>
      <c r="F49" s="141"/>
      <c r="G49" s="74"/>
      <c r="H49" s="74"/>
      <c r="I49" s="74"/>
      <c r="N49" s="158" t="s">
        <v>123</v>
      </c>
      <c r="O49" s="141"/>
      <c r="P49" s="141"/>
      <c r="Q49" s="74"/>
      <c r="R49" s="74"/>
      <c r="S49" s="74"/>
    </row>
    <row r="50" spans="1:19">
      <c r="D50" s="56" t="s">
        <v>19</v>
      </c>
      <c r="E50" s="141"/>
      <c r="F50" s="159">
        <v>3.6299999999999999E-2</v>
      </c>
      <c r="G50" s="75">
        <f>$G$23*F50</f>
        <v>2841</v>
      </c>
      <c r="H50" s="75">
        <f>$H$23*F50</f>
        <v>8465</v>
      </c>
      <c r="I50" s="75">
        <f>H50+G50</f>
        <v>11306</v>
      </c>
      <c r="N50" s="56" t="s">
        <v>19</v>
      </c>
      <c r="O50" s="141"/>
      <c r="P50" s="159">
        <v>3.4799999999999998E-2</v>
      </c>
      <c r="Q50" s="75">
        <f>$Q$23*P50</f>
        <v>12074</v>
      </c>
      <c r="R50" s="75">
        <f>$R$23*P50</f>
        <v>12761</v>
      </c>
      <c r="S50" s="75">
        <f>R50+Q50</f>
        <v>24835</v>
      </c>
    </row>
    <row r="51" spans="1:19">
      <c r="D51" s="56" t="s">
        <v>20</v>
      </c>
      <c r="E51" s="141"/>
      <c r="F51" s="159">
        <v>4.0000000000000002E-4</v>
      </c>
      <c r="G51" s="75">
        <f t="shared" ref="G51:G54" si="6">$G$23*F51</f>
        <v>31</v>
      </c>
      <c r="H51" s="75">
        <f t="shared" ref="H51:H54" si="7">$H$23*F51</f>
        <v>93</v>
      </c>
      <c r="I51" s="75">
        <f t="shared" ref="I51:I53" si="8">H51+G51</f>
        <v>124</v>
      </c>
      <c r="N51" s="56" t="s">
        <v>20</v>
      </c>
      <c r="O51" s="141"/>
      <c r="P51" s="159">
        <v>2.9999999999999997E-4</v>
      </c>
      <c r="Q51" s="75">
        <f t="shared" ref="Q51:Q54" si="9">$Q$23*P51</f>
        <v>104</v>
      </c>
      <c r="R51" s="75">
        <f t="shared" ref="R51:R54" si="10">$R$23*P51</f>
        <v>110</v>
      </c>
      <c r="S51" s="75">
        <f t="shared" ref="S51:S54" si="11">R51+Q51</f>
        <v>214</v>
      </c>
    </row>
    <row r="52" spans="1:19">
      <c r="D52" s="56" t="s">
        <v>2</v>
      </c>
      <c r="E52" s="141"/>
      <c r="F52" s="159">
        <v>0.46229999999999999</v>
      </c>
      <c r="G52" s="75">
        <f t="shared" si="6"/>
        <v>36181</v>
      </c>
      <c r="H52" s="75">
        <f t="shared" si="7"/>
        <v>107809</v>
      </c>
      <c r="I52" s="75">
        <f t="shared" si="8"/>
        <v>143990</v>
      </c>
      <c r="N52" s="56" t="s">
        <v>2</v>
      </c>
      <c r="O52" s="141"/>
      <c r="P52" s="159">
        <v>0.41699999999999998</v>
      </c>
      <c r="Q52" s="75">
        <f t="shared" si="9"/>
        <v>144683</v>
      </c>
      <c r="R52" s="75">
        <f t="shared" si="10"/>
        <v>152911</v>
      </c>
      <c r="S52" s="75">
        <f t="shared" si="11"/>
        <v>297594</v>
      </c>
    </row>
    <row r="53" spans="1:19">
      <c r="D53" s="56" t="s">
        <v>132</v>
      </c>
      <c r="E53" s="141"/>
      <c r="F53" s="159">
        <f>0.2223+0.0221</f>
        <v>0.24440000000000001</v>
      </c>
      <c r="G53" s="75">
        <f t="shared" si="6"/>
        <v>19128</v>
      </c>
      <c r="H53" s="75">
        <f t="shared" si="7"/>
        <v>56995</v>
      </c>
      <c r="I53" s="75">
        <f t="shared" si="8"/>
        <v>76123</v>
      </c>
      <c r="N53" s="56" t="s">
        <v>132</v>
      </c>
      <c r="O53" s="141"/>
      <c r="P53" s="159">
        <f>0.2374+0.0194</f>
        <v>0.25679999999999997</v>
      </c>
      <c r="Q53" s="75">
        <f t="shared" si="9"/>
        <v>89100</v>
      </c>
      <c r="R53" s="75">
        <f t="shared" si="10"/>
        <v>94167</v>
      </c>
      <c r="S53" s="75">
        <f t="shared" si="11"/>
        <v>183267</v>
      </c>
    </row>
    <row r="54" spans="1:19">
      <c r="D54" s="56" t="s">
        <v>133</v>
      </c>
      <c r="E54" s="141"/>
      <c r="F54" s="162">
        <v>0.25659999999999999</v>
      </c>
      <c r="G54" s="132">
        <f t="shared" si="6"/>
        <v>20083</v>
      </c>
      <c r="H54" s="132">
        <f t="shared" si="7"/>
        <v>59840</v>
      </c>
      <c r="I54" s="132">
        <f t="shared" ref="I54" si="12">H54+G54</f>
        <v>79923</v>
      </c>
      <c r="N54" s="56" t="s">
        <v>133</v>
      </c>
      <c r="O54" s="141"/>
      <c r="P54" s="162">
        <v>0.29110000000000003</v>
      </c>
      <c r="Q54" s="132">
        <f t="shared" si="9"/>
        <v>101000</v>
      </c>
      <c r="R54" s="132">
        <f t="shared" si="10"/>
        <v>106744</v>
      </c>
      <c r="S54" s="132">
        <f t="shared" si="11"/>
        <v>207744</v>
      </c>
    </row>
    <row r="55" spans="1:19">
      <c r="D55" s="56" t="s">
        <v>0</v>
      </c>
      <c r="E55" s="141"/>
      <c r="F55" s="159">
        <f>SUM(F50:F54)</f>
        <v>1</v>
      </c>
      <c r="G55" s="75">
        <f>SUM(G50:G54)</f>
        <v>78264</v>
      </c>
      <c r="H55" s="75">
        <f>SUM(H50:H54)</f>
        <v>233202</v>
      </c>
      <c r="I55" s="75">
        <f>SUM(I50:I54)</f>
        <v>311466</v>
      </c>
      <c r="N55" s="56" t="s">
        <v>0</v>
      </c>
      <c r="O55" s="141"/>
      <c r="P55" s="159">
        <f>SUM(P50:P54)</f>
        <v>1</v>
      </c>
      <c r="Q55" s="75">
        <f>SUM(Q50:Q54)</f>
        <v>346961</v>
      </c>
      <c r="R55" s="75">
        <f>SUM(R50:R54)</f>
        <v>366693</v>
      </c>
      <c r="S55" s="75">
        <f>SUM(S50:S54)</f>
        <v>713654</v>
      </c>
    </row>
    <row r="57" spans="1:19">
      <c r="A57" s="51" t="s">
        <v>135</v>
      </c>
      <c r="K57" s="51" t="s">
        <v>135</v>
      </c>
    </row>
    <row r="58" spans="1:19">
      <c r="A58" s="51" t="s">
        <v>52</v>
      </c>
      <c r="K58" s="51" t="s">
        <v>52</v>
      </c>
    </row>
    <row r="59" spans="1:19" ht="35.25" customHeight="1"/>
    <row r="60" spans="1:19">
      <c r="C60" s="75"/>
      <c r="D60" s="75"/>
      <c r="E60" s="75"/>
      <c r="M60" s="75"/>
      <c r="N60" s="75"/>
      <c r="O60" s="75"/>
    </row>
    <row r="61" spans="1:19">
      <c r="C61" s="75"/>
      <c r="D61" s="75"/>
      <c r="E61" s="75"/>
      <c r="M61" s="75"/>
      <c r="N61" s="75"/>
      <c r="O61" s="75"/>
    </row>
    <row r="62" spans="1:19">
      <c r="C62" s="75"/>
      <c r="D62" s="75"/>
      <c r="E62" s="75"/>
      <c r="M62" s="75"/>
      <c r="N62" s="75"/>
      <c r="O62" s="75"/>
    </row>
    <row r="63" spans="1:19">
      <c r="C63" s="75"/>
      <c r="D63" s="75"/>
      <c r="E63" s="75"/>
      <c r="M63" s="75"/>
      <c r="N63" s="75"/>
      <c r="O63" s="75"/>
    </row>
    <row r="64" spans="1:19" ht="25.5" customHeight="1">
      <c r="C64" s="75"/>
      <c r="D64" s="75"/>
      <c r="E64" s="75"/>
      <c r="M64" s="75"/>
      <c r="N64" s="75"/>
      <c r="O64" s="75"/>
    </row>
    <row r="68" spans="6:16">
      <c r="F68" s="51"/>
      <c r="P68" s="51"/>
    </row>
    <row r="69" spans="6:16">
      <c r="F69" s="51"/>
      <c r="P69" s="51"/>
    </row>
    <row r="70" spans="6:16">
      <c r="F70" s="51"/>
      <c r="P70" s="51"/>
    </row>
    <row r="71" spans="6:16" ht="27" customHeight="1">
      <c r="F71" s="51"/>
      <c r="P71" s="51"/>
    </row>
    <row r="72" spans="6:16">
      <c r="F72" s="51"/>
      <c r="P72" s="51"/>
    </row>
    <row r="73" spans="6:16">
      <c r="F73" s="51"/>
      <c r="P73" s="51"/>
    </row>
    <row r="74" spans="6:16">
      <c r="F74" s="51"/>
      <c r="P74" s="51"/>
    </row>
    <row r="75" spans="6:16">
      <c r="F75" s="51"/>
      <c r="P75" s="51"/>
    </row>
    <row r="76" spans="6:16">
      <c r="F76" s="51"/>
      <c r="P76" s="51"/>
    </row>
    <row r="77" spans="6:16">
      <c r="F77" s="51"/>
      <c r="P77" s="51"/>
    </row>
    <row r="78" spans="6:16">
      <c r="F78" s="51"/>
      <c r="P78" s="51"/>
    </row>
    <row r="79" spans="6:16">
      <c r="F79" s="51"/>
      <c r="P79" s="51"/>
    </row>
    <row r="80" spans="6:16">
      <c r="F80" s="51"/>
      <c r="P80" s="51"/>
    </row>
  </sheetData>
  <mergeCells count="8">
    <mergeCell ref="D39:I39"/>
    <mergeCell ref="N39:S39"/>
    <mergeCell ref="Q1:S1"/>
    <mergeCell ref="G1:I1"/>
    <mergeCell ref="E34:F34"/>
    <mergeCell ref="O34:P34"/>
    <mergeCell ref="G2:I2"/>
    <mergeCell ref="Q2:S2"/>
  </mergeCells>
  <phoneticPr fontId="0" type="noConversion"/>
  <pageMargins left="0.61" right="0.75" top="1" bottom="1" header="0.5" footer="0.5"/>
  <pageSetup scale="73" orientation="portrait" r:id="rId1"/>
  <headerFooter alignWithMargins="0">
    <oddHeader>&amp;RExhibit No. MC-11
Dockets UE-160228/229
Page &amp;P of &amp;N</oddHead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2"/>
  <sheetViews>
    <sheetView zoomScaleNormal="100" workbookViewId="0">
      <selection activeCell="C9" sqref="C9:G9"/>
    </sheetView>
  </sheetViews>
  <sheetFormatPr defaultColWidth="9.33203125" defaultRowHeight="15"/>
  <cols>
    <col min="1" max="1" width="45.5" style="30" customWidth="1"/>
    <col min="2" max="2" width="19.6640625" style="30" customWidth="1"/>
    <col min="3" max="3" width="15.6640625" style="30" customWidth="1"/>
    <col min="4" max="4" width="15.5" style="30" customWidth="1"/>
    <col min="5" max="5" width="11.6640625" style="30" customWidth="1"/>
    <col min="6" max="7" width="12.1640625" style="30" customWidth="1"/>
    <col min="8" max="8" width="47.83203125" style="30" bestFit="1" customWidth="1"/>
    <col min="9" max="10" width="9.33203125" style="30"/>
    <col min="11" max="11" width="9.83203125" style="30" bestFit="1" customWidth="1"/>
    <col min="12" max="16384" width="9.33203125" style="30"/>
  </cols>
  <sheetData>
    <row r="1" spans="1:7" ht="25.5" customHeight="1">
      <c r="A1" s="168" t="s">
        <v>117</v>
      </c>
      <c r="B1" s="168"/>
      <c r="C1" s="168"/>
      <c r="D1" s="168"/>
      <c r="E1" s="168"/>
      <c r="F1" s="168"/>
      <c r="G1" s="168"/>
    </row>
    <row r="2" spans="1:7">
      <c r="A2" s="31"/>
      <c r="B2" s="31"/>
      <c r="C2" s="31"/>
    </row>
    <row r="3" spans="1:7">
      <c r="A3" s="38" t="s">
        <v>38</v>
      </c>
      <c r="B3" s="37"/>
      <c r="C3" s="37"/>
      <c r="D3" s="37"/>
      <c r="E3" s="37"/>
      <c r="F3" s="37"/>
      <c r="G3" s="37"/>
    </row>
    <row r="5" spans="1:7">
      <c r="A5" s="40"/>
      <c r="B5" s="41"/>
      <c r="C5" s="169" t="s">
        <v>39</v>
      </c>
      <c r="D5" s="170"/>
      <c r="E5" s="170"/>
      <c r="F5" s="170"/>
      <c r="G5" s="171"/>
    </row>
    <row r="6" spans="1:7">
      <c r="A6" s="47" t="s">
        <v>28</v>
      </c>
      <c r="B6" s="47" t="s">
        <v>48</v>
      </c>
      <c r="C6" s="45" t="s">
        <v>40</v>
      </c>
      <c r="D6" s="45" t="s">
        <v>41</v>
      </c>
      <c r="E6" s="45" t="s">
        <v>42</v>
      </c>
      <c r="F6" s="45" t="s">
        <v>43</v>
      </c>
      <c r="G6" s="46" t="s">
        <v>0</v>
      </c>
    </row>
    <row r="7" spans="1:7">
      <c r="A7" s="39" t="s">
        <v>27</v>
      </c>
      <c r="B7" s="39" t="s">
        <v>49</v>
      </c>
      <c r="C7" s="42">
        <v>18501809</v>
      </c>
      <c r="D7" s="42">
        <v>858528</v>
      </c>
      <c r="E7" s="42">
        <v>37245040</v>
      </c>
      <c r="F7" s="42">
        <v>8696993</v>
      </c>
      <c r="G7" s="42">
        <f>SUM(C7:F7)</f>
        <v>65302370</v>
      </c>
    </row>
    <row r="8" spans="1:7" ht="15.75" thickBot="1">
      <c r="A8" s="48" t="s">
        <v>0</v>
      </c>
      <c r="B8" s="49"/>
      <c r="C8" s="50">
        <f>SUM(C7)</f>
        <v>18501809</v>
      </c>
      <c r="D8" s="50">
        <f t="shared" ref="D8:G8" si="0">SUM(D7)</f>
        <v>858528</v>
      </c>
      <c r="E8" s="50">
        <f t="shared" si="0"/>
        <v>37245040</v>
      </c>
      <c r="F8" s="50">
        <f t="shared" si="0"/>
        <v>8696993</v>
      </c>
      <c r="G8" s="50">
        <f t="shared" si="0"/>
        <v>65302370</v>
      </c>
    </row>
    <row r="9" spans="1:7" ht="15.75" thickBot="1">
      <c r="A9" s="43"/>
      <c r="B9" s="44" t="s">
        <v>50</v>
      </c>
      <c r="C9" s="129">
        <f>C8/$G$8</f>
        <v>0.2833</v>
      </c>
      <c r="D9" s="130">
        <f t="shared" ref="D9:G9" si="1">D8/$G$8</f>
        <v>1.3100000000000001E-2</v>
      </c>
      <c r="E9" s="128">
        <f t="shared" si="1"/>
        <v>0.57030000000000003</v>
      </c>
      <c r="F9" s="131">
        <f t="shared" si="1"/>
        <v>0.13320000000000001</v>
      </c>
      <c r="G9" s="129">
        <f t="shared" si="1"/>
        <v>1</v>
      </c>
    </row>
    <row r="22" spans="6:6">
      <c r="F22" s="127"/>
    </row>
  </sheetData>
  <mergeCells count="2">
    <mergeCell ref="A1:G1"/>
    <mergeCell ref="C5:G5"/>
  </mergeCells>
  <phoneticPr fontId="12" type="noConversion"/>
  <pageMargins left="0.61" right="0.75" top="1" bottom="1" header="0.5" footer="0.5"/>
  <pageSetup scale="73" orientation="portrait" r:id="rId1"/>
  <headerFooter alignWithMargins="0">
    <oddHeader>&amp;RAdjustment No. 3.05 E-PEB
Adjustment No. 3.03 G-PEB
Workpaper Ref. &amp;A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3"/>
  <sheetViews>
    <sheetView view="pageBreakPreview" topLeftCell="A4" zoomScale="60" zoomScaleNormal="100" workbookViewId="0">
      <selection activeCell="AC12" sqref="AC12:AD12"/>
    </sheetView>
  </sheetViews>
  <sheetFormatPr defaultRowHeight="12.75" outlineLevelCol="1"/>
  <cols>
    <col min="1" max="1" width="78" style="133" customWidth="1"/>
    <col min="2" max="2" width="9.33203125" style="133"/>
    <col min="3" max="3" width="38.83203125" style="133" customWidth="1"/>
    <col min="4" max="4" width="18.33203125" style="133" customWidth="1"/>
    <col min="5" max="5" width="4.33203125" style="133" customWidth="1"/>
    <col min="6" max="6" width="11.6640625" style="133" hidden="1" customWidth="1" outlineLevel="1"/>
    <col min="7" max="17" width="10.33203125" style="133" hidden="1" customWidth="1" outlineLevel="1"/>
    <col min="18" max="18" width="26.33203125" style="133" customWidth="1" collapsed="1"/>
    <col min="19" max="16384" width="9.33203125" style="133"/>
  </cols>
  <sheetData>
    <row r="3" spans="1:19">
      <c r="D3" s="145" t="s">
        <v>127</v>
      </c>
      <c r="R3" s="145" t="s">
        <v>126</v>
      </c>
    </row>
    <row r="4" spans="1:19">
      <c r="A4" s="134"/>
      <c r="B4" s="134"/>
      <c r="C4" s="134"/>
      <c r="D4" s="146" t="s">
        <v>125</v>
      </c>
      <c r="E4" s="147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 t="s">
        <v>115</v>
      </c>
      <c r="S4" s="134"/>
    </row>
    <row r="5" spans="1:19">
      <c r="A5" s="81"/>
      <c r="B5" s="82"/>
      <c r="C5" s="85"/>
      <c r="D5" s="86" t="s">
        <v>57</v>
      </c>
      <c r="E5" s="99"/>
      <c r="F5" s="86" t="s">
        <v>58</v>
      </c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 t="s">
        <v>124</v>
      </c>
      <c r="S5" s="134"/>
    </row>
    <row r="6" spans="1:19" ht="15.75">
      <c r="A6" s="87"/>
      <c r="B6" s="88"/>
      <c r="C6" s="89"/>
      <c r="D6" s="144" t="s">
        <v>59</v>
      </c>
      <c r="E6" s="118"/>
      <c r="F6" s="113" t="s">
        <v>60</v>
      </c>
      <c r="G6" s="84" t="s">
        <v>61</v>
      </c>
      <c r="H6" s="84" t="s">
        <v>62</v>
      </c>
      <c r="I6" s="84" t="s">
        <v>63</v>
      </c>
      <c r="J6" s="84" t="s">
        <v>64</v>
      </c>
      <c r="K6" s="84" t="s">
        <v>65</v>
      </c>
      <c r="L6" s="84" t="s">
        <v>66</v>
      </c>
      <c r="M6" s="84" t="s">
        <v>67</v>
      </c>
      <c r="N6" s="84" t="s">
        <v>68</v>
      </c>
      <c r="O6" s="84" t="s">
        <v>69</v>
      </c>
      <c r="P6" s="84" t="s">
        <v>70</v>
      </c>
      <c r="Q6" s="84" t="s">
        <v>71</v>
      </c>
      <c r="R6" s="144" t="s">
        <v>140</v>
      </c>
      <c r="S6" s="134"/>
    </row>
    <row r="7" spans="1:19">
      <c r="A7" s="84" t="s">
        <v>72</v>
      </c>
      <c r="B7" s="84" t="s">
        <v>73</v>
      </c>
      <c r="C7" s="84" t="s">
        <v>74</v>
      </c>
      <c r="D7" s="111"/>
      <c r="E7" s="100"/>
      <c r="F7" s="114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111"/>
      <c r="S7" s="134"/>
    </row>
    <row r="8" spans="1:19">
      <c r="A8" s="91" t="s">
        <v>75</v>
      </c>
      <c r="B8" s="84" t="s">
        <v>76</v>
      </c>
      <c r="C8" s="84" t="s">
        <v>77</v>
      </c>
      <c r="D8" s="110">
        <v>1585278.3</v>
      </c>
      <c r="E8" s="100"/>
      <c r="F8" s="115">
        <v>110918.66</v>
      </c>
      <c r="G8" s="92">
        <v>228420.08000000002</v>
      </c>
      <c r="H8" s="92">
        <v>185631.01</v>
      </c>
      <c r="I8" s="92">
        <v>165391.64000000001</v>
      </c>
      <c r="J8" s="92">
        <v>61861.87</v>
      </c>
      <c r="K8" s="92">
        <v>71622.64</v>
      </c>
      <c r="L8" s="92">
        <v>47500.87</v>
      </c>
      <c r="M8" s="92">
        <v>175099.30000000002</v>
      </c>
      <c r="N8" s="92">
        <v>144552.80000000002</v>
      </c>
      <c r="O8" s="92">
        <v>72708.240000000005</v>
      </c>
      <c r="P8" s="92">
        <v>216034.73</v>
      </c>
      <c r="Q8" s="92">
        <v>105536.46</v>
      </c>
      <c r="R8" s="110"/>
      <c r="S8" s="134"/>
    </row>
    <row r="9" spans="1:19">
      <c r="A9" s="93"/>
      <c r="B9" s="84" t="s">
        <v>78</v>
      </c>
      <c r="C9" s="84" t="s">
        <v>79</v>
      </c>
      <c r="D9" s="110">
        <v>328552.65000000002</v>
      </c>
      <c r="E9" s="104" t="s">
        <v>80</v>
      </c>
      <c r="F9" s="115">
        <v>23065.47</v>
      </c>
      <c r="G9" s="92">
        <v>32551.040000000001</v>
      </c>
      <c r="H9" s="92">
        <v>25265.82</v>
      </c>
      <c r="I9" s="92">
        <v>26968.639999999999</v>
      </c>
      <c r="J9" s="92">
        <v>40134.97</v>
      </c>
      <c r="K9" s="92">
        <v>27762.080000000002</v>
      </c>
      <c r="L9" s="92">
        <v>32335.010000000002</v>
      </c>
      <c r="M9" s="92">
        <v>30782.27</v>
      </c>
      <c r="N9" s="92">
        <v>30782.27</v>
      </c>
      <c r="O9" s="92">
        <v>29452.54</v>
      </c>
      <c r="P9" s="92">
        <v>29452.54</v>
      </c>
      <c r="Q9" s="92">
        <v>0</v>
      </c>
      <c r="R9" s="110">
        <v>384297</v>
      </c>
      <c r="S9" s="134"/>
    </row>
    <row r="10" spans="1:19">
      <c r="A10" s="91" t="s">
        <v>81</v>
      </c>
      <c r="B10" s="84" t="s">
        <v>76</v>
      </c>
      <c r="C10" s="84" t="s">
        <v>77</v>
      </c>
      <c r="D10" s="110">
        <v>392665.5</v>
      </c>
      <c r="E10" s="100"/>
      <c r="F10" s="115">
        <v>47232.74</v>
      </c>
      <c r="G10" s="92">
        <v>33593.5</v>
      </c>
      <c r="H10" s="92">
        <v>33593.5</v>
      </c>
      <c r="I10" s="92">
        <v>34225.14</v>
      </c>
      <c r="J10" s="92">
        <v>33593.5</v>
      </c>
      <c r="K10" s="92">
        <v>33593.5</v>
      </c>
      <c r="L10" s="92">
        <v>34140.770000000004</v>
      </c>
      <c r="M10" s="92">
        <v>33593.5</v>
      </c>
      <c r="N10" s="92">
        <v>33593.5</v>
      </c>
      <c r="O10" s="92">
        <v>3197.85</v>
      </c>
      <c r="P10" s="92">
        <v>33593.5</v>
      </c>
      <c r="Q10" s="92">
        <v>38714.5</v>
      </c>
      <c r="R10" s="110"/>
      <c r="S10" s="134"/>
    </row>
    <row r="11" spans="1:19">
      <c r="A11" s="94"/>
      <c r="B11" s="84" t="s">
        <v>82</v>
      </c>
      <c r="C11" s="84" t="s">
        <v>83</v>
      </c>
      <c r="D11" s="110">
        <v>74971.009999999995</v>
      </c>
      <c r="E11" s="100"/>
      <c r="F11" s="115">
        <v>1215</v>
      </c>
      <c r="G11" s="92">
        <v>2430</v>
      </c>
      <c r="H11" s="92">
        <v>17996.91</v>
      </c>
      <c r="I11" s="92">
        <v>1256.25</v>
      </c>
      <c r="J11" s="92">
        <v>7947.5700000000006</v>
      </c>
      <c r="K11" s="92">
        <v>2844.35</v>
      </c>
      <c r="L11" s="92">
        <v>18054.84</v>
      </c>
      <c r="M11" s="92">
        <v>1278.75</v>
      </c>
      <c r="N11" s="92">
        <v>1290</v>
      </c>
      <c r="O11" s="92">
        <v>18069.84</v>
      </c>
      <c r="P11" s="92">
        <v>1293.75</v>
      </c>
      <c r="Q11" s="92">
        <v>1293.75</v>
      </c>
      <c r="R11" s="110"/>
      <c r="S11" s="134"/>
    </row>
    <row r="12" spans="1:19">
      <c r="A12" s="94"/>
      <c r="B12" s="84" t="s">
        <v>84</v>
      </c>
      <c r="C12" s="84" t="s">
        <v>85</v>
      </c>
      <c r="D12" s="110">
        <v>820117.13</v>
      </c>
      <c r="E12" s="100"/>
      <c r="F12" s="115">
        <v>65829.210000000006</v>
      </c>
      <c r="G12" s="92">
        <v>66389.81</v>
      </c>
      <c r="H12" s="92">
        <v>67212.75</v>
      </c>
      <c r="I12" s="92">
        <v>67814.990000000005</v>
      </c>
      <c r="J12" s="92">
        <v>67993.06</v>
      </c>
      <c r="K12" s="92">
        <v>68727.149999999994</v>
      </c>
      <c r="L12" s="92">
        <v>68901.820000000007</v>
      </c>
      <c r="M12" s="92">
        <v>69211.59</v>
      </c>
      <c r="N12" s="92">
        <v>69264.78</v>
      </c>
      <c r="O12" s="92">
        <v>69509.22</v>
      </c>
      <c r="P12" s="92">
        <v>69542.37</v>
      </c>
      <c r="Q12" s="92">
        <v>69720.38</v>
      </c>
      <c r="R12" s="110"/>
      <c r="S12" s="134"/>
    </row>
    <row r="13" spans="1:19">
      <c r="A13" s="94"/>
      <c r="B13" s="84" t="s">
        <v>78</v>
      </c>
      <c r="C13" s="84" t="s">
        <v>86</v>
      </c>
      <c r="D13" s="110">
        <v>20552436.309999999</v>
      </c>
      <c r="E13" s="104" t="s">
        <v>80</v>
      </c>
      <c r="F13" s="115">
        <v>1687320.87</v>
      </c>
      <c r="G13" s="92">
        <v>1673801.76</v>
      </c>
      <c r="H13" s="92">
        <v>1557320.96</v>
      </c>
      <c r="I13" s="92">
        <v>1550163.94</v>
      </c>
      <c r="J13" s="92">
        <v>1537941.05</v>
      </c>
      <c r="K13" s="92">
        <v>1575053.82</v>
      </c>
      <c r="L13" s="92">
        <v>1629589.19</v>
      </c>
      <c r="M13" s="92">
        <v>1575484.38</v>
      </c>
      <c r="N13" s="92">
        <v>1609743.5899999999</v>
      </c>
      <c r="O13" s="92">
        <v>1607430.38</v>
      </c>
      <c r="P13" s="92">
        <v>1996333.2000000002</v>
      </c>
      <c r="Q13" s="92">
        <v>2552253.17</v>
      </c>
      <c r="R13" s="110">
        <v>18954567</v>
      </c>
      <c r="S13" s="134"/>
    </row>
    <row r="14" spans="1:19">
      <c r="A14" s="94"/>
      <c r="B14" s="84" t="s">
        <v>87</v>
      </c>
      <c r="C14" s="84" t="s">
        <v>88</v>
      </c>
      <c r="D14" s="110">
        <v>7928615.3300000001</v>
      </c>
      <c r="E14" s="104" t="s">
        <v>89</v>
      </c>
      <c r="F14" s="115">
        <v>834342.22</v>
      </c>
      <c r="G14" s="92">
        <v>1103504.95</v>
      </c>
      <c r="H14" s="92">
        <v>843953.14</v>
      </c>
      <c r="I14" s="92">
        <v>531420.68000000005</v>
      </c>
      <c r="J14" s="92">
        <v>506690.21</v>
      </c>
      <c r="K14" s="92">
        <v>520758.78</v>
      </c>
      <c r="L14" s="92">
        <v>538127.82000000007</v>
      </c>
      <c r="M14" s="92">
        <v>771345.31</v>
      </c>
      <c r="N14" s="92">
        <v>499982.61</v>
      </c>
      <c r="O14" s="92">
        <v>492574.8</v>
      </c>
      <c r="P14" s="92">
        <v>465120.2</v>
      </c>
      <c r="Q14" s="92">
        <v>820794.61</v>
      </c>
      <c r="R14" s="110">
        <v>7428318</v>
      </c>
      <c r="S14" s="134"/>
    </row>
    <row r="15" spans="1:19">
      <c r="A15" s="94"/>
      <c r="B15" s="84" t="s">
        <v>90</v>
      </c>
      <c r="C15" s="84" t="s">
        <v>91</v>
      </c>
      <c r="D15" s="110">
        <v>280532.62</v>
      </c>
      <c r="E15" s="104" t="s">
        <v>89</v>
      </c>
      <c r="F15" s="115">
        <v>15920.33</v>
      </c>
      <c r="G15" s="92">
        <v>17347.66</v>
      </c>
      <c r="H15" s="92">
        <v>19025.87</v>
      </c>
      <c r="I15" s="92">
        <v>13526.79</v>
      </c>
      <c r="J15" s="92">
        <v>14369.02</v>
      </c>
      <c r="K15" s="92">
        <v>18394.36</v>
      </c>
      <c r="L15" s="92">
        <v>22667.41</v>
      </c>
      <c r="M15" s="92">
        <v>34819.160000000003</v>
      </c>
      <c r="N15" s="92">
        <v>25011.46</v>
      </c>
      <c r="O15" s="92">
        <v>26920.99</v>
      </c>
      <c r="P15" s="92">
        <v>27407.119999999999</v>
      </c>
      <c r="Q15" s="92">
        <v>45122.450000000004</v>
      </c>
      <c r="R15" s="110">
        <v>229929</v>
      </c>
      <c r="S15" s="134"/>
    </row>
    <row r="16" spans="1:19">
      <c r="A16" s="94"/>
      <c r="B16" s="84" t="s">
        <v>92</v>
      </c>
      <c r="C16" s="84" t="s">
        <v>93</v>
      </c>
      <c r="D16" s="110">
        <v>24379430.460000001</v>
      </c>
      <c r="E16" s="104" t="s">
        <v>89</v>
      </c>
      <c r="F16" s="115">
        <v>1864902.5899999999</v>
      </c>
      <c r="G16" s="92">
        <v>1970823.42</v>
      </c>
      <c r="H16" s="92">
        <v>2009569.66</v>
      </c>
      <c r="I16" s="92">
        <v>2293749.9</v>
      </c>
      <c r="J16" s="92">
        <v>2058951.46</v>
      </c>
      <c r="K16" s="92">
        <v>2050000</v>
      </c>
      <c r="L16" s="92">
        <v>2062112.89</v>
      </c>
      <c r="M16" s="92">
        <v>2051953.97</v>
      </c>
      <c r="N16" s="92">
        <v>2050283.22</v>
      </c>
      <c r="O16" s="92">
        <v>1984854</v>
      </c>
      <c r="P16" s="92">
        <v>1997375.35</v>
      </c>
      <c r="Q16" s="92">
        <v>1984854</v>
      </c>
      <c r="R16" s="110">
        <v>21637376</v>
      </c>
      <c r="S16" s="134"/>
    </row>
    <row r="17" spans="1:21">
      <c r="A17" s="94"/>
      <c r="B17" s="84" t="s">
        <v>94</v>
      </c>
      <c r="C17" s="84" t="s">
        <v>95</v>
      </c>
      <c r="D17" s="110">
        <v>40152.660000000003</v>
      </c>
      <c r="E17" s="100"/>
      <c r="F17" s="115">
        <v>6209.24</v>
      </c>
      <c r="G17" s="92">
        <v>2963.92</v>
      </c>
      <c r="H17" s="92">
        <v>0</v>
      </c>
      <c r="I17" s="92">
        <v>6250</v>
      </c>
      <c r="J17" s="92">
        <v>0</v>
      </c>
      <c r="K17" s="92">
        <v>0</v>
      </c>
      <c r="L17" s="92">
        <v>6250</v>
      </c>
      <c r="M17" s="92">
        <v>0</v>
      </c>
      <c r="N17" s="92">
        <v>234</v>
      </c>
      <c r="O17" s="92">
        <v>14794</v>
      </c>
      <c r="P17" s="92">
        <v>0</v>
      </c>
      <c r="Q17" s="92">
        <v>3451.5</v>
      </c>
      <c r="R17" s="110"/>
      <c r="S17" s="134"/>
    </row>
    <row r="18" spans="1:21">
      <c r="A18" s="94"/>
      <c r="B18" s="84" t="s">
        <v>96</v>
      </c>
      <c r="C18" s="84" t="s">
        <v>97</v>
      </c>
      <c r="D18" s="110">
        <v>9349596</v>
      </c>
      <c r="E18" s="104" t="s">
        <v>80</v>
      </c>
      <c r="F18" s="115">
        <v>820833</v>
      </c>
      <c r="G18" s="92">
        <v>820833</v>
      </c>
      <c r="H18" s="92">
        <v>820833</v>
      </c>
      <c r="I18" s="92">
        <v>737501</v>
      </c>
      <c r="J18" s="92">
        <v>800000</v>
      </c>
      <c r="K18" s="92">
        <v>800000</v>
      </c>
      <c r="L18" s="92">
        <v>800000</v>
      </c>
      <c r="M18" s="92">
        <v>800000</v>
      </c>
      <c r="N18" s="92">
        <v>800000</v>
      </c>
      <c r="O18" s="92">
        <v>716532</v>
      </c>
      <c r="P18" s="92">
        <v>716532</v>
      </c>
      <c r="Q18" s="92">
        <v>716532</v>
      </c>
      <c r="R18" s="110">
        <v>9267681</v>
      </c>
      <c r="S18" s="134"/>
    </row>
    <row r="19" spans="1:21">
      <c r="A19" s="93"/>
      <c r="B19" s="84" t="s">
        <v>98</v>
      </c>
      <c r="C19" s="84" t="s">
        <v>99</v>
      </c>
      <c r="D19" s="110">
        <v>1809909</v>
      </c>
      <c r="E19" s="117"/>
      <c r="F19" s="115">
        <v>122980</v>
      </c>
      <c r="G19" s="92">
        <v>87001</v>
      </c>
      <c r="H19" s="92">
        <v>586959</v>
      </c>
      <c r="I19" s="92">
        <v>91318</v>
      </c>
      <c r="J19" s="92">
        <v>83458</v>
      </c>
      <c r="K19" s="92">
        <v>83458</v>
      </c>
      <c r="L19" s="92">
        <v>91816</v>
      </c>
      <c r="M19" s="92">
        <v>87565</v>
      </c>
      <c r="N19" s="92">
        <v>312572</v>
      </c>
      <c r="O19" s="92">
        <v>87622</v>
      </c>
      <c r="P19" s="92">
        <v>83459</v>
      </c>
      <c r="Q19" s="92">
        <v>91701</v>
      </c>
      <c r="R19" s="110"/>
      <c r="S19" s="100"/>
    </row>
    <row r="20" spans="1:21">
      <c r="A20" s="84" t="s">
        <v>100</v>
      </c>
      <c r="B20" s="84" t="s">
        <v>101</v>
      </c>
      <c r="C20" s="84" t="s">
        <v>102</v>
      </c>
      <c r="D20" s="110">
        <v>255308.66</v>
      </c>
      <c r="E20" s="117"/>
      <c r="F20" s="115">
        <v>0</v>
      </c>
      <c r="G20" s="92">
        <v>23545.47</v>
      </c>
      <c r="H20" s="92">
        <v>20393.900000000001</v>
      </c>
      <c r="I20" s="92">
        <v>21940.58</v>
      </c>
      <c r="J20" s="92">
        <v>16354.56</v>
      </c>
      <c r="K20" s="92">
        <v>19579.080000000002</v>
      </c>
      <c r="L20" s="92">
        <v>0</v>
      </c>
      <c r="M20" s="92">
        <v>32747.760000000002</v>
      </c>
      <c r="N20" s="92">
        <v>0</v>
      </c>
      <c r="O20" s="92">
        <v>0</v>
      </c>
      <c r="P20" s="92">
        <v>0</v>
      </c>
      <c r="Q20" s="92">
        <v>120747.31</v>
      </c>
      <c r="R20" s="110"/>
      <c r="S20" s="100"/>
      <c r="T20" s="134"/>
      <c r="U20" s="134"/>
    </row>
    <row r="21" spans="1:21">
      <c r="A21" s="95" t="s">
        <v>103</v>
      </c>
      <c r="B21" s="96"/>
      <c r="C21" s="97"/>
      <c r="D21" s="112">
        <v>67797565.629999995</v>
      </c>
      <c r="E21" s="100"/>
      <c r="F21" s="116">
        <v>5600769.3300000001</v>
      </c>
      <c r="G21" s="98">
        <v>6063205.6100000003</v>
      </c>
      <c r="H21" s="98">
        <v>6187755.5199999996</v>
      </c>
      <c r="I21" s="98">
        <v>5541527.5499999998</v>
      </c>
      <c r="J21" s="98">
        <v>5229295.2699999996</v>
      </c>
      <c r="K21" s="98">
        <v>5271793.76</v>
      </c>
      <c r="L21" s="98">
        <v>5351496.62</v>
      </c>
      <c r="M21" s="98">
        <v>5663880.9900000002</v>
      </c>
      <c r="N21" s="98">
        <v>5577310.2300000004</v>
      </c>
      <c r="O21" s="98">
        <v>5123665.8600000003</v>
      </c>
      <c r="P21" s="98">
        <v>5636143.7599999998</v>
      </c>
      <c r="Q21" s="98">
        <v>6550721.1299999999</v>
      </c>
      <c r="R21" s="112">
        <f>SUM(R8:R20)</f>
        <v>57902168</v>
      </c>
      <c r="S21" s="134"/>
      <c r="T21" s="134"/>
      <c r="U21" s="101"/>
    </row>
    <row r="22" spans="1:21" ht="13.5" thickBot="1">
      <c r="A22" s="134"/>
      <c r="B22" s="134"/>
      <c r="C22" s="134"/>
      <c r="D22" s="134"/>
      <c r="E22" s="117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</row>
    <row r="23" spans="1:21" ht="26.25" thickTop="1">
      <c r="A23" s="135"/>
      <c r="B23" s="136"/>
      <c r="C23" s="126" t="s">
        <v>129</v>
      </c>
      <c r="D23" s="152" t="s">
        <v>116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55" t="s">
        <v>130</v>
      </c>
      <c r="S23" s="134"/>
      <c r="T23" s="134"/>
      <c r="U23" s="134"/>
    </row>
    <row r="24" spans="1:21">
      <c r="A24" s="119" t="s">
        <v>80</v>
      </c>
      <c r="B24" s="79" t="s">
        <v>29</v>
      </c>
      <c r="C24" s="78">
        <f>D9+D13+D18</f>
        <v>30230585</v>
      </c>
      <c r="D24" s="153">
        <f>C34</f>
        <v>33107000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53">
        <f>R9+R13+R18</f>
        <v>28606545</v>
      </c>
      <c r="S24" s="134"/>
      <c r="T24" s="134"/>
      <c r="U24" s="134"/>
    </row>
    <row r="25" spans="1:21" ht="25.5">
      <c r="A25" s="119" t="s">
        <v>89</v>
      </c>
      <c r="B25" s="79" t="s">
        <v>113</v>
      </c>
      <c r="C25" s="156">
        <f>D14+D15+D16</f>
        <v>32588578</v>
      </c>
      <c r="D25" s="157">
        <f>C41</f>
        <v>33553915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57">
        <f>R14+R15+R16</f>
        <v>29295623</v>
      </c>
      <c r="S25" s="134"/>
      <c r="T25" s="134"/>
      <c r="U25" s="134"/>
    </row>
    <row r="26" spans="1:21" ht="13.5" thickBot="1">
      <c r="A26" s="120"/>
      <c r="B26" s="121"/>
      <c r="C26" s="122">
        <v>62819163.370000005</v>
      </c>
      <c r="D26" s="154">
        <f>SUM(D24:D25)</f>
        <v>66660915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54">
        <f>R21</f>
        <v>57902168</v>
      </c>
      <c r="S26" s="134"/>
      <c r="T26" s="134"/>
      <c r="U26" s="101"/>
    </row>
    <row r="27" spans="1:21" ht="13.5" thickTop="1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1:21">
      <c r="A28" s="83" t="s">
        <v>29</v>
      </c>
      <c r="B28" s="134"/>
      <c r="C28" s="101"/>
      <c r="D28" s="101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02"/>
    </row>
    <row r="29" spans="1:21">
      <c r="A29" s="83" t="s">
        <v>104</v>
      </c>
      <c r="B29" s="134"/>
      <c r="C29" s="105">
        <v>24200000</v>
      </c>
      <c r="D29" s="83">
        <v>926220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1:21">
      <c r="A30" s="83" t="s">
        <v>105</v>
      </c>
      <c r="B30" s="134"/>
      <c r="C30" s="105">
        <v>401000</v>
      </c>
      <c r="D30" s="83">
        <v>926220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</row>
    <row r="31" spans="1:21">
      <c r="A31" s="83" t="s">
        <v>106</v>
      </c>
      <c r="B31" s="134"/>
      <c r="C31" s="105">
        <v>-3000000</v>
      </c>
      <c r="D31" s="83">
        <v>926220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01"/>
    </row>
    <row r="32" spans="1:21">
      <c r="A32" s="83" t="s">
        <v>107</v>
      </c>
      <c r="B32" s="134"/>
      <c r="C32" s="105">
        <v>106000</v>
      </c>
      <c r="D32" s="83">
        <v>926220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</row>
    <row r="33" spans="1:21">
      <c r="A33" s="83" t="s">
        <v>108</v>
      </c>
      <c r="B33" s="134"/>
      <c r="C33" s="107">
        <v>11400000</v>
      </c>
      <c r="D33" s="83">
        <v>926240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51"/>
      <c r="S33" s="134"/>
      <c r="T33" s="134"/>
      <c r="U33" s="134"/>
    </row>
    <row r="34" spans="1:21">
      <c r="A34" s="134"/>
      <c r="B34" s="134"/>
      <c r="C34" s="105">
        <f>SUM(C29:C33)</f>
        <v>33107000</v>
      </c>
      <c r="D34" s="108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48">
        <f>C34</f>
        <v>33107000</v>
      </c>
      <c r="S34" s="134"/>
      <c r="T34" s="134"/>
      <c r="U34" s="134"/>
    </row>
    <row r="35" spans="1:21">
      <c r="A35" s="134"/>
      <c r="B35" s="134"/>
      <c r="C35" s="105"/>
      <c r="D35" s="103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</row>
    <row r="36" spans="1:21">
      <c r="A36" s="134"/>
      <c r="B36" s="134"/>
      <c r="C36" s="105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</row>
    <row r="37" spans="1:21">
      <c r="A37" s="83" t="s">
        <v>16</v>
      </c>
      <c r="B37" s="134"/>
      <c r="C37" s="105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</row>
    <row r="38" spans="1:21">
      <c r="A38" s="83" t="s">
        <v>109</v>
      </c>
      <c r="B38" s="134"/>
      <c r="C38" s="80">
        <v>25300000</v>
      </c>
      <c r="D38" s="83">
        <v>926230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</row>
    <row r="39" spans="1:21">
      <c r="A39" s="83" t="s">
        <v>110</v>
      </c>
      <c r="B39" s="134"/>
      <c r="C39" s="105">
        <v>8209147.9500000002</v>
      </c>
      <c r="D39" s="109" t="s">
        <v>111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</row>
    <row r="40" spans="1:21">
      <c r="A40" s="83" t="s">
        <v>112</v>
      </c>
      <c r="B40" s="134"/>
      <c r="C40" s="106">
        <v>44767</v>
      </c>
      <c r="D40" s="83">
        <v>926230</v>
      </c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51"/>
    </row>
    <row r="41" spans="1:21">
      <c r="A41" s="134"/>
      <c r="B41" s="134"/>
      <c r="C41" s="105">
        <f>SUM(C38:C40)</f>
        <v>33553915</v>
      </c>
      <c r="D41" s="105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48">
        <f>C41</f>
        <v>33553915</v>
      </c>
    </row>
    <row r="42" spans="1:21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05"/>
    </row>
    <row r="43" spans="1:21">
      <c r="A43" s="134" t="s">
        <v>55</v>
      </c>
      <c r="B43" s="134"/>
      <c r="C43" s="148">
        <f>C41+C34-C26</f>
        <v>3841752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48">
        <f>R41+R34-R26</f>
        <v>8758747</v>
      </c>
    </row>
    <row r="44" spans="1:21">
      <c r="A44" s="134"/>
      <c r="B44" s="134" t="s">
        <v>128</v>
      </c>
      <c r="C44" s="150">
        <f>'09.2015 Updated PenMed'!G9</f>
        <v>0.57030000000000003</v>
      </c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50">
        <f>C44</f>
        <v>0.57030000000000003</v>
      </c>
    </row>
    <row r="45" spans="1:21">
      <c r="A45" s="134"/>
      <c r="B45" s="134"/>
      <c r="C45" s="149">
        <f>C43*C44</f>
        <v>2190951.17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49">
        <f>R43*R44</f>
        <v>4995113.41</v>
      </c>
    </row>
    <row r="46" spans="1:21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05"/>
    </row>
    <row r="47" spans="1:21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05"/>
    </row>
    <row r="48" spans="1:21" ht="15">
      <c r="A48" s="172" t="s">
        <v>118</v>
      </c>
      <c r="B48" s="172"/>
      <c r="C48" s="172"/>
      <c r="D48" s="172"/>
      <c r="E48" s="172"/>
      <c r="F48" s="172"/>
      <c r="G48" s="172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05"/>
    </row>
    <row r="49" spans="1:18" ht="38.25" customHeight="1">
      <c r="A49" s="173" t="s">
        <v>121</v>
      </c>
      <c r="B49" s="173"/>
      <c r="C49" s="173"/>
      <c r="D49" s="173"/>
      <c r="E49" s="173"/>
      <c r="F49" s="173"/>
      <c r="G49" s="173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05"/>
    </row>
    <row r="50" spans="1:18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05"/>
    </row>
    <row r="51" spans="1:18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05"/>
    </row>
    <row r="52" spans="1:18" ht="15">
      <c r="A52" s="172" t="s">
        <v>119</v>
      </c>
      <c r="B52" s="172"/>
      <c r="C52" s="172"/>
      <c r="D52" s="172"/>
      <c r="E52" s="172"/>
      <c r="F52" s="172"/>
      <c r="G52" s="172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05"/>
    </row>
    <row r="53" spans="1:18">
      <c r="A53" s="133" t="s">
        <v>120</v>
      </c>
    </row>
  </sheetData>
  <mergeCells count="3">
    <mergeCell ref="A48:G48"/>
    <mergeCell ref="A49:G49"/>
    <mergeCell ref="A52:G52"/>
  </mergeCells>
  <pageMargins left="0.61" right="0.75" top="1" bottom="1" header="0.5" footer="0.5"/>
  <pageSetup scale="58" orientation="portrait" r:id="rId1"/>
  <headerFooter alignWithMargins="0">
    <oddHeader>&amp;RExhibit No. MC-11
Dockets UE-160228/229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2016-08-17T21:44:47+00:00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506D283-DE85-4E71-8CC2-0FEA6448C7D5}"/>
</file>

<file path=customXml/itemProps2.xml><?xml version="1.0" encoding="utf-8"?>
<ds:datastoreItem xmlns:ds="http://schemas.openxmlformats.org/officeDocument/2006/customXml" ds:itemID="{D6C94089-7430-4FC6-A35C-D4C149C14F9D}"/>
</file>

<file path=customXml/itemProps3.xml><?xml version="1.0" encoding="utf-8"?>
<ds:datastoreItem xmlns:ds="http://schemas.openxmlformats.org/officeDocument/2006/customXml" ds:itemID="{C8F4E299-D7BE-431C-8170-6AD2C7B53B08}"/>
</file>

<file path=customXml/itemProps4.xml><?xml version="1.0" encoding="utf-8"?>
<ds:datastoreItem xmlns:ds="http://schemas.openxmlformats.org/officeDocument/2006/customXml" ds:itemID="{3C6EA5EB-D8E4-4480-A34A-B3A7A47B67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Oregon Total</vt:lpstr>
      <vt:lpstr>12.2015 Updated PenMed</vt:lpstr>
      <vt:lpstr>09.2015 Updated PenMed</vt:lpstr>
      <vt:lpstr>Non-Util Benefit Calc</vt:lpstr>
      <vt:lpstr>Pro-Forma</vt:lpstr>
      <vt:lpstr>'09.2015 Updated PenMed'!Print_Area</vt:lpstr>
      <vt:lpstr>'12.2015 Updated PenMed'!Print_Area</vt:lpstr>
      <vt:lpstr>'Non-Util Benefit Calc'!Print_Area</vt:lpstr>
      <vt:lpstr>'Oregon Total'!Print_Area</vt:lpstr>
      <vt:lpstr>'Pro-Forma'!Print_Area</vt:lpstr>
      <vt:lpstr>'09.2015 Updated PenMed'!Print_Titles</vt:lpstr>
      <vt:lpstr>'12.2015 Updated PenMed'!Print_Titles</vt:lpstr>
      <vt:lpstr>'Oregon Total'!Print_Titles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MC-11, Avista’s Updated Pro Forma Employee Benefits (Electric 3.04, Gas 3.02)</dc:title>
  <dc:creator>tm</dc:creator>
  <dc:description/>
  <cp:lastModifiedBy>Melissa Cheesman</cp:lastModifiedBy>
  <cp:lastPrinted>2016-08-16T01:19:12Z</cp:lastPrinted>
  <dcterms:created xsi:type="dcterms:W3CDTF">1998-07-15T16:25:24Z</dcterms:created>
  <dcterms:modified xsi:type="dcterms:W3CDTF">2016-08-16T01:19:15Z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